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8.2026" sheetId="4" r:id="rId1"/>
  </sheets>
  <definedNames>
    <definedName name="_xlnm._FilterDatabase" localSheetId="0" hidden="1">'01.08.2026'!$A$9:$T$260</definedName>
    <definedName name="_xlnm.Print_Titles" localSheetId="0">'01.08.2026'!$6:$7</definedName>
  </definedNames>
  <calcPr calcId="145621" iterate="1"/>
</workbook>
</file>

<file path=xl/calcChain.xml><?xml version="1.0" encoding="utf-8"?>
<calcChain xmlns="http://schemas.openxmlformats.org/spreadsheetml/2006/main">
  <c r="Q11" i="4" l="1"/>
  <c r="R11" i="4"/>
  <c r="S11" i="4"/>
  <c r="P11" i="4"/>
  <c r="Q121" i="4"/>
  <c r="Q30" i="4" l="1"/>
  <c r="Q31" i="4"/>
  <c r="Q56" i="4"/>
  <c r="Q47" i="4"/>
  <c r="Q98" i="4" l="1"/>
  <c r="Q68" i="4"/>
  <c r="Q119" i="4" l="1"/>
  <c r="Q43" i="4" l="1"/>
  <c r="S188" i="4" l="1"/>
  <c r="R188" i="4"/>
  <c r="Q188" i="4"/>
  <c r="R104" i="4"/>
  <c r="Q66" i="4"/>
  <c r="S99" i="4"/>
  <c r="R99" i="4"/>
  <c r="Q99" i="4"/>
  <c r="Q101" i="4"/>
  <c r="S82" i="4"/>
  <c r="R82" i="4"/>
  <c r="Q219" i="4"/>
  <c r="Q95" i="4"/>
  <c r="Q82" i="4"/>
  <c r="Q88" i="4"/>
  <c r="Q85" i="4"/>
  <c r="Q79" i="4"/>
  <c r="Q78" i="4"/>
  <c r="Q61" i="4"/>
  <c r="Q113" i="4"/>
  <c r="Q115" i="4"/>
  <c r="Q248" i="4"/>
  <c r="Q20" i="4"/>
  <c r="Q19" i="4"/>
  <c r="Q124" i="4"/>
  <c r="Q246" i="4"/>
  <c r="Q25" i="4"/>
  <c r="Q132" i="4"/>
  <c r="Q130" i="4"/>
  <c r="Q151" i="4"/>
  <c r="Q150" i="4"/>
  <c r="S57" i="4" l="1"/>
  <c r="S48" i="4"/>
  <c r="R57" i="4"/>
  <c r="R48" i="4"/>
  <c r="Q57" i="4"/>
  <c r="Q48" i="4"/>
  <c r="Q45" i="4"/>
  <c r="Q55" i="4"/>
  <c r="S54" i="4"/>
  <c r="S42" i="4"/>
  <c r="R54" i="4"/>
  <c r="R42" i="4"/>
  <c r="Q54" i="4"/>
  <c r="Q42" i="4"/>
  <c r="R235" i="4"/>
  <c r="Q237" i="4"/>
  <c r="Q235" i="4"/>
  <c r="S53" i="4"/>
  <c r="S41" i="4"/>
  <c r="R53" i="4"/>
  <c r="R41" i="4"/>
  <c r="Q53" i="4"/>
  <c r="Q41" i="4"/>
  <c r="R51" i="4"/>
  <c r="R39" i="4"/>
  <c r="Q51" i="4"/>
  <c r="Q39" i="4"/>
  <c r="S52" i="4"/>
  <c r="R52" i="4"/>
  <c r="Q52" i="4"/>
  <c r="Q40" i="4"/>
  <c r="P52" i="4"/>
  <c r="P279" i="4"/>
  <c r="Q279" i="4"/>
  <c r="O279" i="4"/>
  <c r="R275" i="4" l="1"/>
  <c r="S275" i="4"/>
  <c r="P57" i="4"/>
  <c r="P47" i="4"/>
  <c r="P69" i="4"/>
  <c r="P56" i="4"/>
  <c r="P55" i="4"/>
  <c r="P53" i="4"/>
  <c r="P54" i="4"/>
  <c r="P42" i="4"/>
  <c r="P19" i="4"/>
  <c r="P275" i="4" s="1"/>
  <c r="O249" i="4"/>
  <c r="O248" i="4"/>
  <c r="O275" i="4" s="1"/>
  <c r="O237" i="4"/>
  <c r="O234" i="4"/>
  <c r="O231" i="4"/>
  <c r="O222" i="4"/>
  <c r="O207" i="4"/>
  <c r="O201" i="4"/>
  <c r="O195" i="4"/>
  <c r="O193" i="4" s="1"/>
  <c r="O173" i="4"/>
  <c r="O160" i="4"/>
  <c r="O159" i="4"/>
  <c r="O151" i="4"/>
  <c r="O150" i="4"/>
  <c r="O138" i="4"/>
  <c r="O134" i="4"/>
  <c r="O127" i="4"/>
  <c r="O122" i="4"/>
  <c r="O114" i="4"/>
  <c r="O108" i="4"/>
  <c r="O98" i="4"/>
  <c r="O97" i="4" s="1"/>
  <c r="O96" i="4" s="1"/>
  <c r="O93" i="4"/>
  <c r="O88" i="4"/>
  <c r="O83" i="4"/>
  <c r="O77" i="4"/>
  <c r="O70" i="4"/>
  <c r="O68" i="4"/>
  <c r="O66" i="4"/>
  <c r="O60" i="4" s="1"/>
  <c r="O57" i="4"/>
  <c r="O56" i="4"/>
  <c r="O55" i="4"/>
  <c r="O54" i="4"/>
  <c r="O53" i="4"/>
  <c r="O47" i="4"/>
  <c r="O42" i="4"/>
  <c r="O33" i="4"/>
  <c r="O25" i="4"/>
  <c r="O24" i="4"/>
  <c r="O22" i="4"/>
  <c r="O12" i="4"/>
  <c r="O38" i="4" l="1"/>
  <c r="O146" i="4"/>
  <c r="O145" i="4" s="1"/>
  <c r="O244" i="4"/>
  <c r="O243" i="4" s="1"/>
  <c r="O50" i="4"/>
  <c r="O133" i="4"/>
  <c r="O200" i="4"/>
  <c r="Q24" i="4"/>
  <c r="R24" i="4"/>
  <c r="O11" i="4" l="1"/>
  <c r="O10" i="4" s="1"/>
  <c r="O277" i="4"/>
  <c r="O192" i="4"/>
  <c r="O241" i="4"/>
  <c r="O251" i="4" l="1"/>
  <c r="O252" i="4" l="1"/>
  <c r="O255" i="4" s="1"/>
  <c r="O9" i="4" l="1"/>
  <c r="Q275" i="4" l="1"/>
  <c r="Q195" i="4" l="1"/>
  <c r="R195" i="4"/>
  <c r="S195" i="4"/>
  <c r="P108" i="4"/>
  <c r="Q108" i="4"/>
  <c r="R108" i="4"/>
  <c r="S108" i="4"/>
  <c r="S250" i="4" l="1"/>
  <c r="S279" i="4" s="1"/>
  <c r="R250" i="4"/>
  <c r="R279" i="4" s="1"/>
  <c r="P22" i="4" l="1"/>
  <c r="Q22" i="4"/>
  <c r="R22" i="4"/>
  <c r="S22" i="4"/>
  <c r="R229" i="4" l="1"/>
  <c r="S229" i="4"/>
  <c r="P97" i="4"/>
  <c r="Q97" i="4"/>
  <c r="R97" i="4"/>
  <c r="S97" i="4"/>
  <c r="P134" i="4"/>
  <c r="P138" i="4"/>
  <c r="P133" i="4" l="1"/>
  <c r="P195" i="4"/>
  <c r="Q60" i="4" l="1"/>
  <c r="Q96" i="4"/>
  <c r="P114" i="4" l="1"/>
  <c r="Q114" i="4"/>
  <c r="R114" i="4"/>
  <c r="S114" i="4"/>
  <c r="P122" i="4"/>
  <c r="Q122" i="4"/>
  <c r="R122" i="4"/>
  <c r="S122" i="4"/>
  <c r="P127" i="4"/>
  <c r="Q127" i="4"/>
  <c r="R127" i="4"/>
  <c r="S127" i="4"/>
  <c r="P24" i="4"/>
  <c r="S24" i="4"/>
  <c r="Q134" i="4"/>
  <c r="R134" i="4"/>
  <c r="S134" i="4"/>
  <c r="P146" i="4"/>
  <c r="Q146" i="4"/>
  <c r="R146" i="4"/>
  <c r="S146" i="4"/>
  <c r="P173" i="4"/>
  <c r="Q173" i="4"/>
  <c r="R173" i="4"/>
  <c r="S173" i="4"/>
  <c r="P201" i="4"/>
  <c r="Q201" i="4"/>
  <c r="R201" i="4"/>
  <c r="S201" i="4"/>
  <c r="P207" i="4"/>
  <c r="Q207" i="4"/>
  <c r="R207" i="4"/>
  <c r="S207" i="4"/>
  <c r="Q222" i="4"/>
  <c r="R222" i="4"/>
  <c r="S222" i="4"/>
  <c r="Q234" i="4"/>
  <c r="R234" i="4"/>
  <c r="S234" i="4"/>
  <c r="Q244" i="4"/>
  <c r="R244" i="4"/>
  <c r="S244" i="4"/>
  <c r="Q249" i="4"/>
  <c r="R249" i="4"/>
  <c r="S249" i="4"/>
  <c r="S145" i="4" l="1"/>
  <c r="Q145" i="4"/>
  <c r="P145" i="4"/>
  <c r="R145" i="4"/>
  <c r="S243" i="4"/>
  <c r="S241" i="4" s="1"/>
  <c r="S200" i="4"/>
  <c r="R243" i="4"/>
  <c r="R241" i="4" s="1"/>
  <c r="R200" i="4"/>
  <c r="Q243" i="4"/>
  <c r="Q241" i="4" s="1"/>
  <c r="Q200" i="4"/>
  <c r="R60" i="4"/>
  <c r="S60" i="4"/>
  <c r="Q256" i="4"/>
  <c r="R256" i="4"/>
  <c r="S256" i="4"/>
  <c r="R96" i="4"/>
  <c r="S96" i="4"/>
  <c r="P96" i="4" l="1"/>
  <c r="P12" i="4" l="1"/>
  <c r="Q12" i="4"/>
  <c r="S12" i="4"/>
  <c r="P93" i="4"/>
  <c r="Q93" i="4"/>
  <c r="S93" i="4"/>
  <c r="P256" i="4" l="1"/>
  <c r="O256" i="4"/>
  <c r="Q83" i="4"/>
  <c r="P83" i="4"/>
  <c r="P244" i="4"/>
  <c r="P222" i="4"/>
  <c r="P200" i="4" l="1"/>
  <c r="P249" i="4"/>
  <c r="P234" i="4"/>
  <c r="P243" i="4" l="1"/>
  <c r="P60" i="4"/>
  <c r="P241" i="4" l="1"/>
  <c r="S83" i="4" l="1"/>
  <c r="R83" i="4"/>
  <c r="R12" i="4"/>
  <c r="R93" i="4"/>
  <c r="Q138" i="4"/>
  <c r="Q133" i="4" s="1"/>
  <c r="P38" i="4" l="1"/>
  <c r="P77" i="4" l="1"/>
  <c r="P70" i="4"/>
  <c r="P50" i="4"/>
  <c r="P33" i="4"/>
  <c r="P10" i="4" l="1"/>
  <c r="P277" i="4"/>
  <c r="P193" i="4"/>
  <c r="Q38" i="4"/>
  <c r="Q77" i="4"/>
  <c r="Q70" i="4"/>
  <c r="Q50" i="4"/>
  <c r="Q33" i="4"/>
  <c r="Q10" i="4" l="1"/>
  <c r="Q277" i="4"/>
  <c r="Q193" i="4"/>
  <c r="P192" i="4"/>
  <c r="Q192" i="4" l="1"/>
  <c r="Q251" i="4" s="1"/>
  <c r="Q252" i="4" s="1"/>
  <c r="Q9" i="4" s="1"/>
  <c r="P251" i="4"/>
  <c r="P252" i="4" l="1"/>
  <c r="P9" i="4" s="1"/>
  <c r="P255" i="4" l="1"/>
  <c r="R33" i="4"/>
  <c r="R50" i="4"/>
  <c r="R70" i="4"/>
  <c r="R77" i="4"/>
  <c r="R138" i="4"/>
  <c r="R133" i="4" s="1"/>
  <c r="R193" i="4" l="1"/>
  <c r="Q255" i="4"/>
  <c r="R38" i="4"/>
  <c r="R10" i="4" s="1"/>
  <c r="R277" i="4" l="1"/>
  <c r="R192" i="4"/>
  <c r="S193" i="4"/>
  <c r="S138" i="4"/>
  <c r="S133" i="4" s="1"/>
  <c r="S77" i="4"/>
  <c r="S70" i="4"/>
  <c r="S33" i="4"/>
  <c r="R251" i="4" l="1"/>
  <c r="R252" i="4" s="1"/>
  <c r="R9" i="4" s="1"/>
  <c r="S38" i="4"/>
  <c r="S50" i="4"/>
  <c r="S10" i="4" l="1"/>
  <c r="S277" i="4"/>
  <c r="R253" i="4"/>
  <c r="R255" i="4"/>
  <c r="S192" i="4"/>
  <c r="S251" i="4" l="1"/>
  <c r="S252" i="4" l="1"/>
  <c r="S9" i="4" s="1"/>
  <c r="S255" i="4" l="1"/>
  <c r="S253" i="4"/>
</calcChain>
</file>

<file path=xl/sharedStrings.xml><?xml version="1.0" encoding="utf-8"?>
<sst xmlns="http://schemas.openxmlformats.org/spreadsheetml/2006/main" count="1473" uniqueCount="563">
  <si>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</si>
  <si>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</si>
  <si>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</si>
  <si>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</si>
  <si>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</si>
  <si>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</si>
  <si>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</si>
  <si>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</si>
  <si>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</si>
  <si>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</si>
  <si>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</si>
  <si>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</si>
  <si>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</si>
  <si>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</si>
  <si>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</si>
  <si>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</si>
  <si>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</si>
  <si>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</si>
  <si>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</si>
  <si>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</si>
  <si>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</si>
  <si>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</si>
  <si>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</si>
  <si>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</si>
  <si>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</si>
  <si>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</si>
  <si>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</si>
  <si>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</si>
  <si>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</si>
  <si>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</si>
  <si>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</si>
  <si>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</si>
  <si>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</si>
  <si>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</si>
  <si>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</si>
  <si>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</si>
  <si>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</si>
  <si>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</si>
  <si>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</si>
  <si>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</si>
  <si>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</si>
  <si>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</si>
  <si>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</si>
  <si>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</si>
  <si>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</si>
  <si>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</si>
  <si>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</si>
  <si>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</si>
  <si>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</si>
  <si>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</si>
  <si>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</si>
  <si>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</si>
  <si>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</si>
  <si>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</si>
  <si>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</si>
  <si>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</si>
  <si>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</si>
  <si>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</si>
  <si>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</si>
  <si>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</si>
  <si>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</si>
  <si>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</si>
  <si>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</si>
  <si>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</si>
  <si>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</si>
  <si>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</si>
  <si>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</si>
  <si>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</si>
  <si>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</si>
  <si>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</si>
  <si>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</si>
  <si>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</si>
  <si>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</si>
  <si>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</si>
  <si>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</si>
  <si>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</si>
  <si>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</si>
  <si>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</si>
  <si>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</si>
  <si>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</si>
  <si>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</si>
  <si>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</si>
  <si>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</si>
  <si>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</si>
  <si>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</si>
  <si>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</si>
  <si>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</si>
  <si>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</si>
  <si>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</si>
  <si>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</si>
  <si>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</si>
  <si>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</si>
  <si>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</si>
  <si>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</si>
  <si>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</si>
  <si>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</si>
  <si>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</si>
  <si>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</si>
  <si>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</si>
  <si>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</si>
  <si>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</si>
  <si>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</si>
  <si>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</si>
  <si>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</si>
  <si>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</si>
  <si>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</si>
  <si>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</si>
  <si>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</si>
  <si>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</si>
  <si>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</si>
  <si>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</si>
  <si>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</si>
  <si>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</si>
  <si>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</si>
  <si>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</si>
  <si>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</si>
  <si>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</si>
  <si>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</si>
  <si>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</si>
  <si>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</si>
  <si>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</si>
  <si>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</si>
  <si>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</si>
  <si>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</si>
  <si>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</si>
  <si>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</si>
  <si>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</si>
  <si>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</si>
  <si>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</si>
  <si>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</si>
  <si>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</si>
  <si>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</si>
  <si>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</si>
  <si>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</si>
  <si>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</si>
  <si>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</si>
  <si>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</si>
  <si>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</si>
  <si>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</si>
  <si>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</si>
  <si>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</si>
  <si>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</si>
  <si>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</si>
  <si>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</si>
  <si>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</si>
  <si>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</si>
  <si>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</si>
  <si>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</si>
  <si>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</si>
  <si>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</si>
  <si>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</si>
  <si>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</si>
  <si>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</si>
  <si>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</si>
  <si>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</si>
  <si>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</si>
  <si>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</si>
  <si>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</si>
  <si>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</si>
  <si>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</si>
  <si>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</si>
  <si>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</si>
  <si>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</si>
  <si>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</si>
  <si>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</si>
  <si>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</si>
  <si>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</si>
  <si>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</si>
  <si>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</si>
  <si>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</si>
  <si>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</si>
  <si>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</si>
  <si>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</si>
  <si>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</si>
  <si>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</si>
  <si>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</si>
  <si>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</si>
  <si>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</si>
  <si>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</si>
  <si>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</si>
  <si>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</si>
  <si>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</si>
  <si>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</si>
  <si>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</si>
  <si>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</si>
  <si>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</si>
  <si>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</si>
  <si>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</si>
  <si>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</si>
  <si>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</si>
  <si>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</si>
  <si>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</si>
  <si>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</si>
  <si>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</si>
  <si>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</si>
  <si>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</si>
  <si>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</si>
  <si>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</si>
  <si>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</si>
  <si>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</si>
  <si>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</si>
  <si>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</si>
  <si>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</si>
  <si>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</si>
  <si>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</si>
  <si>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</si>
  <si>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</si>
  <si>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</si>
  <si>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</si>
  <si>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</si>
  <si>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</si>
  <si>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</si>
  <si>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</si>
  <si>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</si>
  <si>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</si>
  <si>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</si>
  <si>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</si>
  <si>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</si>
  <si>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</si>
  <si>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</si>
  <si>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</si>
  <si>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</si>
  <si>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</si>
  <si>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</si>
  <si>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</si>
  <si>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</si>
  <si>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</si>
  <si>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</si>
  <si>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</si>
  <si>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</si>
  <si>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</si>
  <si>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</si>
  <si>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</si>
  <si>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</si>
  <si>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</si>
  <si>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</si>
  <si>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</si>
  <si>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</si>
  <si>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</si>
  <si>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</si>
  <si>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</si>
  <si>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</si>
  <si>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</si>
  <si>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</si>
  <si>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</si>
  <si>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</si>
  <si>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</si>
  <si>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</si>
  <si>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</si>
  <si>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</si>
  <si>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</si>
  <si>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</si>
  <si>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</si>
  <si>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</si>
  <si>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</si>
  <si>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</si>
  <si>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</si>
  <si>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</si>
  <si>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</si>
  <si>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</si>
  <si>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</si>
  <si>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</si>
  <si>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</si>
  <si>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</si>
  <si>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</si>
  <si>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</si>
  <si>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</si>
  <si>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</si>
  <si>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</si>
  <si>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</si>
  <si>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</si>
  <si>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</si>
  <si>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</si>
  <si>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</si>
  <si>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</si>
  <si>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</si>
  <si>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852</t>
  </si>
  <si>
    <t>313</t>
  </si>
  <si>
    <t>412</t>
  </si>
  <si>
    <t>611</t>
  </si>
  <si>
    <t>612</t>
  </si>
  <si>
    <t>0111</t>
  </si>
  <si>
    <t>870</t>
  </si>
  <si>
    <t>52012 S4860</t>
  </si>
  <si>
    <t>0503</t>
  </si>
  <si>
    <t>****</t>
  </si>
  <si>
    <t>0804</t>
  </si>
  <si>
    <t>414</t>
  </si>
  <si>
    <t>70000 84200</t>
  </si>
  <si>
    <t>857</t>
  </si>
  <si>
    <t>854</t>
  </si>
  <si>
    <t>0103</t>
  </si>
  <si>
    <t>70000 80040</t>
  </si>
  <si>
    <t>129</t>
  </si>
  <si>
    <t>70000 55490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</si>
  <si>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</si>
  <si>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</si>
  <si>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</si>
  <si>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</si>
  <si>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</si>
  <si>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</si>
  <si>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</si>
  <si>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</si>
  <si>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</si>
  <si>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</si>
  <si>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</si>
  <si>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</si>
  <si>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</si>
  <si>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</si>
  <si>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</si>
  <si>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</si>
  <si>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</si>
  <si>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</si>
  <si>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</si>
  <si>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</si>
  <si>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</si>
  <si>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</si>
  <si>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</si>
  <si>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</si>
  <si>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</si>
  <si>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</si>
  <si>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</si>
  <si>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</si>
  <si>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</si>
  <si>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</si>
  <si>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</si>
  <si>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</si>
  <si>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</si>
  <si>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</si>
  <si>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</si>
  <si>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</si>
  <si>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</si>
  <si>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</si>
  <si>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</si>
  <si>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</si>
  <si>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</si>
  <si>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</si>
  <si>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</si>
  <si>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</si>
  <si>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</si>
  <si>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</si>
  <si>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</si>
  <si>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</si>
  <si>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</si>
  <si>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</si>
  <si>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</si>
  <si>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</si>
  <si>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</si>
  <si>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</si>
  <si>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</si>
  <si>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</si>
  <si>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</si>
  <si>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</si>
  <si>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</si>
  <si>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</si>
  <si>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</si>
  <si>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</si>
  <si>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</si>
  <si>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</si>
  <si>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</si>
  <si>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</si>
  <si>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</si>
  <si>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</si>
  <si>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</si>
  <si>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</si>
  <si>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</si>
  <si>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</si>
  <si>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</si>
  <si>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51405 80700</t>
  </si>
  <si>
    <t>51405 81200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</si>
  <si>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</si>
  <si>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</si>
  <si>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</si>
  <si>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</si>
  <si>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</si>
  <si>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</si>
  <si>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</si>
  <si>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</si>
  <si>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</si>
  <si>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</si>
  <si>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</si>
  <si>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</si>
  <si>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</si>
  <si>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</si>
  <si>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</si>
  <si>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</si>
  <si>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</si>
  <si>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</si>
  <si>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</si>
  <si>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</si>
  <si>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</si>
  <si>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</si>
  <si>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</si>
  <si>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</si>
  <si>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</si>
  <si>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</si>
  <si>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</si>
  <si>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</si>
  <si>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</si>
  <si>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</si>
  <si>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</si>
  <si>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</si>
  <si>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</si>
  <si>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</si>
  <si>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</si>
  <si>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</si>
  <si>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</si>
  <si>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</si>
  <si>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</si>
  <si>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</si>
  <si>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</si>
  <si>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</si>
  <si>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</si>
  <si>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</si>
  <si>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</si>
  <si>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</si>
  <si>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</si>
  <si>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</si>
  <si>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</si>
  <si>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</si>
  <si>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</si>
  <si>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</si>
  <si>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</si>
  <si>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</si>
  <si>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</si>
  <si>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</si>
  <si>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</si>
  <si>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</si>
  <si>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</si>
  <si>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</si>
  <si>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</si>
  <si>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</si>
  <si>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</si>
  <si>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</si>
  <si>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</si>
  <si>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</si>
  <si>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</si>
  <si>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</si>
  <si>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</si>
  <si>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</si>
  <si>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</si>
  <si>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</si>
  <si>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</si>
  <si>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</si>
  <si>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</si>
  <si>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</si>
  <si>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</si>
  <si>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</si>
  <si>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</si>
  <si>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</si>
  <si>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</si>
  <si>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</si>
  <si>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</si>
  <si>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</si>
  <si>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</si>
  <si>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</si>
  <si>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</si>
  <si>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</si>
  <si>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</si>
  <si>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</si>
  <si>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</si>
  <si>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</si>
  <si>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</si>
  <si>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</si>
  <si>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</si>
  <si>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</si>
  <si>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</si>
  <si>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</si>
  <si>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</si>
  <si>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</si>
  <si>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</si>
  <si>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</si>
  <si>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</si>
  <si>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</si>
  <si>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</si>
  <si>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</si>
  <si>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</si>
  <si>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</si>
  <si>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</si>
  <si>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</si>
  <si>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</si>
  <si>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</si>
  <si>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</si>
  <si>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</si>
  <si>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</si>
  <si>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</si>
  <si>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</si>
  <si>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</si>
  <si>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</si>
  <si>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</si>
  <si>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</si>
  <si>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</si>
  <si>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</si>
  <si>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</si>
  <si>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</si>
  <si>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</si>
  <si>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</si>
  <si>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</si>
  <si>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</si>
  <si>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</si>
  <si>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</si>
  <si>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</si>
  <si>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</si>
  <si>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</si>
  <si>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</si>
  <si>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</si>
  <si>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</si>
  <si>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</si>
  <si>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</si>
  <si>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</si>
  <si>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</si>
  <si>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</si>
  <si>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</si>
  <si>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</si>
  <si>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</si>
  <si>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</si>
  <si>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</si>
  <si>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</si>
  <si>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</si>
  <si>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</si>
  <si>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</si>
  <si>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</si>
  <si>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2027 год</t>
  </si>
  <si>
    <t>312</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</si>
  <si>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</si>
  <si>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</si>
  <si>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</si>
  <si>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</si>
  <si>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</si>
  <si>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</si>
  <si>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</si>
  <si>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</si>
  <si>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</si>
  <si>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</si>
  <si>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</si>
  <si>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</si>
  <si>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</si>
  <si>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</si>
  <si>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</si>
  <si>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</si>
  <si>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</si>
  <si>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</si>
  <si>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</si>
  <si>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</si>
  <si>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1.1.1.56.</t>
  </si>
  <si>
    <t xml:space="preserve"> Решение Клетнянского районного Совета народных депутатов от 29.05.2025 г. №9-7 "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органа местного самоуправления Надвинского сельского поселения Клетнянского муниципального района Брянской области на 2025 год" </t>
  </si>
  <si>
    <t>240</t>
  </si>
  <si>
    <t>1003</t>
  </si>
  <si>
    <t>53011 15900</t>
  </si>
  <si>
    <t>53011
15900</t>
  </si>
  <si>
    <t>52401
80040</t>
  </si>
  <si>
    <t>51011 15900</t>
  </si>
  <si>
    <t>51407 81990</t>
  </si>
  <si>
    <t>0707</t>
  </si>
  <si>
    <t>План 2025</t>
  </si>
  <si>
    <t>Отчетный финансовый год (2025)</t>
  </si>
  <si>
    <t>Текущий
2026 год</t>
  </si>
  <si>
    <t>2028 год</t>
  </si>
  <si>
    <t>51408 9Д180</t>
  </si>
  <si>
    <t>51408 9Д040</t>
  </si>
  <si>
    <t>51227
L3720</t>
  </si>
  <si>
    <t>51228
L2032</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</si>
  <si>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августа 2026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</si>
</sst>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6">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top" wrapText="1"/>
    </xf>
    <xf numFmtId="0" fontId="13" fillId="0" borderId="1">
      <alignment horizontal="center" vertical="top" wrapText="1"/>
    </xf>
  </cellStyleXfs>
  <cellXfs count="121">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0" fontId="19" fillId="0" borderId="2" xfId="0" applyFont="1" applyFill="1" applyBorder="1" applyAlignment="1">
      <alignment horizontal="center" vertical="center" wrapText="1"/>
    </xf>
    <xf numFmtId="2" fontId="17"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top" wrapText="1"/>
    </xf>
    <xf numFmtId="164" fontId="17" fillId="0" borderId="0" xfId="0" applyNumberFormat="1" applyFont="1" applyFill="1" applyAlignment="1">
      <alignment vertical="top" wrapText="1"/>
    </xf>
    <xf numFmtId="0" fontId="17" fillId="0" borderId="0" xfId="0" applyFont="1" applyFill="1" applyAlignment="1">
      <alignment horizontal="left" vertical="top" wrapText="1"/>
    </xf>
    <xf numFmtId="49" fontId="5"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4" fontId="6" fillId="0" borderId="0" xfId="0" applyNumberFormat="1" applyFont="1" applyFill="1" applyAlignment="1">
      <alignment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6" borderId="2" xfId="0" applyFont="1" applyFill="1" applyBorder="1" applyAlignment="1">
      <alignment horizontal="left" vertical="top" wrapText="1"/>
    </xf>
    <xf numFmtId="0" fontId="5" fillId="0" borderId="2" xfId="0"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7" fillId="0" borderId="2" xfId="0"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4" fontId="12"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4"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0" fontId="5" fillId="0" borderId="5" xfId="0" applyFont="1" applyFill="1" applyBorder="1" applyAlignment="1">
      <alignment horizontal="center" vertical="top" wrapText="1"/>
    </xf>
    <xf numFmtId="49" fontId="5" fillId="0" borderId="5" xfId="0" applyNumberFormat="1" applyFont="1" applyFill="1" applyBorder="1" applyAlignment="1">
      <alignment horizontal="center" vertical="top" wrapText="1"/>
    </xf>
  </cellXfs>
  <cellStyles count="2">
    <cellStyle name="xl78" xfId="1"/>
    <cellStyle name="Обычный" xfId="0" builtinId="0"/>
  </cellStyles>
  <dxfs count="0"/>
  <tableStyles count="0" defaultTableStyle="TableStyleMedium9" defaultPivotStyle="PivotStyleLight16"/>
  <colors>
    <mruColors>
      <color rgb="FF0000FF"/>
      <color rgb="FFFFCCCC"/>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2"/>
  <sheetViews>
    <sheetView tabSelected="1" zoomScale="80" zoomScaleNormal="80" workbookViewId="0">
      <pane xSplit="14" ySplit="9" topLeftCell="O10" activePane="bottomRight" state="frozen"/>
      <selection pane="topRight" activeCell="O1" sqref="O1"/>
      <selection pane="bottomLeft" activeCell="A10" sqref="A10"/>
      <selection pane="bottomRight" activeCell="F12" sqref="F12:F21"/>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2" width="8.83203125" style="3" customWidth="1"/>
    <col min="13" max="13" width="11.83203125" style="3" customWidth="1"/>
    <col min="14" max="14" width="8.83203125" style="3" customWidth="1"/>
    <col min="15" max="15" width="18" customWidth="1"/>
    <col min="16" max="16" width="16.83203125" customWidth="1"/>
    <col min="17" max="19" width="17.5" customWidth="1"/>
    <col min="22" max="22" width="21.83203125" customWidth="1"/>
  </cols>
  <sheetData>
    <row r="1" spans="1:19" ht="24.75" customHeight="1" x14ac:dyDescent="0.2">
      <c r="A1" s="97" t="s">
        <v>562</v>
      </c>
      <c r="B1" s="97"/>
      <c r="C1" s="97"/>
      <c r="D1" s="97"/>
      <c r="E1" s="97"/>
      <c r="F1" s="97"/>
      <c r="G1" s="97"/>
      <c r="H1" s="97"/>
      <c r="I1" s="97"/>
      <c r="J1" s="97"/>
      <c r="K1" s="97"/>
      <c r="L1" s="97"/>
      <c r="M1" s="97"/>
      <c r="N1" s="97"/>
      <c r="O1" s="97"/>
      <c r="P1" s="97"/>
      <c r="Q1" s="97"/>
      <c r="R1" s="97"/>
      <c r="S1" s="97"/>
    </row>
    <row r="2" spans="1:19" ht="12.75" customHeight="1" x14ac:dyDescent="0.2">
      <c r="A2" s="97" t="s">
        <v>0</v>
      </c>
      <c r="B2" s="97"/>
      <c r="C2" s="97"/>
      <c r="D2" s="97"/>
      <c r="E2" s="97"/>
      <c r="F2" s="97"/>
      <c r="G2" s="97"/>
      <c r="H2" s="97"/>
      <c r="I2" s="97"/>
      <c r="J2" s="97"/>
      <c r="K2" s="97"/>
      <c r="L2" s="97"/>
      <c r="M2" s="97"/>
      <c r="N2" s="97"/>
      <c r="O2" s="97"/>
      <c r="P2" s="97"/>
      <c r="Q2" s="97"/>
      <c r="R2" s="97"/>
      <c r="S2" s="97"/>
    </row>
    <row r="3" spans="1:19" ht="12.75" customHeight="1" x14ac:dyDescent="0.2">
      <c r="A3" s="98" t="s">
        <v>0</v>
      </c>
      <c r="B3" s="98"/>
      <c r="C3" s="98"/>
      <c r="D3" s="98"/>
      <c r="E3" s="98"/>
      <c r="F3" s="98"/>
      <c r="G3" s="98"/>
      <c r="H3" s="98"/>
      <c r="I3" s="98"/>
      <c r="J3" s="98"/>
      <c r="K3" s="98"/>
      <c r="L3" s="98"/>
      <c r="M3" s="98"/>
      <c r="N3" s="98"/>
      <c r="O3" s="98"/>
      <c r="P3" s="98"/>
      <c r="Q3" s="98"/>
      <c r="R3" s="98"/>
      <c r="S3" s="98"/>
    </row>
    <row r="4" spans="1:19" ht="36" customHeight="1" x14ac:dyDescent="0.2">
      <c r="A4" s="89" t="s">
        <v>1</v>
      </c>
      <c r="B4" s="89" t="s">
        <v>2</v>
      </c>
      <c r="C4" s="89" t="s">
        <v>3</v>
      </c>
      <c r="D4" s="88" t="s">
        <v>370</v>
      </c>
      <c r="E4" s="89"/>
      <c r="F4" s="89"/>
      <c r="G4" s="89"/>
      <c r="H4" s="89"/>
      <c r="I4" s="89"/>
      <c r="J4" s="89" t="s">
        <v>4</v>
      </c>
      <c r="K4" s="99" t="s">
        <v>261</v>
      </c>
      <c r="L4" s="100"/>
      <c r="M4" s="100"/>
      <c r="N4" s="100"/>
      <c r="O4" s="89" t="s">
        <v>554</v>
      </c>
      <c r="P4" s="88" t="s">
        <v>266</v>
      </c>
      <c r="Q4" s="88"/>
      <c r="R4" s="88"/>
      <c r="S4" s="88"/>
    </row>
    <row r="5" spans="1:19" ht="13.5" customHeight="1" x14ac:dyDescent="0.2">
      <c r="A5" s="89" t="s">
        <v>0</v>
      </c>
      <c r="B5" s="89" t="s">
        <v>0</v>
      </c>
      <c r="C5" s="89" t="s">
        <v>0</v>
      </c>
      <c r="D5" s="89" t="s">
        <v>5</v>
      </c>
      <c r="E5" s="89"/>
      <c r="F5" s="88" t="s">
        <v>373</v>
      </c>
      <c r="G5" s="89"/>
      <c r="H5" s="88" t="s">
        <v>374</v>
      </c>
      <c r="I5" s="89"/>
      <c r="J5" s="89" t="s">
        <v>0</v>
      </c>
      <c r="K5" s="99" t="s">
        <v>262</v>
      </c>
      <c r="L5" s="99" t="s">
        <v>263</v>
      </c>
      <c r="M5" s="99" t="s">
        <v>264</v>
      </c>
      <c r="N5" s="99" t="s">
        <v>265</v>
      </c>
      <c r="O5" s="88"/>
      <c r="P5" s="89" t="s">
        <v>555</v>
      </c>
      <c r="Q5" s="89" t="s">
        <v>556</v>
      </c>
      <c r="R5" s="88" t="s">
        <v>350</v>
      </c>
      <c r="S5" s="88"/>
    </row>
    <row r="6" spans="1:19" ht="21" customHeight="1" x14ac:dyDescent="0.2">
      <c r="A6" s="89" t="s">
        <v>0</v>
      </c>
      <c r="B6" s="89" t="s">
        <v>0</v>
      </c>
      <c r="C6" s="89" t="s">
        <v>0</v>
      </c>
      <c r="D6" s="88" t="s">
        <v>371</v>
      </c>
      <c r="E6" s="88" t="s">
        <v>372</v>
      </c>
      <c r="F6" s="88" t="s">
        <v>371</v>
      </c>
      <c r="G6" s="88" t="s">
        <v>372</v>
      </c>
      <c r="H6" s="88" t="s">
        <v>371</v>
      </c>
      <c r="I6" s="88" t="s">
        <v>372</v>
      </c>
      <c r="J6" s="89" t="s">
        <v>0</v>
      </c>
      <c r="K6" s="99"/>
      <c r="L6" s="99"/>
      <c r="M6" s="99"/>
      <c r="N6" s="99"/>
      <c r="O6" s="88"/>
      <c r="P6" s="89"/>
      <c r="Q6" s="89"/>
      <c r="R6" s="89" t="s">
        <v>522</v>
      </c>
      <c r="S6" s="89" t="s">
        <v>557</v>
      </c>
    </row>
    <row r="7" spans="1:19" ht="13.5" customHeight="1" x14ac:dyDescent="0.2">
      <c r="A7" s="89" t="s">
        <v>0</v>
      </c>
      <c r="B7" s="89" t="s">
        <v>0</v>
      </c>
      <c r="C7" s="89" t="s">
        <v>0</v>
      </c>
      <c r="D7" s="88"/>
      <c r="E7" s="89"/>
      <c r="F7" s="88"/>
      <c r="G7" s="89"/>
      <c r="H7" s="88"/>
      <c r="I7" s="89"/>
      <c r="J7" s="89" t="s">
        <v>0</v>
      </c>
      <c r="K7" s="99"/>
      <c r="L7" s="99"/>
      <c r="M7" s="99"/>
      <c r="N7" s="99"/>
      <c r="O7" s="88"/>
      <c r="P7" s="89"/>
      <c r="Q7" s="89"/>
      <c r="R7" s="88"/>
      <c r="S7" s="88"/>
    </row>
    <row r="8" spans="1:19" ht="13.5" customHeight="1" x14ac:dyDescent="0.2">
      <c r="A8" s="48" t="s">
        <v>6</v>
      </c>
      <c r="B8" s="48" t="s">
        <v>7</v>
      </c>
      <c r="C8" s="48" t="s">
        <v>8</v>
      </c>
      <c r="D8" s="48" t="s">
        <v>9</v>
      </c>
      <c r="E8" s="48" t="s">
        <v>10</v>
      </c>
      <c r="F8" s="48" t="s">
        <v>12</v>
      </c>
      <c r="G8" s="48" t="s">
        <v>13</v>
      </c>
      <c r="H8" s="48" t="s">
        <v>22</v>
      </c>
      <c r="I8" s="48" t="s">
        <v>23</v>
      </c>
      <c r="J8" s="48" t="s">
        <v>24</v>
      </c>
      <c r="K8" s="49"/>
      <c r="L8" s="49"/>
      <c r="M8" s="49"/>
      <c r="N8" s="49"/>
      <c r="O8" s="4"/>
      <c r="P8" s="4"/>
      <c r="Q8" s="4"/>
      <c r="R8" s="4"/>
      <c r="S8" s="4"/>
    </row>
    <row r="9" spans="1:19" ht="64.5" customHeight="1" x14ac:dyDescent="0.2">
      <c r="A9" s="50" t="s">
        <v>29</v>
      </c>
      <c r="B9" s="48" t="s">
        <v>30</v>
      </c>
      <c r="C9" s="48" t="s">
        <v>31</v>
      </c>
      <c r="D9" s="51"/>
      <c r="E9" s="51"/>
      <c r="F9" s="48" t="s">
        <v>0</v>
      </c>
      <c r="G9" s="48" t="s">
        <v>0</v>
      </c>
      <c r="H9" s="48" t="s">
        <v>0</v>
      </c>
      <c r="I9" s="48" t="s">
        <v>0</v>
      </c>
      <c r="J9" s="48" t="s">
        <v>0</v>
      </c>
      <c r="K9" s="49"/>
      <c r="L9" s="49"/>
      <c r="M9" s="49"/>
      <c r="N9" s="49"/>
      <c r="O9" s="18">
        <f t="shared" ref="O9:S9" si="0">O252</f>
        <v>843706549.0200001</v>
      </c>
      <c r="P9" s="18">
        <f t="shared" si="0"/>
        <v>709498974.88999999</v>
      </c>
      <c r="Q9" s="18">
        <f t="shared" si="0"/>
        <v>758817992.93999994</v>
      </c>
      <c r="R9" s="18">
        <f t="shared" si="0"/>
        <v>484100049.81999999</v>
      </c>
      <c r="S9" s="18">
        <f t="shared" si="0"/>
        <v>456797181.99000001</v>
      </c>
    </row>
    <row r="10" spans="1:19" ht="83.25" customHeight="1" x14ac:dyDescent="0.2">
      <c r="A10" s="52" t="s">
        <v>32</v>
      </c>
      <c r="B10" s="48" t="s">
        <v>33</v>
      </c>
      <c r="C10" s="48" t="s">
        <v>34</v>
      </c>
      <c r="D10" s="51"/>
      <c r="E10" s="48"/>
      <c r="F10" s="48" t="s">
        <v>0</v>
      </c>
      <c r="G10" s="48" t="s">
        <v>0</v>
      </c>
      <c r="H10" s="48" t="s">
        <v>0</v>
      </c>
      <c r="I10" s="48" t="s">
        <v>0</v>
      </c>
      <c r="J10" s="48" t="s">
        <v>0</v>
      </c>
      <c r="K10" s="49"/>
      <c r="L10" s="49"/>
      <c r="M10" s="49"/>
      <c r="N10" s="49"/>
      <c r="O10" s="17">
        <f>O11+O133</f>
        <v>579135430.93000007</v>
      </c>
      <c r="P10" s="17">
        <f>P11+P133</f>
        <v>451775335.93000001</v>
      </c>
      <c r="Q10" s="17">
        <f>Q11+Q133</f>
        <v>462565884.40999997</v>
      </c>
      <c r="R10" s="17">
        <f>R11+R133</f>
        <v>193678501.94</v>
      </c>
      <c r="S10" s="17">
        <f>S11+S133</f>
        <v>162909898.15000001</v>
      </c>
    </row>
    <row r="11" spans="1:19" ht="88.5" customHeight="1" x14ac:dyDescent="0.2">
      <c r="A11" s="53" t="s">
        <v>35</v>
      </c>
      <c r="B11" s="48" t="s">
        <v>36</v>
      </c>
      <c r="C11" s="48" t="s">
        <v>37</v>
      </c>
      <c r="D11" s="51"/>
      <c r="E11" s="48"/>
      <c r="F11" s="48" t="s">
        <v>0</v>
      </c>
      <c r="G11" s="48" t="s">
        <v>0</v>
      </c>
      <c r="H11" s="48" t="s">
        <v>0</v>
      </c>
      <c r="I11" s="48" t="s">
        <v>0</v>
      </c>
      <c r="J11" s="48" t="s">
        <v>0</v>
      </c>
      <c r="K11" s="49"/>
      <c r="L11" s="49"/>
      <c r="M11" s="49"/>
      <c r="N11" s="49"/>
      <c r="O11" s="20">
        <f>O30+O31+O32+O33+O38+O50+O60+O69+O70+O12+O22+O77+O83+O93+O96+O108+O111+O112+O113+O114+O122+O127+O24+O121+O119</f>
        <v>573315471.58000004</v>
      </c>
      <c r="P11" s="20">
        <f>P30+P31+P32+P33+P38+P50+P60+P69+P70+P12+P22+P77+P83+P93+P96+P108+P111+P112+P113+P114+P122+P127+P24+P121+P119+P120</f>
        <v>445955376.57999998</v>
      </c>
      <c r="Q11" s="20">
        <f t="shared" ref="Q11:S11" si="1">Q30+Q31+Q32+Q33+Q38+Q50+Q60+Q69+Q70+Q12+Q22+Q77+Q83+Q93+Q96+Q108+Q111+Q112+Q113+Q114+Q122+Q127+Q24+Q121+Q119+Q120</f>
        <v>456672284.40999997</v>
      </c>
      <c r="R11" s="20">
        <f t="shared" si="1"/>
        <v>187784901.94</v>
      </c>
      <c r="S11" s="20">
        <f t="shared" si="1"/>
        <v>157016298.15000001</v>
      </c>
    </row>
    <row r="12" spans="1:19" s="1" customFormat="1" ht="26.25" customHeight="1" x14ac:dyDescent="0.2">
      <c r="A12" s="87" t="s">
        <v>66</v>
      </c>
      <c r="B12" s="87" t="s">
        <v>67</v>
      </c>
      <c r="C12" s="87" t="s">
        <v>68</v>
      </c>
      <c r="D12" s="87" t="s">
        <v>69</v>
      </c>
      <c r="E12" s="87" t="s">
        <v>41</v>
      </c>
      <c r="F12" s="87" t="s">
        <v>447</v>
      </c>
      <c r="G12" s="87" t="s">
        <v>41</v>
      </c>
      <c r="H12" s="87" t="s">
        <v>446</v>
      </c>
      <c r="I12" s="87" t="s">
        <v>41</v>
      </c>
      <c r="J12" s="87" t="s">
        <v>6</v>
      </c>
      <c r="K12" s="43" t="s">
        <v>270</v>
      </c>
      <c r="L12" s="43" t="s">
        <v>285</v>
      </c>
      <c r="M12" s="43" t="s">
        <v>272</v>
      </c>
      <c r="N12" s="43" t="s">
        <v>273</v>
      </c>
      <c r="O12" s="77">
        <f t="shared" ref="O12" si="2">SUM(O13:O21)</f>
        <v>1905260.22</v>
      </c>
      <c r="P12" s="77">
        <f t="shared" ref="P12:S12" si="3">SUM(P13:P21)</f>
        <v>1848477.55</v>
      </c>
      <c r="Q12" s="77">
        <f t="shared" si="3"/>
        <v>1207976.47</v>
      </c>
      <c r="R12" s="77">
        <f t="shared" si="3"/>
        <v>352300</v>
      </c>
      <c r="S12" s="77">
        <f t="shared" si="3"/>
        <v>352300</v>
      </c>
    </row>
    <row r="13" spans="1:19" s="1" customFormat="1" ht="26.25" customHeight="1" x14ac:dyDescent="0.2">
      <c r="A13" s="87"/>
      <c r="B13" s="87"/>
      <c r="C13" s="87"/>
      <c r="D13" s="87"/>
      <c r="E13" s="87"/>
      <c r="F13" s="87"/>
      <c r="G13" s="87"/>
      <c r="H13" s="87"/>
      <c r="I13" s="87"/>
      <c r="J13" s="87"/>
      <c r="K13" s="43" t="s">
        <v>270</v>
      </c>
      <c r="L13" s="43" t="s">
        <v>151</v>
      </c>
      <c r="M13" s="43" t="s">
        <v>348</v>
      </c>
      <c r="N13" s="43" t="s">
        <v>271</v>
      </c>
      <c r="O13" s="14">
        <v>427500</v>
      </c>
      <c r="P13" s="14">
        <v>419500</v>
      </c>
      <c r="Q13" s="14">
        <v>547500</v>
      </c>
      <c r="R13" s="77"/>
      <c r="S13" s="77"/>
    </row>
    <row r="14" spans="1:19" s="1" customFormat="1" ht="26.25" customHeight="1" x14ac:dyDescent="0.2">
      <c r="A14" s="87"/>
      <c r="B14" s="87"/>
      <c r="C14" s="87"/>
      <c r="D14" s="87"/>
      <c r="E14" s="87"/>
      <c r="F14" s="87"/>
      <c r="G14" s="87"/>
      <c r="H14" s="87"/>
      <c r="I14" s="87"/>
      <c r="J14" s="87"/>
      <c r="K14" s="43" t="s">
        <v>270</v>
      </c>
      <c r="L14" s="43" t="s">
        <v>151</v>
      </c>
      <c r="M14" s="43" t="s">
        <v>494</v>
      </c>
      <c r="N14" s="43" t="s">
        <v>295</v>
      </c>
      <c r="O14" s="15">
        <v>310200</v>
      </c>
      <c r="P14" s="15">
        <v>261417.33</v>
      </c>
      <c r="Q14" s="14">
        <v>352300</v>
      </c>
      <c r="R14" s="14">
        <v>352300</v>
      </c>
      <c r="S14" s="14">
        <v>352300</v>
      </c>
    </row>
    <row r="15" spans="1:19" s="1" customFormat="1" ht="26.25" customHeight="1" x14ac:dyDescent="0.2">
      <c r="A15" s="87"/>
      <c r="B15" s="87"/>
      <c r="C15" s="87"/>
      <c r="D15" s="87"/>
      <c r="E15" s="87"/>
      <c r="F15" s="87"/>
      <c r="G15" s="87"/>
      <c r="H15" s="87"/>
      <c r="I15" s="87"/>
      <c r="J15" s="87"/>
      <c r="K15" s="43" t="s">
        <v>270</v>
      </c>
      <c r="L15" s="43" t="s">
        <v>110</v>
      </c>
      <c r="M15" s="43" t="s">
        <v>346</v>
      </c>
      <c r="N15" s="43" t="s">
        <v>276</v>
      </c>
      <c r="O15" s="14">
        <v>38365</v>
      </c>
      <c r="P15" s="14">
        <v>38365</v>
      </c>
      <c r="Q15" s="14">
        <v>38500</v>
      </c>
      <c r="R15" s="14"/>
      <c r="S15" s="14"/>
    </row>
    <row r="16" spans="1:19" s="1" customFormat="1" ht="26.25" customHeight="1" x14ac:dyDescent="0.2">
      <c r="A16" s="87"/>
      <c r="B16" s="87"/>
      <c r="C16" s="87"/>
      <c r="D16" s="87"/>
      <c r="E16" s="87"/>
      <c r="F16" s="87"/>
      <c r="G16" s="87"/>
      <c r="H16" s="87"/>
      <c r="I16" s="87"/>
      <c r="J16" s="87"/>
      <c r="K16" s="43" t="s">
        <v>270</v>
      </c>
      <c r="L16" s="43" t="s">
        <v>93</v>
      </c>
      <c r="M16" s="43" t="s">
        <v>526</v>
      </c>
      <c r="N16" s="43" t="s">
        <v>271</v>
      </c>
      <c r="O16" s="14">
        <v>260000</v>
      </c>
      <c r="P16" s="14">
        <v>260000</v>
      </c>
      <c r="Q16" s="14">
        <v>0</v>
      </c>
      <c r="R16" s="14"/>
      <c r="S16" s="14"/>
    </row>
    <row r="17" spans="1:19" s="1" customFormat="1" ht="26.25" customHeight="1" x14ac:dyDescent="0.2">
      <c r="A17" s="87"/>
      <c r="B17" s="87"/>
      <c r="C17" s="87"/>
      <c r="D17" s="87"/>
      <c r="E17" s="87"/>
      <c r="F17" s="87"/>
      <c r="G17" s="87"/>
      <c r="H17" s="87"/>
      <c r="I17" s="87"/>
      <c r="J17" s="87"/>
      <c r="K17" s="43" t="s">
        <v>270</v>
      </c>
      <c r="L17" s="43" t="s">
        <v>93</v>
      </c>
      <c r="M17" s="43" t="s">
        <v>503</v>
      </c>
      <c r="N17" s="43" t="s">
        <v>505</v>
      </c>
      <c r="O17" s="14">
        <v>310000</v>
      </c>
      <c r="P17" s="14">
        <v>310000</v>
      </c>
      <c r="Q17" s="14">
        <v>0</v>
      </c>
      <c r="R17" s="14"/>
      <c r="S17" s="14"/>
    </row>
    <row r="18" spans="1:19" s="1" customFormat="1" ht="26.25" customHeight="1" x14ac:dyDescent="0.2">
      <c r="A18" s="87"/>
      <c r="B18" s="87"/>
      <c r="C18" s="87"/>
      <c r="D18" s="87"/>
      <c r="E18" s="87"/>
      <c r="F18" s="87"/>
      <c r="G18" s="87"/>
      <c r="H18" s="87"/>
      <c r="I18" s="87"/>
      <c r="J18" s="87"/>
      <c r="K18" s="43" t="s">
        <v>270</v>
      </c>
      <c r="L18" s="43" t="s">
        <v>93</v>
      </c>
      <c r="M18" s="43" t="s">
        <v>504</v>
      </c>
      <c r="N18" s="43" t="s">
        <v>271</v>
      </c>
      <c r="O18" s="14">
        <v>0</v>
      </c>
      <c r="P18" s="14"/>
      <c r="Q18" s="14">
        <v>0</v>
      </c>
      <c r="R18" s="14"/>
      <c r="S18" s="14"/>
    </row>
    <row r="19" spans="1:19" s="1" customFormat="1" ht="26.25" customHeight="1" x14ac:dyDescent="0.2">
      <c r="A19" s="87"/>
      <c r="B19" s="87"/>
      <c r="C19" s="87"/>
      <c r="D19" s="87"/>
      <c r="E19" s="87"/>
      <c r="F19" s="87"/>
      <c r="G19" s="87"/>
      <c r="H19" s="87"/>
      <c r="I19" s="87"/>
      <c r="J19" s="87"/>
      <c r="K19" s="43" t="s">
        <v>270</v>
      </c>
      <c r="L19" s="43" t="s">
        <v>246</v>
      </c>
      <c r="M19" s="43" t="s">
        <v>301</v>
      </c>
      <c r="N19" s="43" t="s">
        <v>546</v>
      </c>
      <c r="O19" s="14">
        <v>559195.22</v>
      </c>
      <c r="P19" s="14">
        <f>45431.29+483850.18+29913.75</f>
        <v>559195.22</v>
      </c>
      <c r="Q19" s="14">
        <f>53610.44</f>
        <v>53610.44</v>
      </c>
      <c r="R19" s="77"/>
      <c r="S19" s="77"/>
    </row>
    <row r="20" spans="1:19" s="1" customFormat="1" ht="26.25" customHeight="1" x14ac:dyDescent="0.2">
      <c r="A20" s="87"/>
      <c r="B20" s="87"/>
      <c r="C20" s="87"/>
      <c r="D20" s="87"/>
      <c r="E20" s="87"/>
      <c r="F20" s="87"/>
      <c r="G20" s="87"/>
      <c r="H20" s="87"/>
      <c r="I20" s="87"/>
      <c r="J20" s="87"/>
      <c r="K20" s="43" t="s">
        <v>270</v>
      </c>
      <c r="L20" s="43" t="s">
        <v>246</v>
      </c>
      <c r="M20" s="43" t="s">
        <v>301</v>
      </c>
      <c r="N20" s="43" t="s">
        <v>466</v>
      </c>
      <c r="O20" s="14">
        <v>0</v>
      </c>
      <c r="P20" s="14">
        <v>0</v>
      </c>
      <c r="Q20" s="14">
        <f>216066.03</f>
        <v>216066.03</v>
      </c>
      <c r="R20" s="77"/>
      <c r="S20" s="77"/>
    </row>
    <row r="21" spans="1:19" s="1" customFormat="1" ht="26.25" customHeight="1" x14ac:dyDescent="0.2">
      <c r="A21" s="87"/>
      <c r="B21" s="87"/>
      <c r="C21" s="87"/>
      <c r="D21" s="87"/>
      <c r="E21" s="87"/>
      <c r="F21" s="87"/>
      <c r="G21" s="87"/>
      <c r="H21" s="87"/>
      <c r="I21" s="87"/>
      <c r="J21" s="87"/>
      <c r="K21" s="43" t="s">
        <v>270</v>
      </c>
      <c r="L21" s="43" t="s">
        <v>246</v>
      </c>
      <c r="M21" s="43" t="s">
        <v>301</v>
      </c>
      <c r="N21" s="43" t="s">
        <v>274</v>
      </c>
      <c r="O21" s="14">
        <v>0</v>
      </c>
      <c r="P21" s="14">
        <v>0</v>
      </c>
      <c r="Q21" s="14">
        <v>0</v>
      </c>
      <c r="R21" s="77"/>
      <c r="S21" s="77"/>
    </row>
    <row r="22" spans="1:19" s="1" customFormat="1" ht="73.5" customHeight="1" x14ac:dyDescent="0.2">
      <c r="A22" s="90" t="s">
        <v>532</v>
      </c>
      <c r="B22" s="45" t="s">
        <v>533</v>
      </c>
      <c r="C22" s="45">
        <v>1006</v>
      </c>
      <c r="D22" s="45" t="s">
        <v>257</v>
      </c>
      <c r="E22" s="30" t="s">
        <v>542</v>
      </c>
      <c r="F22" s="45"/>
      <c r="G22" s="45"/>
      <c r="H22" s="45"/>
      <c r="I22" s="45"/>
      <c r="J22" s="45">
        <v>1</v>
      </c>
      <c r="K22" s="43" t="s">
        <v>270</v>
      </c>
      <c r="L22" s="43" t="s">
        <v>273</v>
      </c>
      <c r="M22" s="43" t="s">
        <v>272</v>
      </c>
      <c r="N22" s="43" t="s">
        <v>273</v>
      </c>
      <c r="O22" s="14">
        <f t="shared" ref="O22:S22" si="4">O23</f>
        <v>105928</v>
      </c>
      <c r="P22" s="14">
        <f t="shared" si="4"/>
        <v>105928</v>
      </c>
      <c r="Q22" s="14">
        <f t="shared" si="4"/>
        <v>20900</v>
      </c>
      <c r="R22" s="14">
        <f t="shared" si="4"/>
        <v>20900</v>
      </c>
      <c r="S22" s="14">
        <f t="shared" si="4"/>
        <v>20900</v>
      </c>
    </row>
    <row r="23" spans="1:19" s="1" customFormat="1" ht="71.25" customHeight="1" x14ac:dyDescent="0.2">
      <c r="A23" s="90"/>
      <c r="B23" s="45"/>
      <c r="C23" s="45"/>
      <c r="D23" s="45" t="s">
        <v>541</v>
      </c>
      <c r="E23" s="45" t="s">
        <v>41</v>
      </c>
      <c r="F23" s="45"/>
      <c r="G23" s="45"/>
      <c r="H23" s="45"/>
      <c r="I23" s="45"/>
      <c r="J23" s="45"/>
      <c r="K23" s="43" t="s">
        <v>270</v>
      </c>
      <c r="L23" s="43" t="s">
        <v>534</v>
      </c>
      <c r="M23" s="43" t="s">
        <v>535</v>
      </c>
      <c r="N23" s="43" t="s">
        <v>271</v>
      </c>
      <c r="O23" s="14">
        <v>105928</v>
      </c>
      <c r="P23" s="14">
        <v>105928</v>
      </c>
      <c r="Q23" s="14">
        <v>20900</v>
      </c>
      <c r="R23" s="77">
        <v>20900</v>
      </c>
      <c r="S23" s="77">
        <v>20900</v>
      </c>
    </row>
    <row r="24" spans="1:19" s="1" customFormat="1" ht="86.25" customHeight="1" x14ac:dyDescent="0.2">
      <c r="A24" s="87" t="s">
        <v>106</v>
      </c>
      <c r="B24" s="87" t="s">
        <v>107</v>
      </c>
      <c r="C24" s="87" t="s">
        <v>108</v>
      </c>
      <c r="D24" s="87" t="s">
        <v>109</v>
      </c>
      <c r="E24" s="87" t="s">
        <v>41</v>
      </c>
      <c r="F24" s="87" t="s">
        <v>455</v>
      </c>
      <c r="G24" s="87" t="s">
        <v>41</v>
      </c>
      <c r="H24" s="87" t="s">
        <v>520</v>
      </c>
      <c r="I24" s="87" t="s">
        <v>41</v>
      </c>
      <c r="J24" s="87" t="s">
        <v>9</v>
      </c>
      <c r="K24" s="103" t="s">
        <v>270</v>
      </c>
      <c r="L24" s="103" t="s">
        <v>110</v>
      </c>
      <c r="M24" s="19" t="s">
        <v>272</v>
      </c>
      <c r="N24" s="43" t="s">
        <v>273</v>
      </c>
      <c r="O24" s="77">
        <f t="shared" ref="O24" si="5">O25+O26+O27+O28+O29</f>
        <v>5105080</v>
      </c>
      <c r="P24" s="77">
        <f t="shared" ref="P24:S24" si="6">P25+P26+P27+P28+P29</f>
        <v>5105059.8399999999</v>
      </c>
      <c r="Q24" s="77">
        <f t="shared" si="6"/>
        <v>6627500</v>
      </c>
      <c r="R24" s="77">
        <f t="shared" si="6"/>
        <v>0</v>
      </c>
      <c r="S24" s="77">
        <f t="shared" si="6"/>
        <v>0</v>
      </c>
    </row>
    <row r="25" spans="1:19" s="1" customFormat="1" ht="32.25" customHeight="1" x14ac:dyDescent="0.2">
      <c r="A25" s="87"/>
      <c r="B25" s="87"/>
      <c r="C25" s="87"/>
      <c r="D25" s="87"/>
      <c r="E25" s="87"/>
      <c r="F25" s="87"/>
      <c r="G25" s="87"/>
      <c r="H25" s="87"/>
      <c r="I25" s="87"/>
      <c r="J25" s="87"/>
      <c r="K25" s="103"/>
      <c r="L25" s="103"/>
      <c r="M25" s="40" t="s">
        <v>493</v>
      </c>
      <c r="N25" s="43" t="s">
        <v>271</v>
      </c>
      <c r="O25" s="77">
        <f>104832+6048</f>
        <v>110880</v>
      </c>
      <c r="P25" s="77">
        <v>110880</v>
      </c>
      <c r="Q25" s="77">
        <f>115400+8600</f>
        <v>124000</v>
      </c>
      <c r="R25" s="77"/>
      <c r="S25" s="77"/>
    </row>
    <row r="26" spans="1:19" s="1" customFormat="1" ht="54.75" customHeight="1" x14ac:dyDescent="0.2">
      <c r="A26" s="87"/>
      <c r="B26" s="87"/>
      <c r="C26" s="87"/>
      <c r="D26" s="87"/>
      <c r="E26" s="87"/>
      <c r="F26" s="87"/>
      <c r="G26" s="87"/>
      <c r="H26" s="87"/>
      <c r="I26" s="87"/>
      <c r="J26" s="87"/>
      <c r="K26" s="103"/>
      <c r="L26" s="103"/>
      <c r="M26" s="40" t="s">
        <v>552</v>
      </c>
      <c r="N26" s="43" t="s">
        <v>271</v>
      </c>
      <c r="O26" s="14">
        <v>4994200</v>
      </c>
      <c r="P26" s="14">
        <v>4994179.84</v>
      </c>
      <c r="Q26" s="14">
        <v>6503500</v>
      </c>
      <c r="R26" s="14">
        <v>0</v>
      </c>
      <c r="S26" s="14">
        <v>0</v>
      </c>
    </row>
    <row r="27" spans="1:19" s="1" customFormat="1" ht="48" customHeight="1" x14ac:dyDescent="0.2">
      <c r="A27" s="87"/>
      <c r="B27" s="87"/>
      <c r="C27" s="87"/>
      <c r="D27" s="87"/>
      <c r="E27" s="87"/>
      <c r="F27" s="87"/>
      <c r="G27" s="87"/>
      <c r="H27" s="87"/>
      <c r="I27" s="87"/>
      <c r="J27" s="87"/>
      <c r="K27" s="103"/>
      <c r="L27" s="103"/>
      <c r="M27" s="40" t="s">
        <v>346</v>
      </c>
      <c r="N27" s="43" t="s">
        <v>276</v>
      </c>
      <c r="O27" s="14"/>
      <c r="P27" s="14"/>
      <c r="Q27" s="14"/>
      <c r="R27" s="14"/>
      <c r="S27" s="77"/>
    </row>
    <row r="28" spans="1:19" s="1" customFormat="1" ht="97.5" customHeight="1" x14ac:dyDescent="0.2">
      <c r="A28" s="87"/>
      <c r="B28" s="87"/>
      <c r="C28" s="87"/>
      <c r="D28" s="87"/>
      <c r="E28" s="87"/>
      <c r="F28" s="87"/>
      <c r="G28" s="87"/>
      <c r="H28" s="87"/>
      <c r="I28" s="87"/>
      <c r="J28" s="87"/>
      <c r="K28" s="103"/>
      <c r="L28" s="103"/>
      <c r="M28" s="103" t="s">
        <v>459</v>
      </c>
      <c r="N28" s="43" t="s">
        <v>299</v>
      </c>
      <c r="O28" s="14"/>
      <c r="P28" s="14"/>
      <c r="Q28" s="14"/>
      <c r="R28" s="77"/>
      <c r="S28" s="77"/>
    </row>
    <row r="29" spans="1:19" s="1" customFormat="1" ht="24" customHeight="1" x14ac:dyDescent="0.2">
      <c r="A29" s="87"/>
      <c r="B29" s="87"/>
      <c r="C29" s="87"/>
      <c r="D29" s="87"/>
      <c r="E29" s="87"/>
      <c r="F29" s="87"/>
      <c r="G29" s="87"/>
      <c r="H29" s="87"/>
      <c r="I29" s="87"/>
      <c r="J29" s="87"/>
      <c r="K29" s="103"/>
      <c r="L29" s="103"/>
      <c r="M29" s="103"/>
      <c r="N29" s="43" t="s">
        <v>271</v>
      </c>
      <c r="O29" s="14"/>
      <c r="P29" s="14"/>
      <c r="Q29" s="14"/>
      <c r="R29" s="77"/>
      <c r="S29" s="77"/>
    </row>
    <row r="30" spans="1:19" s="1" customFormat="1" ht="27" customHeight="1" x14ac:dyDescent="0.2">
      <c r="A30" s="87" t="s">
        <v>38</v>
      </c>
      <c r="B30" s="87" t="s">
        <v>39</v>
      </c>
      <c r="C30" s="87" t="s">
        <v>40</v>
      </c>
      <c r="D30" s="87" t="s">
        <v>257</v>
      </c>
      <c r="E30" s="87" t="s">
        <v>258</v>
      </c>
      <c r="F30" s="87" t="s">
        <v>383</v>
      </c>
      <c r="G30" s="87" t="s">
        <v>41</v>
      </c>
      <c r="H30" s="87" t="s">
        <v>375</v>
      </c>
      <c r="I30" s="87" t="s">
        <v>41</v>
      </c>
      <c r="J30" s="87" t="s">
        <v>17</v>
      </c>
      <c r="K30" s="43" t="s">
        <v>270</v>
      </c>
      <c r="L30" s="43" t="s">
        <v>205</v>
      </c>
      <c r="M30" s="43" t="s">
        <v>275</v>
      </c>
      <c r="N30" s="43" t="s">
        <v>277</v>
      </c>
      <c r="O30" s="14">
        <v>101000</v>
      </c>
      <c r="P30" s="14">
        <v>101000</v>
      </c>
      <c r="Q30" s="14">
        <f>25000+15000+20000</f>
        <v>60000</v>
      </c>
      <c r="R30" s="77"/>
      <c r="S30" s="77"/>
    </row>
    <row r="31" spans="1:19" s="1" customFormat="1" ht="84.75" customHeight="1" x14ac:dyDescent="0.2">
      <c r="A31" s="87"/>
      <c r="B31" s="87"/>
      <c r="C31" s="87"/>
      <c r="D31" s="87"/>
      <c r="E31" s="87"/>
      <c r="F31" s="87"/>
      <c r="G31" s="87"/>
      <c r="H31" s="87"/>
      <c r="I31" s="87"/>
      <c r="J31" s="87"/>
      <c r="K31" s="43" t="s">
        <v>274</v>
      </c>
      <c r="L31" s="43" t="s">
        <v>281</v>
      </c>
      <c r="M31" s="43" t="s">
        <v>275</v>
      </c>
      <c r="N31" s="43" t="s">
        <v>282</v>
      </c>
      <c r="O31" s="14">
        <v>899000</v>
      </c>
      <c r="P31" s="14">
        <v>0</v>
      </c>
      <c r="Q31" s="14">
        <f>1000000-25000-20000-15000</f>
        <v>940000</v>
      </c>
      <c r="R31" s="77"/>
      <c r="S31" s="77"/>
    </row>
    <row r="32" spans="1:19" s="1" customFormat="1" ht="75" customHeight="1" x14ac:dyDescent="0.2">
      <c r="A32" s="45" t="s">
        <v>461</v>
      </c>
      <c r="B32" s="45" t="s">
        <v>460</v>
      </c>
      <c r="C32" s="45">
        <v>1016</v>
      </c>
      <c r="D32" s="45" t="s">
        <v>257</v>
      </c>
      <c r="E32" s="45" t="s">
        <v>258</v>
      </c>
      <c r="F32" s="45" t="s">
        <v>464</v>
      </c>
      <c r="G32" s="45" t="s">
        <v>41</v>
      </c>
      <c r="H32" s="45" t="s">
        <v>465</v>
      </c>
      <c r="I32" s="45"/>
      <c r="J32" s="45"/>
      <c r="K32" s="43" t="s">
        <v>270</v>
      </c>
      <c r="L32" s="43" t="s">
        <v>462</v>
      </c>
      <c r="M32" s="43" t="s">
        <v>463</v>
      </c>
      <c r="N32" s="43" t="s">
        <v>271</v>
      </c>
      <c r="O32" s="14"/>
      <c r="P32" s="14"/>
      <c r="Q32" s="14"/>
      <c r="R32" s="77"/>
      <c r="S32" s="77"/>
    </row>
    <row r="33" spans="1:19" s="1" customFormat="1" ht="33" customHeight="1" x14ac:dyDescent="0.2">
      <c r="A33" s="87" t="s">
        <v>42</v>
      </c>
      <c r="B33" s="87" t="s">
        <v>43</v>
      </c>
      <c r="C33" s="87" t="s">
        <v>44</v>
      </c>
      <c r="D33" s="87" t="s">
        <v>257</v>
      </c>
      <c r="E33" s="87" t="s">
        <v>258</v>
      </c>
      <c r="F33" s="87" t="s">
        <v>377</v>
      </c>
      <c r="G33" s="87" t="s">
        <v>41</v>
      </c>
      <c r="H33" s="87" t="s">
        <v>442</v>
      </c>
      <c r="I33" s="87" t="s">
        <v>0</v>
      </c>
      <c r="J33" s="87" t="s">
        <v>11</v>
      </c>
      <c r="K33" s="101" t="s">
        <v>276</v>
      </c>
      <c r="L33" s="101" t="s">
        <v>46</v>
      </c>
      <c r="M33" s="43" t="s">
        <v>273</v>
      </c>
      <c r="N33" s="43" t="s">
        <v>273</v>
      </c>
      <c r="O33" s="77">
        <f t="shared" ref="O33" si="7">SUM(O34:O37)</f>
        <v>10799731.25</v>
      </c>
      <c r="P33" s="77">
        <f t="shared" ref="P33:S33" si="8">SUM(P34:P37)</f>
        <v>10743580.25</v>
      </c>
      <c r="Q33" s="77">
        <f t="shared" si="8"/>
        <v>11963278.91</v>
      </c>
      <c r="R33" s="77">
        <f t="shared" si="8"/>
        <v>10866700</v>
      </c>
      <c r="S33" s="77">
        <f t="shared" si="8"/>
        <v>10866700</v>
      </c>
    </row>
    <row r="34" spans="1:19" s="2" customFormat="1" ht="51" customHeight="1" x14ac:dyDescent="0.2">
      <c r="A34" s="87"/>
      <c r="B34" s="87"/>
      <c r="C34" s="87"/>
      <c r="D34" s="87"/>
      <c r="E34" s="87"/>
      <c r="F34" s="87"/>
      <c r="G34" s="87"/>
      <c r="H34" s="87"/>
      <c r="I34" s="87"/>
      <c r="J34" s="87"/>
      <c r="K34" s="101"/>
      <c r="L34" s="101"/>
      <c r="M34" s="43" t="s">
        <v>329</v>
      </c>
      <c r="N34" s="43" t="s">
        <v>279</v>
      </c>
      <c r="O34" s="14">
        <v>9949427.25</v>
      </c>
      <c r="P34" s="14">
        <v>9949427.25</v>
      </c>
      <c r="Q34" s="14">
        <v>11166700</v>
      </c>
      <c r="R34" s="14">
        <v>10866700</v>
      </c>
      <c r="S34" s="14">
        <v>10866700</v>
      </c>
    </row>
    <row r="35" spans="1:19" s="2" customFormat="1" ht="44.25" customHeight="1" x14ac:dyDescent="0.2">
      <c r="A35" s="87"/>
      <c r="B35" s="87"/>
      <c r="C35" s="87"/>
      <c r="D35" s="87"/>
      <c r="E35" s="87"/>
      <c r="F35" s="87"/>
      <c r="G35" s="87"/>
      <c r="H35" s="87"/>
      <c r="I35" s="87"/>
      <c r="J35" s="87"/>
      <c r="K35" s="101"/>
      <c r="L35" s="101"/>
      <c r="M35" s="43" t="s">
        <v>330</v>
      </c>
      <c r="N35" s="43" t="s">
        <v>280</v>
      </c>
      <c r="O35" s="14">
        <v>71720</v>
      </c>
      <c r="P35" s="14">
        <v>65374</v>
      </c>
      <c r="Q35" s="14">
        <v>666578.91</v>
      </c>
      <c r="R35" s="77"/>
      <c r="S35" s="77"/>
    </row>
    <row r="36" spans="1:19" s="2" customFormat="1" ht="50.25" customHeight="1" x14ac:dyDescent="0.2">
      <c r="A36" s="87"/>
      <c r="B36" s="87"/>
      <c r="C36" s="87"/>
      <c r="D36" s="87"/>
      <c r="E36" s="87"/>
      <c r="F36" s="87"/>
      <c r="G36" s="87"/>
      <c r="H36" s="87"/>
      <c r="I36" s="87"/>
      <c r="J36" s="87"/>
      <c r="K36" s="101"/>
      <c r="L36" s="101"/>
      <c r="M36" s="43" t="s">
        <v>331</v>
      </c>
      <c r="N36" s="43" t="s">
        <v>280</v>
      </c>
      <c r="O36" s="14">
        <v>778584</v>
      </c>
      <c r="P36" s="14">
        <v>728779</v>
      </c>
      <c r="Q36" s="14">
        <v>130000</v>
      </c>
      <c r="R36" s="77"/>
      <c r="S36" s="77"/>
    </row>
    <row r="37" spans="1:19" s="2" customFormat="1" ht="33" customHeight="1" x14ac:dyDescent="0.2">
      <c r="A37" s="87"/>
      <c r="B37" s="87"/>
      <c r="C37" s="87"/>
      <c r="D37" s="87"/>
      <c r="E37" s="87"/>
      <c r="F37" s="87"/>
      <c r="G37" s="87"/>
      <c r="H37" s="87"/>
      <c r="I37" s="87"/>
      <c r="J37" s="87"/>
      <c r="K37" s="101"/>
      <c r="L37" s="101"/>
      <c r="M37" s="43" t="s">
        <v>283</v>
      </c>
      <c r="N37" s="43" t="s">
        <v>280</v>
      </c>
      <c r="O37" s="77"/>
      <c r="P37" s="77"/>
      <c r="Q37" s="77"/>
      <c r="R37" s="77"/>
      <c r="S37" s="77"/>
    </row>
    <row r="38" spans="1:19" s="1" customFormat="1" ht="26.45" customHeight="1" x14ac:dyDescent="0.2">
      <c r="A38" s="93" t="s">
        <v>47</v>
      </c>
      <c r="B38" s="87" t="s">
        <v>48</v>
      </c>
      <c r="C38" s="93" t="s">
        <v>49</v>
      </c>
      <c r="D38" s="87" t="s">
        <v>257</v>
      </c>
      <c r="E38" s="87" t="s">
        <v>258</v>
      </c>
      <c r="F38" s="87" t="s">
        <v>377</v>
      </c>
      <c r="G38" s="87" t="s">
        <v>41</v>
      </c>
      <c r="H38" s="87" t="s">
        <v>442</v>
      </c>
      <c r="I38" s="87" t="s">
        <v>0</v>
      </c>
      <c r="J38" s="87" t="s">
        <v>11</v>
      </c>
      <c r="K38" s="109" t="s">
        <v>276</v>
      </c>
      <c r="L38" s="109" t="s">
        <v>50</v>
      </c>
      <c r="M38" s="5" t="s">
        <v>273</v>
      </c>
      <c r="N38" s="5" t="s">
        <v>273</v>
      </c>
      <c r="O38" s="4">
        <f t="shared" ref="O38" si="9">SUM(O39:O49)</f>
        <v>79041094.580000013</v>
      </c>
      <c r="P38" s="4">
        <f t="shared" ref="P38:S38" si="10">SUM(P39:P49)</f>
        <v>69408407.950000003</v>
      </c>
      <c r="Q38" s="4">
        <f t="shared" si="10"/>
        <v>36542167.169999994</v>
      </c>
      <c r="R38" s="4">
        <f t="shared" si="10"/>
        <v>24376091.170000002</v>
      </c>
      <c r="S38" s="4">
        <f t="shared" si="10"/>
        <v>23746832.170000002</v>
      </c>
    </row>
    <row r="39" spans="1:19" s="1" customFormat="1" ht="26.45" customHeight="1" x14ac:dyDescent="0.2">
      <c r="A39" s="93"/>
      <c r="B39" s="87"/>
      <c r="C39" s="93"/>
      <c r="D39" s="87"/>
      <c r="E39" s="87"/>
      <c r="F39" s="87"/>
      <c r="G39" s="87"/>
      <c r="H39" s="87"/>
      <c r="I39" s="87"/>
      <c r="J39" s="87"/>
      <c r="K39" s="109"/>
      <c r="L39" s="109"/>
      <c r="M39" s="43" t="s">
        <v>529</v>
      </c>
      <c r="N39" s="49" t="s">
        <v>280</v>
      </c>
      <c r="O39" s="14">
        <v>705717.84</v>
      </c>
      <c r="P39" s="14">
        <v>705717.84</v>
      </c>
      <c r="Q39" s="14">
        <f>350915.04+354802.8</f>
        <v>705717.84</v>
      </c>
      <c r="R39" s="14">
        <f>373405.58+373405.58</f>
        <v>746811.16</v>
      </c>
      <c r="S39" s="14">
        <v>746811.16</v>
      </c>
    </row>
    <row r="40" spans="1:19" s="1" customFormat="1" ht="30.75" customHeight="1" x14ac:dyDescent="0.2">
      <c r="A40" s="93"/>
      <c r="B40" s="87"/>
      <c r="C40" s="93"/>
      <c r="D40" s="87"/>
      <c r="E40" s="87"/>
      <c r="F40" s="87"/>
      <c r="G40" s="87"/>
      <c r="H40" s="87"/>
      <c r="I40" s="87"/>
      <c r="J40" s="87"/>
      <c r="K40" s="109"/>
      <c r="L40" s="109"/>
      <c r="M40" s="43" t="s">
        <v>528</v>
      </c>
      <c r="N40" s="43" t="s">
        <v>280</v>
      </c>
      <c r="O40" s="14">
        <v>312480</v>
      </c>
      <c r="P40" s="14">
        <v>302731.3</v>
      </c>
      <c r="Q40" s="14">
        <f>156240+156240</f>
        <v>312480</v>
      </c>
      <c r="R40" s="14">
        <v>312480</v>
      </c>
      <c r="S40" s="14">
        <v>312480</v>
      </c>
    </row>
    <row r="41" spans="1:19" s="1" customFormat="1" ht="26.45" customHeight="1" x14ac:dyDescent="0.2">
      <c r="A41" s="93"/>
      <c r="B41" s="87"/>
      <c r="C41" s="93"/>
      <c r="D41" s="87"/>
      <c r="E41" s="87"/>
      <c r="F41" s="87"/>
      <c r="G41" s="87"/>
      <c r="H41" s="87"/>
      <c r="I41" s="87"/>
      <c r="J41" s="87"/>
      <c r="K41" s="109"/>
      <c r="L41" s="109"/>
      <c r="M41" s="43" t="s">
        <v>530</v>
      </c>
      <c r="N41" s="43" t="s">
        <v>280</v>
      </c>
      <c r="O41" s="14">
        <v>7836459.96</v>
      </c>
      <c r="P41" s="14">
        <v>7836459.96</v>
      </c>
      <c r="Q41" s="14">
        <f>4530960+3749760</f>
        <v>8280720</v>
      </c>
      <c r="R41" s="77">
        <f>4530960+3437280</f>
        <v>7968240</v>
      </c>
      <c r="S41" s="77">
        <f>4530960+2968560</f>
        <v>7499520</v>
      </c>
    </row>
    <row r="42" spans="1:19" s="1" customFormat="1" ht="26.45" customHeight="1" x14ac:dyDescent="0.2">
      <c r="A42" s="93"/>
      <c r="B42" s="87"/>
      <c r="C42" s="93"/>
      <c r="D42" s="87"/>
      <c r="E42" s="87"/>
      <c r="F42" s="87"/>
      <c r="G42" s="87"/>
      <c r="H42" s="87"/>
      <c r="I42" s="87"/>
      <c r="J42" s="87"/>
      <c r="K42" s="109"/>
      <c r="L42" s="109"/>
      <c r="M42" s="43" t="s">
        <v>332</v>
      </c>
      <c r="N42" s="43" t="s">
        <v>279</v>
      </c>
      <c r="O42" s="14">
        <f>12739187.54</f>
        <v>12739187.539999999</v>
      </c>
      <c r="P42" s="14">
        <f>12739187.54</f>
        <v>12739187.539999999</v>
      </c>
      <c r="Q42" s="14">
        <f>9660530+4571158</f>
        <v>14231688</v>
      </c>
      <c r="R42" s="14">
        <f>8976077.16+4013610.84</f>
        <v>12989688</v>
      </c>
      <c r="S42" s="14">
        <f>8653967.08+4060120.92</f>
        <v>12714088</v>
      </c>
    </row>
    <row r="43" spans="1:19" s="1" customFormat="1" ht="26.45" customHeight="1" x14ac:dyDescent="0.2">
      <c r="A43" s="93"/>
      <c r="B43" s="87"/>
      <c r="C43" s="93"/>
      <c r="D43" s="87"/>
      <c r="E43" s="87"/>
      <c r="F43" s="87"/>
      <c r="G43" s="87"/>
      <c r="H43" s="87"/>
      <c r="I43" s="87"/>
      <c r="J43" s="87"/>
      <c r="K43" s="109"/>
      <c r="L43" s="109"/>
      <c r="M43" s="43" t="s">
        <v>330</v>
      </c>
      <c r="N43" s="43" t="s">
        <v>280</v>
      </c>
      <c r="O43" s="14">
        <v>6376919.8799999999</v>
      </c>
      <c r="P43" s="14">
        <v>6376919.8799999999</v>
      </c>
      <c r="Q43" s="14">
        <f>194405+64220+514809.09</f>
        <v>773434.09000000008</v>
      </c>
      <c r="R43" s="77"/>
      <c r="S43" s="77"/>
    </row>
    <row r="44" spans="1:19" s="1" customFormat="1" ht="26.45" customHeight="1" x14ac:dyDescent="0.2">
      <c r="A44" s="93"/>
      <c r="B44" s="87"/>
      <c r="C44" s="93"/>
      <c r="D44" s="87"/>
      <c r="E44" s="87"/>
      <c r="F44" s="87"/>
      <c r="G44" s="87"/>
      <c r="H44" s="87"/>
      <c r="I44" s="87"/>
      <c r="J44" s="87"/>
      <c r="K44" s="109"/>
      <c r="L44" s="109"/>
      <c r="M44" s="43" t="s">
        <v>531</v>
      </c>
      <c r="N44" s="43" t="s">
        <v>280</v>
      </c>
      <c r="O44" s="14">
        <v>205012</v>
      </c>
      <c r="P44" s="14">
        <v>205012</v>
      </c>
      <c r="Q44" s="14">
        <v>205012</v>
      </c>
      <c r="R44" s="77"/>
      <c r="S44" s="77"/>
    </row>
    <row r="45" spans="1:19" s="1" customFormat="1" ht="26.45" customHeight="1" x14ac:dyDescent="0.2">
      <c r="A45" s="93"/>
      <c r="B45" s="87"/>
      <c r="C45" s="93"/>
      <c r="D45" s="87"/>
      <c r="E45" s="87"/>
      <c r="F45" s="87"/>
      <c r="G45" s="87"/>
      <c r="H45" s="87"/>
      <c r="I45" s="87"/>
      <c r="J45" s="87"/>
      <c r="K45" s="109"/>
      <c r="L45" s="109"/>
      <c r="M45" s="43" t="s">
        <v>331</v>
      </c>
      <c r="N45" s="43" t="s">
        <v>280</v>
      </c>
      <c r="O45" s="14">
        <v>738080</v>
      </c>
      <c r="P45" s="14">
        <v>738080</v>
      </c>
      <c r="Q45" s="14">
        <f>17500+147000</f>
        <v>164500</v>
      </c>
      <c r="R45" s="77"/>
      <c r="S45" s="77"/>
    </row>
    <row r="46" spans="1:19" s="1" customFormat="1" ht="26.45" customHeight="1" x14ac:dyDescent="0.2">
      <c r="A46" s="93"/>
      <c r="B46" s="87"/>
      <c r="C46" s="93"/>
      <c r="D46" s="87"/>
      <c r="E46" s="87"/>
      <c r="F46" s="87"/>
      <c r="G46" s="87"/>
      <c r="H46" s="87"/>
      <c r="I46" s="87"/>
      <c r="J46" s="87"/>
      <c r="K46" s="109"/>
      <c r="L46" s="109"/>
      <c r="M46" s="43" t="s">
        <v>516</v>
      </c>
      <c r="N46" s="43" t="s">
        <v>280</v>
      </c>
      <c r="O46" s="14"/>
      <c r="P46" s="14"/>
      <c r="Q46" s="14"/>
      <c r="R46" s="77"/>
      <c r="S46" s="77"/>
    </row>
    <row r="47" spans="1:19" s="1" customFormat="1" ht="26.45" customHeight="1" x14ac:dyDescent="0.2">
      <c r="A47" s="93"/>
      <c r="B47" s="87"/>
      <c r="C47" s="93"/>
      <c r="D47" s="87"/>
      <c r="E47" s="87"/>
      <c r="F47" s="87"/>
      <c r="G47" s="87"/>
      <c r="H47" s="87"/>
      <c r="I47" s="87"/>
      <c r="J47" s="87"/>
      <c r="K47" s="109"/>
      <c r="L47" s="109"/>
      <c r="M47" s="43" t="s">
        <v>518</v>
      </c>
      <c r="N47" s="43" t="s">
        <v>280</v>
      </c>
      <c r="O47" s="14">
        <f>16230903.99+31666347.9+319862.1</f>
        <v>48217113.990000002</v>
      </c>
      <c r="P47" s="14">
        <f>16230903.99+22365786.77</f>
        <v>38596690.759999998</v>
      </c>
      <c r="Q47" s="14">
        <f>9524218.99+96204.23+0.01</f>
        <v>9620423.2300000004</v>
      </c>
      <c r="R47" s="77"/>
      <c r="S47" s="77"/>
    </row>
    <row r="48" spans="1:19" s="1" customFormat="1" ht="26.45" customHeight="1" x14ac:dyDescent="0.2">
      <c r="A48" s="93"/>
      <c r="B48" s="87"/>
      <c r="C48" s="93"/>
      <c r="D48" s="87"/>
      <c r="E48" s="87"/>
      <c r="F48" s="87"/>
      <c r="G48" s="87"/>
      <c r="H48" s="87"/>
      <c r="I48" s="87"/>
      <c r="J48" s="87"/>
      <c r="K48" s="109"/>
      <c r="L48" s="109"/>
      <c r="M48" s="43" t="s">
        <v>521</v>
      </c>
      <c r="N48" s="43" t="s">
        <v>280</v>
      </c>
      <c r="O48" s="14">
        <v>1910123.37</v>
      </c>
      <c r="P48" s="14">
        <v>1907608.67</v>
      </c>
      <c r="Q48" s="14">
        <f>1173066.11+1075125.9</f>
        <v>2248192.0099999998</v>
      </c>
      <c r="R48" s="14">
        <f>1228406.11+1130465.9</f>
        <v>2358872.0099999998</v>
      </c>
      <c r="S48" s="14">
        <f>1285936.61+1187996.4</f>
        <v>2473933.0099999998</v>
      </c>
    </row>
    <row r="49" spans="1:19" s="1" customFormat="1" ht="26.45" customHeight="1" x14ac:dyDescent="0.2">
      <c r="A49" s="93"/>
      <c r="B49" s="87"/>
      <c r="C49" s="93"/>
      <c r="D49" s="87"/>
      <c r="E49" s="87"/>
      <c r="F49" s="87"/>
      <c r="G49" s="87"/>
      <c r="H49" s="87"/>
      <c r="I49" s="87"/>
      <c r="J49" s="87"/>
      <c r="K49" s="109"/>
      <c r="L49" s="109"/>
      <c r="M49" s="43" t="s">
        <v>334</v>
      </c>
      <c r="N49" s="43" t="s">
        <v>280</v>
      </c>
      <c r="O49" s="14"/>
      <c r="P49" s="14">
        <v>0</v>
      </c>
      <c r="Q49" s="14"/>
      <c r="R49" s="77"/>
      <c r="S49" s="77"/>
    </row>
    <row r="50" spans="1:19" s="1" customFormat="1" ht="26.45" customHeight="1" x14ac:dyDescent="0.2">
      <c r="A50" s="94" t="s">
        <v>52</v>
      </c>
      <c r="B50" s="87" t="s">
        <v>53</v>
      </c>
      <c r="C50" s="93" t="s">
        <v>54</v>
      </c>
      <c r="D50" s="87" t="s">
        <v>257</v>
      </c>
      <c r="E50" s="87" t="s">
        <v>258</v>
      </c>
      <c r="F50" s="87" t="s">
        <v>377</v>
      </c>
      <c r="G50" s="87" t="s">
        <v>41</v>
      </c>
      <c r="H50" s="87" t="s">
        <v>442</v>
      </c>
      <c r="I50" s="87" t="s">
        <v>0</v>
      </c>
      <c r="J50" s="87" t="s">
        <v>11</v>
      </c>
      <c r="K50" s="109" t="s">
        <v>276</v>
      </c>
      <c r="L50" s="109" t="s">
        <v>50</v>
      </c>
      <c r="M50" s="5" t="s">
        <v>273</v>
      </c>
      <c r="N50" s="5" t="s">
        <v>273</v>
      </c>
      <c r="O50" s="77">
        <f>SUM(O51:O59)</f>
        <v>16594583.290000003</v>
      </c>
      <c r="P50" s="77">
        <f>SUM(P51:P59)</f>
        <v>16558102.400000004</v>
      </c>
      <c r="Q50" s="77">
        <f>SUM(Q51:Q59)</f>
        <v>16978064.190000001</v>
      </c>
      <c r="R50" s="77">
        <f>SUM(R51:R59)</f>
        <v>16714499.390000001</v>
      </c>
      <c r="S50" s="77">
        <f>SUM(S51:S59)</f>
        <v>16714499.390000001</v>
      </c>
    </row>
    <row r="51" spans="1:19" s="1" customFormat="1" ht="26.45" customHeight="1" x14ac:dyDescent="0.2">
      <c r="A51" s="94"/>
      <c r="B51" s="87"/>
      <c r="C51" s="93"/>
      <c r="D51" s="87"/>
      <c r="E51" s="87"/>
      <c r="F51" s="87"/>
      <c r="G51" s="87"/>
      <c r="H51" s="87"/>
      <c r="I51" s="87"/>
      <c r="J51" s="87"/>
      <c r="K51" s="109"/>
      <c r="L51" s="109"/>
      <c r="M51" s="43" t="s">
        <v>474</v>
      </c>
      <c r="N51" s="49" t="s">
        <v>280</v>
      </c>
      <c r="O51" s="14">
        <v>341340.13</v>
      </c>
      <c r="P51" s="14">
        <v>341340.13</v>
      </c>
      <c r="Q51" s="14">
        <f>1121186.05-705717.84</f>
        <v>415468.21000000008</v>
      </c>
      <c r="R51" s="14">
        <f>1369154.56-746811.16</f>
        <v>622343.4</v>
      </c>
      <c r="S51" s="14">
        <v>622343.4</v>
      </c>
    </row>
    <row r="52" spans="1:19" s="1" customFormat="1" ht="30.75" customHeight="1" x14ac:dyDescent="0.2">
      <c r="A52" s="94"/>
      <c r="B52" s="87"/>
      <c r="C52" s="93"/>
      <c r="D52" s="87"/>
      <c r="E52" s="87"/>
      <c r="F52" s="87"/>
      <c r="G52" s="87"/>
      <c r="H52" s="87"/>
      <c r="I52" s="87"/>
      <c r="J52" s="87"/>
      <c r="K52" s="109"/>
      <c r="L52" s="109"/>
      <c r="M52" s="43" t="s">
        <v>528</v>
      </c>
      <c r="N52" s="43" t="s">
        <v>280</v>
      </c>
      <c r="O52" s="14">
        <v>234360</v>
      </c>
      <c r="P52" s="14">
        <f>532215.15-302731.3</f>
        <v>229483.85000000003</v>
      </c>
      <c r="Q52" s="14">
        <f>598920-312480</f>
        <v>286440</v>
      </c>
      <c r="R52" s="14">
        <f>703080-312480</f>
        <v>390600</v>
      </c>
      <c r="S52" s="14">
        <f>390600</f>
        <v>390600</v>
      </c>
    </row>
    <row r="53" spans="1:19" s="6" customFormat="1" ht="26.45" customHeight="1" x14ac:dyDescent="0.2">
      <c r="A53" s="94"/>
      <c r="B53" s="87"/>
      <c r="C53" s="93"/>
      <c r="D53" s="87"/>
      <c r="E53" s="87"/>
      <c r="F53" s="87"/>
      <c r="G53" s="87"/>
      <c r="H53" s="87"/>
      <c r="I53" s="87"/>
      <c r="J53" s="87"/>
      <c r="K53" s="109"/>
      <c r="L53" s="109"/>
      <c r="M53" s="43" t="s">
        <v>530</v>
      </c>
      <c r="N53" s="43" t="s">
        <v>280</v>
      </c>
      <c r="O53" s="14">
        <f>13161600-7836459.96</f>
        <v>5325140.04</v>
      </c>
      <c r="P53" s="14">
        <f>13161600-7836459.96</f>
        <v>5325140.04</v>
      </c>
      <c r="Q53" s="14">
        <f>13592880-8280720</f>
        <v>5312160</v>
      </c>
      <c r="R53" s="77">
        <f>13280400-7968240</f>
        <v>5312160</v>
      </c>
      <c r="S53" s="77">
        <f>12811680-7499520</f>
        <v>5312160</v>
      </c>
    </row>
    <row r="54" spans="1:19" s="6" customFormat="1" ht="26.45" customHeight="1" x14ac:dyDescent="0.2">
      <c r="A54" s="94"/>
      <c r="B54" s="87"/>
      <c r="C54" s="93"/>
      <c r="D54" s="87"/>
      <c r="E54" s="87"/>
      <c r="F54" s="87"/>
      <c r="G54" s="87"/>
      <c r="H54" s="87"/>
      <c r="I54" s="87"/>
      <c r="J54" s="87"/>
      <c r="K54" s="109"/>
      <c r="L54" s="109"/>
      <c r="M54" s="43" t="s">
        <v>332</v>
      </c>
      <c r="N54" s="43" t="s">
        <v>279</v>
      </c>
      <c r="O54" s="14">
        <f>21594471.17-12739187.54</f>
        <v>8855283.6300000027</v>
      </c>
      <c r="P54" s="14">
        <f>21594471.17-12739187.54</f>
        <v>8855283.6300000027</v>
      </c>
      <c r="Q54" s="14">
        <f>24103400-14231688</f>
        <v>9871712</v>
      </c>
      <c r="R54" s="14">
        <f>22861400-12989688</f>
        <v>9871712</v>
      </c>
      <c r="S54" s="14">
        <f>22585800-12714088</f>
        <v>9871712</v>
      </c>
    </row>
    <row r="55" spans="1:19" s="6" customFormat="1" ht="26.45" customHeight="1" x14ac:dyDescent="0.2">
      <c r="A55" s="94"/>
      <c r="B55" s="87"/>
      <c r="C55" s="93"/>
      <c r="D55" s="87"/>
      <c r="E55" s="87"/>
      <c r="F55" s="87"/>
      <c r="G55" s="87"/>
      <c r="H55" s="87"/>
      <c r="I55" s="87"/>
      <c r="J55" s="87"/>
      <c r="K55" s="109"/>
      <c r="L55" s="109"/>
      <c r="M55" s="43" t="s">
        <v>330</v>
      </c>
      <c r="N55" s="43" t="s">
        <v>280</v>
      </c>
      <c r="O55" s="14">
        <f>6489182-6376919.88</f>
        <v>112262.12000000011</v>
      </c>
      <c r="P55" s="14">
        <f>6489182-6376919.88</f>
        <v>112262.12000000011</v>
      </c>
      <c r="Q55" s="14">
        <f>271225-258625</f>
        <v>12600</v>
      </c>
      <c r="R55" s="77"/>
      <c r="S55" s="77"/>
    </row>
    <row r="56" spans="1:19" s="6" customFormat="1" ht="26.45" customHeight="1" x14ac:dyDescent="0.2">
      <c r="A56" s="94"/>
      <c r="B56" s="87"/>
      <c r="C56" s="93"/>
      <c r="D56" s="87"/>
      <c r="E56" s="87"/>
      <c r="F56" s="87"/>
      <c r="G56" s="87"/>
      <c r="H56" s="87"/>
      <c r="I56" s="87"/>
      <c r="J56" s="87"/>
      <c r="K56" s="109"/>
      <c r="L56" s="109"/>
      <c r="M56" s="43" t="s">
        <v>331</v>
      </c>
      <c r="N56" s="43" t="s">
        <v>280</v>
      </c>
      <c r="O56" s="14">
        <f>2052427.74-738080</f>
        <v>1314347.74</v>
      </c>
      <c r="P56" s="14">
        <f>2048267.65-738080</f>
        <v>1310187.6499999999</v>
      </c>
      <c r="Q56" s="14">
        <f>726500-164500-0.01</f>
        <v>561999.99</v>
      </c>
      <c r="R56" s="77"/>
      <c r="S56" s="77"/>
    </row>
    <row r="57" spans="1:19" s="1" customFormat="1" ht="26.45" customHeight="1" x14ac:dyDescent="0.2">
      <c r="A57" s="94"/>
      <c r="B57" s="87"/>
      <c r="C57" s="93"/>
      <c r="D57" s="87"/>
      <c r="E57" s="87"/>
      <c r="F57" s="87"/>
      <c r="G57" s="87"/>
      <c r="H57" s="87"/>
      <c r="I57" s="87"/>
      <c r="J57" s="87"/>
      <c r="K57" s="109"/>
      <c r="L57" s="109"/>
      <c r="M57" s="43" t="s">
        <v>521</v>
      </c>
      <c r="N57" s="43" t="s">
        <v>280</v>
      </c>
      <c r="O57" s="14">
        <f>2321973-1910123.37</f>
        <v>411849.62999999989</v>
      </c>
      <c r="P57" s="14">
        <f>2292013.65-1907608.67</f>
        <v>384404.98</v>
      </c>
      <c r="Q57" s="14">
        <f>2765876-2248192.01</f>
        <v>517683.99000000022</v>
      </c>
      <c r="R57" s="14">
        <f>2876556-2358872.01</f>
        <v>517683.99000000022</v>
      </c>
      <c r="S57" s="14">
        <f>2991617-2473933.01</f>
        <v>517683.99000000022</v>
      </c>
    </row>
    <row r="58" spans="1:19" s="1" customFormat="1" ht="26.45" customHeight="1" x14ac:dyDescent="0.2">
      <c r="A58" s="94"/>
      <c r="B58" s="87"/>
      <c r="C58" s="93"/>
      <c r="D58" s="87"/>
      <c r="E58" s="87"/>
      <c r="F58" s="87"/>
      <c r="G58" s="87"/>
      <c r="H58" s="87"/>
      <c r="I58" s="87"/>
      <c r="J58" s="87"/>
      <c r="K58" s="109"/>
      <c r="L58" s="109"/>
      <c r="M58" s="43" t="s">
        <v>333</v>
      </c>
      <c r="N58" s="43" t="s">
        <v>280</v>
      </c>
      <c r="O58" s="14"/>
      <c r="P58" s="14">
        <v>0</v>
      </c>
      <c r="Q58" s="14"/>
      <c r="R58" s="77"/>
      <c r="S58" s="77"/>
    </row>
    <row r="59" spans="1:19" s="6" customFormat="1" ht="26.45" customHeight="1" x14ac:dyDescent="0.2">
      <c r="A59" s="94"/>
      <c r="B59" s="87"/>
      <c r="C59" s="93"/>
      <c r="D59" s="87"/>
      <c r="E59" s="87"/>
      <c r="F59" s="87"/>
      <c r="G59" s="87"/>
      <c r="H59" s="87"/>
      <c r="I59" s="87"/>
      <c r="J59" s="87"/>
      <c r="K59" s="109"/>
      <c r="L59" s="109"/>
      <c r="M59" s="43" t="s">
        <v>517</v>
      </c>
      <c r="N59" s="43" t="s">
        <v>280</v>
      </c>
      <c r="O59" s="14"/>
      <c r="P59" s="14"/>
      <c r="Q59" s="14"/>
      <c r="R59" s="77"/>
      <c r="S59" s="77"/>
    </row>
    <row r="60" spans="1:19" s="1" customFormat="1" ht="26.45" customHeight="1" x14ac:dyDescent="0.2">
      <c r="A60" s="93" t="s">
        <v>55</v>
      </c>
      <c r="B60" s="87" t="s">
        <v>56</v>
      </c>
      <c r="C60" s="93" t="s">
        <v>57</v>
      </c>
      <c r="D60" s="87" t="s">
        <v>257</v>
      </c>
      <c r="E60" s="87" t="s">
        <v>258</v>
      </c>
      <c r="F60" s="87" t="s">
        <v>377</v>
      </c>
      <c r="G60" s="87" t="s">
        <v>41</v>
      </c>
      <c r="H60" s="91" t="s">
        <v>444</v>
      </c>
      <c r="I60" s="87" t="s">
        <v>0</v>
      </c>
      <c r="J60" s="87" t="s">
        <v>11</v>
      </c>
      <c r="K60" s="7" t="s">
        <v>273</v>
      </c>
      <c r="L60" s="7" t="s">
        <v>285</v>
      </c>
      <c r="M60" s="7" t="s">
        <v>273</v>
      </c>
      <c r="N60" s="7" t="s">
        <v>273</v>
      </c>
      <c r="O60" s="8">
        <f>SUM(O61:O68)</f>
        <v>22584651.279999997</v>
      </c>
      <c r="P60" s="8">
        <f>SUM(P61:P68)</f>
        <v>22584650.91</v>
      </c>
      <c r="Q60" s="8">
        <f>SUM(Q61:Q68)</f>
        <v>24397542.73</v>
      </c>
      <c r="R60" s="8">
        <f>SUM(R61:R68)</f>
        <v>21111200</v>
      </c>
      <c r="S60" s="8">
        <f>SUM(S61:S68)</f>
        <v>21111200</v>
      </c>
    </row>
    <row r="61" spans="1:19" s="1" customFormat="1" ht="26.45" customHeight="1" x14ac:dyDescent="0.2">
      <c r="A61" s="93"/>
      <c r="B61" s="87"/>
      <c r="C61" s="93"/>
      <c r="D61" s="87"/>
      <c r="E61" s="87"/>
      <c r="F61" s="87"/>
      <c r="G61" s="87"/>
      <c r="H61" s="91"/>
      <c r="I61" s="87"/>
      <c r="J61" s="87"/>
      <c r="K61" s="103" t="s">
        <v>270</v>
      </c>
      <c r="L61" s="103" t="s">
        <v>58</v>
      </c>
      <c r="M61" s="43" t="s">
        <v>335</v>
      </c>
      <c r="N61" s="43" t="s">
        <v>279</v>
      </c>
      <c r="O61" s="14">
        <v>11230228</v>
      </c>
      <c r="P61" s="14">
        <v>11230228</v>
      </c>
      <c r="Q61" s="14">
        <f>12165300-289000</f>
        <v>11876300</v>
      </c>
      <c r="R61" s="14">
        <v>11665300</v>
      </c>
      <c r="S61" s="14">
        <v>11665300</v>
      </c>
    </row>
    <row r="62" spans="1:19" s="1" customFormat="1" ht="26.45" customHeight="1" x14ac:dyDescent="0.2">
      <c r="A62" s="93"/>
      <c r="B62" s="87"/>
      <c r="C62" s="93"/>
      <c r="D62" s="87"/>
      <c r="E62" s="87"/>
      <c r="F62" s="87"/>
      <c r="G62" s="87"/>
      <c r="H62" s="91"/>
      <c r="I62" s="87"/>
      <c r="J62" s="87"/>
      <c r="K62" s="103"/>
      <c r="L62" s="103"/>
      <c r="M62" s="43" t="s">
        <v>527</v>
      </c>
      <c r="N62" s="43" t="s">
        <v>280</v>
      </c>
      <c r="O62" s="14"/>
      <c r="P62" s="14"/>
      <c r="Q62" s="14"/>
      <c r="R62" s="77"/>
      <c r="S62" s="77"/>
    </row>
    <row r="63" spans="1:19" s="1" customFormat="1" ht="26.45" customHeight="1" x14ac:dyDescent="0.2">
      <c r="A63" s="93"/>
      <c r="B63" s="87"/>
      <c r="C63" s="93"/>
      <c r="D63" s="87"/>
      <c r="E63" s="87"/>
      <c r="F63" s="87"/>
      <c r="G63" s="87"/>
      <c r="H63" s="91"/>
      <c r="I63" s="87"/>
      <c r="J63" s="87"/>
      <c r="K63" s="103"/>
      <c r="L63" s="103"/>
      <c r="M63" s="43" t="s">
        <v>336</v>
      </c>
      <c r="N63" s="43" t="s">
        <v>280</v>
      </c>
      <c r="O63" s="77">
        <v>2516482.29</v>
      </c>
      <c r="P63" s="77">
        <v>2516482.29</v>
      </c>
      <c r="Q63" s="77">
        <v>18900</v>
      </c>
      <c r="R63" s="77"/>
      <c r="S63" s="77"/>
    </row>
    <row r="64" spans="1:19" s="1" customFormat="1" ht="26.45" customHeight="1" x14ac:dyDescent="0.2">
      <c r="A64" s="93"/>
      <c r="B64" s="87"/>
      <c r="C64" s="93"/>
      <c r="D64" s="87"/>
      <c r="E64" s="87"/>
      <c r="F64" s="87"/>
      <c r="G64" s="87"/>
      <c r="H64" s="91"/>
      <c r="I64" s="87"/>
      <c r="J64" s="87"/>
      <c r="K64" s="103"/>
      <c r="L64" s="103"/>
      <c r="M64" s="43" t="s">
        <v>337</v>
      </c>
      <c r="N64" s="43" t="s">
        <v>280</v>
      </c>
      <c r="O64" s="77">
        <v>258000</v>
      </c>
      <c r="P64" s="77">
        <v>257999.63</v>
      </c>
      <c r="Q64" s="77"/>
      <c r="R64" s="77"/>
      <c r="S64" s="77"/>
    </row>
    <row r="65" spans="1:19" s="1" customFormat="1" ht="26.45" customHeight="1" x14ac:dyDescent="0.2">
      <c r="A65" s="93"/>
      <c r="B65" s="87"/>
      <c r="C65" s="93"/>
      <c r="D65" s="87" t="s">
        <v>499</v>
      </c>
      <c r="E65" s="87" t="s">
        <v>41</v>
      </c>
      <c r="F65" s="87"/>
      <c r="G65" s="87"/>
      <c r="H65" s="91"/>
      <c r="I65" s="87"/>
      <c r="J65" s="87"/>
      <c r="K65" s="101" t="s">
        <v>276</v>
      </c>
      <c r="L65" s="101" t="s">
        <v>500</v>
      </c>
      <c r="M65" s="43" t="s">
        <v>338</v>
      </c>
      <c r="N65" s="43" t="s">
        <v>279</v>
      </c>
      <c r="O65" s="77">
        <v>8013600</v>
      </c>
      <c r="P65" s="77">
        <v>8013600</v>
      </c>
      <c r="Q65" s="77">
        <v>9445900</v>
      </c>
      <c r="R65" s="77">
        <v>9445900</v>
      </c>
      <c r="S65" s="77">
        <v>9445900</v>
      </c>
    </row>
    <row r="66" spans="1:19" s="1" customFormat="1" ht="26.45" customHeight="1" x14ac:dyDescent="0.2">
      <c r="A66" s="93"/>
      <c r="B66" s="87"/>
      <c r="C66" s="93"/>
      <c r="D66" s="87"/>
      <c r="E66" s="87"/>
      <c r="F66" s="87"/>
      <c r="G66" s="87"/>
      <c r="H66" s="91"/>
      <c r="I66" s="87"/>
      <c r="J66" s="87"/>
      <c r="K66" s="101"/>
      <c r="L66" s="101"/>
      <c r="M66" s="43" t="s">
        <v>330</v>
      </c>
      <c r="N66" s="43" t="s">
        <v>280</v>
      </c>
      <c r="O66" s="77">
        <f>18900+350000</f>
        <v>368900</v>
      </c>
      <c r="P66" s="77">
        <v>368900</v>
      </c>
      <c r="Q66" s="77">
        <f>28350+2951938.29</f>
        <v>2980288.29</v>
      </c>
      <c r="R66" s="77">
        <v>0</v>
      </c>
      <c r="S66" s="77">
        <v>0</v>
      </c>
    </row>
    <row r="67" spans="1:19" s="1" customFormat="1" ht="26.45" customHeight="1" x14ac:dyDescent="0.2">
      <c r="A67" s="93"/>
      <c r="B67" s="87"/>
      <c r="C67" s="93"/>
      <c r="D67" s="87"/>
      <c r="E67" s="87"/>
      <c r="F67" s="87"/>
      <c r="G67" s="87"/>
      <c r="H67" s="91"/>
      <c r="I67" s="87"/>
      <c r="J67" s="87"/>
      <c r="K67" s="101"/>
      <c r="L67" s="101"/>
      <c r="M67" s="43" t="s">
        <v>331</v>
      </c>
      <c r="N67" s="43" t="s">
        <v>280</v>
      </c>
      <c r="O67" s="77">
        <v>105200</v>
      </c>
      <c r="P67" s="77">
        <v>105200</v>
      </c>
      <c r="Q67" s="77"/>
      <c r="R67" s="77"/>
      <c r="S67" s="77"/>
    </row>
    <row r="68" spans="1:19" s="1" customFormat="1" ht="26.45" customHeight="1" x14ac:dyDescent="0.2">
      <c r="A68" s="93"/>
      <c r="B68" s="87"/>
      <c r="C68" s="93"/>
      <c r="D68" s="87"/>
      <c r="E68" s="87"/>
      <c r="F68" s="87"/>
      <c r="G68" s="87"/>
      <c r="H68" s="91"/>
      <c r="I68" s="87"/>
      <c r="J68" s="87"/>
      <c r="K68" s="101"/>
      <c r="L68" s="101"/>
      <c r="M68" s="43" t="s">
        <v>339</v>
      </c>
      <c r="N68" s="43" t="s">
        <v>280</v>
      </c>
      <c r="O68" s="77">
        <f>101318.08-9077.09</f>
        <v>92240.99</v>
      </c>
      <c r="P68" s="77">
        <v>92240.99</v>
      </c>
      <c r="Q68" s="77">
        <f>10000+66154.44</f>
        <v>76154.44</v>
      </c>
      <c r="R68" s="77"/>
      <c r="S68" s="77"/>
    </row>
    <row r="69" spans="1:19" s="1" customFormat="1" ht="74.25" customHeight="1" x14ac:dyDescent="0.2">
      <c r="A69" s="54" t="s">
        <v>59</v>
      </c>
      <c r="B69" s="45" t="s">
        <v>60</v>
      </c>
      <c r="C69" s="45" t="s">
        <v>61</v>
      </c>
      <c r="D69" s="45" t="s">
        <v>257</v>
      </c>
      <c r="E69" s="45" t="s">
        <v>258</v>
      </c>
      <c r="F69" s="45" t="s">
        <v>384</v>
      </c>
      <c r="G69" s="45" t="s">
        <v>41</v>
      </c>
      <c r="H69" s="45" t="s">
        <v>443</v>
      </c>
      <c r="I69" s="45" t="s">
        <v>0</v>
      </c>
      <c r="J69" s="45" t="s">
        <v>11</v>
      </c>
      <c r="K69" s="43" t="s">
        <v>276</v>
      </c>
      <c r="L69" s="43" t="s">
        <v>50</v>
      </c>
      <c r="M69" s="43" t="s">
        <v>328</v>
      </c>
      <c r="N69" s="43" t="s">
        <v>280</v>
      </c>
      <c r="O69" s="77">
        <v>644800</v>
      </c>
      <c r="P69" s="77">
        <f>434492.38+210266.62</f>
        <v>644759</v>
      </c>
      <c r="Q69" s="77">
        <v>670360</v>
      </c>
      <c r="R69" s="77">
        <v>670360</v>
      </c>
      <c r="S69" s="77">
        <v>670360</v>
      </c>
    </row>
    <row r="70" spans="1:19" s="1" customFormat="1" ht="34.5" customHeight="1" x14ac:dyDescent="0.2">
      <c r="A70" s="95" t="s">
        <v>62</v>
      </c>
      <c r="B70" s="87" t="s">
        <v>63</v>
      </c>
      <c r="C70" s="87" t="s">
        <v>64</v>
      </c>
      <c r="D70" s="87" t="s">
        <v>257</v>
      </c>
      <c r="E70" s="87" t="s">
        <v>258</v>
      </c>
      <c r="F70" s="87" t="s">
        <v>377</v>
      </c>
      <c r="G70" s="87" t="s">
        <v>41</v>
      </c>
      <c r="H70" s="87" t="s">
        <v>445</v>
      </c>
      <c r="I70" s="87" t="s">
        <v>0</v>
      </c>
      <c r="J70" s="87" t="s">
        <v>11</v>
      </c>
      <c r="K70" s="43" t="s">
        <v>276</v>
      </c>
      <c r="L70" s="43" t="s">
        <v>65</v>
      </c>
      <c r="M70" s="43" t="s">
        <v>272</v>
      </c>
      <c r="N70" s="43" t="s">
        <v>273</v>
      </c>
      <c r="O70" s="77">
        <f>SUM(O71:O76)</f>
        <v>26013827.810000002</v>
      </c>
      <c r="P70" s="77">
        <f>SUM(P71:P76)</f>
        <v>25910292.100000001</v>
      </c>
      <c r="Q70" s="77">
        <f>SUM(Q71:Q76)</f>
        <v>31275170</v>
      </c>
      <c r="R70" s="77">
        <f>SUM(R71:R76)</f>
        <v>28768670</v>
      </c>
      <c r="S70" s="77">
        <f>SUM(S71:S76)</f>
        <v>28768670</v>
      </c>
    </row>
    <row r="71" spans="1:19" s="1" customFormat="1" ht="34.5" customHeight="1" x14ac:dyDescent="0.2">
      <c r="A71" s="95"/>
      <c r="B71" s="87"/>
      <c r="C71" s="87"/>
      <c r="D71" s="87"/>
      <c r="E71" s="87"/>
      <c r="F71" s="87"/>
      <c r="G71" s="87"/>
      <c r="H71" s="87"/>
      <c r="I71" s="87"/>
      <c r="J71" s="87"/>
      <c r="K71" s="103" t="s">
        <v>276</v>
      </c>
      <c r="L71" s="103" t="s">
        <v>65</v>
      </c>
      <c r="M71" s="103" t="s">
        <v>327</v>
      </c>
      <c r="N71" s="40" t="s">
        <v>27</v>
      </c>
      <c r="O71" s="77">
        <v>19093345.800000001</v>
      </c>
      <c r="P71" s="77">
        <v>19093345.800000001</v>
      </c>
      <c r="Q71" s="77">
        <v>23000000</v>
      </c>
      <c r="R71" s="77">
        <v>22000000</v>
      </c>
      <c r="S71" s="77">
        <v>22000000</v>
      </c>
    </row>
    <row r="72" spans="1:19" s="1" customFormat="1" ht="34.5" customHeight="1" x14ac:dyDescent="0.2">
      <c r="A72" s="95"/>
      <c r="B72" s="87"/>
      <c r="C72" s="87"/>
      <c r="D72" s="87"/>
      <c r="E72" s="87"/>
      <c r="F72" s="87"/>
      <c r="G72" s="87"/>
      <c r="H72" s="87"/>
      <c r="I72" s="87"/>
      <c r="J72" s="87"/>
      <c r="K72" s="103"/>
      <c r="L72" s="103"/>
      <c r="M72" s="103"/>
      <c r="N72" s="40" t="s">
        <v>293</v>
      </c>
      <c r="O72" s="77">
        <v>5686527.0099999998</v>
      </c>
      <c r="P72" s="77">
        <v>5676573.1399999997</v>
      </c>
      <c r="Q72" s="77">
        <v>6921400</v>
      </c>
      <c r="R72" s="77">
        <v>6621400</v>
      </c>
      <c r="S72" s="77">
        <v>6621400</v>
      </c>
    </row>
    <row r="73" spans="1:19" s="1" customFormat="1" ht="34.5" customHeight="1" x14ac:dyDescent="0.2">
      <c r="A73" s="95"/>
      <c r="B73" s="87"/>
      <c r="C73" s="87"/>
      <c r="D73" s="87"/>
      <c r="E73" s="87"/>
      <c r="F73" s="87"/>
      <c r="G73" s="87"/>
      <c r="H73" s="87"/>
      <c r="I73" s="87"/>
      <c r="J73" s="87"/>
      <c r="K73" s="103"/>
      <c r="L73" s="103"/>
      <c r="M73" s="103"/>
      <c r="N73" s="40" t="s">
        <v>271</v>
      </c>
      <c r="O73" s="77">
        <v>1210785</v>
      </c>
      <c r="P73" s="77">
        <v>1117585.1599999999</v>
      </c>
      <c r="Q73" s="77">
        <v>1330600</v>
      </c>
      <c r="R73" s="77">
        <v>124100</v>
      </c>
      <c r="S73" s="77">
        <v>124100</v>
      </c>
    </row>
    <row r="74" spans="1:19" s="1" customFormat="1" ht="34.5" customHeight="1" x14ac:dyDescent="0.2">
      <c r="A74" s="95"/>
      <c r="B74" s="87"/>
      <c r="C74" s="87"/>
      <c r="D74" s="87" t="s">
        <v>376</v>
      </c>
      <c r="E74" s="87" t="s">
        <v>41</v>
      </c>
      <c r="F74" s="87"/>
      <c r="G74" s="87"/>
      <c r="H74" s="87"/>
      <c r="I74" s="87"/>
      <c r="J74" s="87"/>
      <c r="K74" s="103"/>
      <c r="L74" s="103"/>
      <c r="M74" s="103"/>
      <c r="N74" s="40" t="s">
        <v>295</v>
      </c>
      <c r="O74" s="77">
        <v>300</v>
      </c>
      <c r="P74" s="77">
        <v>0</v>
      </c>
      <c r="Q74" s="77">
        <v>300</v>
      </c>
      <c r="R74" s="77">
        <v>300</v>
      </c>
      <c r="S74" s="77">
        <v>300</v>
      </c>
    </row>
    <row r="75" spans="1:19" s="1" customFormat="1" ht="34.5" customHeight="1" x14ac:dyDescent="0.2">
      <c r="A75" s="95"/>
      <c r="B75" s="87"/>
      <c r="C75" s="87"/>
      <c r="D75" s="87"/>
      <c r="E75" s="87"/>
      <c r="F75" s="87"/>
      <c r="G75" s="87"/>
      <c r="H75" s="87"/>
      <c r="I75" s="87"/>
      <c r="J75" s="87"/>
      <c r="K75" s="103"/>
      <c r="L75" s="103"/>
      <c r="M75" s="103"/>
      <c r="N75" s="40" t="s">
        <v>270</v>
      </c>
      <c r="O75" s="77">
        <v>10770</v>
      </c>
      <c r="P75" s="77">
        <v>10762</v>
      </c>
      <c r="Q75" s="77">
        <v>10770</v>
      </c>
      <c r="R75" s="77">
        <v>10770</v>
      </c>
      <c r="S75" s="77">
        <v>10770</v>
      </c>
    </row>
    <row r="76" spans="1:19" s="1" customFormat="1" ht="34.5" customHeight="1" x14ac:dyDescent="0.2">
      <c r="A76" s="95"/>
      <c r="B76" s="87"/>
      <c r="C76" s="87"/>
      <c r="D76" s="87"/>
      <c r="E76" s="87"/>
      <c r="F76" s="87"/>
      <c r="G76" s="87"/>
      <c r="H76" s="87"/>
      <c r="I76" s="87"/>
      <c r="J76" s="87"/>
      <c r="K76" s="103"/>
      <c r="L76" s="103"/>
      <c r="M76" s="103"/>
      <c r="N76" s="43" t="s">
        <v>276</v>
      </c>
      <c r="O76" s="77">
        <v>12100</v>
      </c>
      <c r="P76" s="77">
        <v>12026</v>
      </c>
      <c r="Q76" s="77">
        <v>12100</v>
      </c>
      <c r="R76" s="77">
        <v>12100</v>
      </c>
      <c r="S76" s="77">
        <v>12100</v>
      </c>
    </row>
    <row r="77" spans="1:19" s="1" customFormat="1" ht="26.45" customHeight="1" x14ac:dyDescent="0.2">
      <c r="A77" s="94" t="s">
        <v>70</v>
      </c>
      <c r="B77" s="87" t="s">
        <v>71</v>
      </c>
      <c r="C77" s="93" t="s">
        <v>72</v>
      </c>
      <c r="D77" s="87" t="s">
        <v>257</v>
      </c>
      <c r="E77" s="87" t="s">
        <v>258</v>
      </c>
      <c r="F77" s="87" t="s">
        <v>73</v>
      </c>
      <c r="G77" s="87" t="s">
        <v>41</v>
      </c>
      <c r="H77" s="87" t="s">
        <v>388</v>
      </c>
      <c r="I77" s="87" t="s">
        <v>41</v>
      </c>
      <c r="J77" s="91" t="s">
        <v>12</v>
      </c>
      <c r="K77" s="110" t="s">
        <v>270</v>
      </c>
      <c r="L77" s="110" t="s">
        <v>74</v>
      </c>
      <c r="M77" s="7" t="s">
        <v>273</v>
      </c>
      <c r="N77" s="7" t="s">
        <v>273</v>
      </c>
      <c r="O77" s="8">
        <f>SUM(O78:O82)</f>
        <v>25819198.41</v>
      </c>
      <c r="P77" s="8">
        <f>SUM(P78:P82)</f>
        <v>25819198.41</v>
      </c>
      <c r="Q77" s="8">
        <f>SUM(Q78:Q82)</f>
        <v>13992271.720000001</v>
      </c>
      <c r="R77" s="8">
        <f>SUM(R78:R82)</f>
        <v>13572458.59</v>
      </c>
      <c r="S77" s="8">
        <f>SUM(S78:S82)</f>
        <v>13573626.26</v>
      </c>
    </row>
    <row r="78" spans="1:19" s="1" customFormat="1" ht="26.45" customHeight="1" x14ac:dyDescent="0.2">
      <c r="A78" s="94"/>
      <c r="B78" s="87"/>
      <c r="C78" s="93"/>
      <c r="D78" s="87"/>
      <c r="E78" s="87"/>
      <c r="F78" s="87"/>
      <c r="G78" s="87"/>
      <c r="H78" s="87"/>
      <c r="I78" s="87"/>
      <c r="J78" s="91"/>
      <c r="K78" s="110"/>
      <c r="L78" s="110"/>
      <c r="M78" s="103" t="s">
        <v>319</v>
      </c>
      <c r="N78" s="43" t="s">
        <v>279</v>
      </c>
      <c r="O78" s="15">
        <v>13059300</v>
      </c>
      <c r="P78" s="15">
        <v>13059300</v>
      </c>
      <c r="Q78" s="15">
        <f>14008300-358500</f>
        <v>13649800</v>
      </c>
      <c r="R78" s="15">
        <v>13508300</v>
      </c>
      <c r="S78" s="15">
        <v>13508300</v>
      </c>
    </row>
    <row r="79" spans="1:19" s="1" customFormat="1" ht="26.45" customHeight="1" x14ac:dyDescent="0.2">
      <c r="A79" s="94"/>
      <c r="B79" s="87"/>
      <c r="C79" s="93"/>
      <c r="D79" s="87"/>
      <c r="E79" s="87"/>
      <c r="F79" s="87"/>
      <c r="G79" s="87"/>
      <c r="H79" s="87"/>
      <c r="I79" s="87"/>
      <c r="J79" s="91"/>
      <c r="K79" s="110"/>
      <c r="L79" s="110"/>
      <c r="M79" s="103"/>
      <c r="N79" s="43" t="s">
        <v>280</v>
      </c>
      <c r="O79" s="15">
        <v>3267409.93</v>
      </c>
      <c r="P79" s="15">
        <v>3267409.93</v>
      </c>
      <c r="Q79" s="15">
        <f>171000</f>
        <v>171000</v>
      </c>
      <c r="R79" s="77"/>
      <c r="S79" s="77"/>
    </row>
    <row r="80" spans="1:19" s="1" customFormat="1" ht="26.45" customHeight="1" x14ac:dyDescent="0.2">
      <c r="A80" s="94"/>
      <c r="B80" s="87"/>
      <c r="C80" s="93"/>
      <c r="D80" s="87"/>
      <c r="E80" s="87"/>
      <c r="F80" s="87"/>
      <c r="G80" s="87"/>
      <c r="H80" s="87"/>
      <c r="I80" s="87"/>
      <c r="J80" s="91"/>
      <c r="K80" s="110"/>
      <c r="L80" s="110"/>
      <c r="M80" s="40" t="s">
        <v>539</v>
      </c>
      <c r="N80" s="43" t="s">
        <v>280</v>
      </c>
      <c r="O80" s="15">
        <v>284925.34999999998</v>
      </c>
      <c r="P80" s="15">
        <v>284925.34999999998</v>
      </c>
      <c r="Q80" s="15"/>
      <c r="R80" s="77"/>
      <c r="S80" s="77"/>
    </row>
    <row r="81" spans="1:19" s="1" customFormat="1" ht="26.45" customHeight="1" x14ac:dyDescent="0.2">
      <c r="A81" s="94"/>
      <c r="B81" s="87"/>
      <c r="C81" s="93"/>
      <c r="D81" s="87"/>
      <c r="E81" s="87"/>
      <c r="F81" s="87"/>
      <c r="G81" s="87"/>
      <c r="H81" s="87"/>
      <c r="I81" s="87"/>
      <c r="J81" s="91"/>
      <c r="K81" s="110"/>
      <c r="L81" s="110"/>
      <c r="M81" s="43" t="s">
        <v>525</v>
      </c>
      <c r="N81" s="43" t="s">
        <v>280</v>
      </c>
      <c r="O81" s="15">
        <v>9144361.1099999994</v>
      </c>
      <c r="P81" s="15">
        <v>9144361.1099999994</v>
      </c>
      <c r="Q81" s="15"/>
      <c r="R81" s="77"/>
      <c r="S81" s="77"/>
    </row>
    <row r="82" spans="1:19" s="1" customFormat="1" ht="34.5" customHeight="1" x14ac:dyDescent="0.2">
      <c r="A82" s="94"/>
      <c r="B82" s="87"/>
      <c r="C82" s="93"/>
      <c r="D82" s="51"/>
      <c r="E82" s="45"/>
      <c r="F82" s="87"/>
      <c r="G82" s="87"/>
      <c r="H82" s="55"/>
      <c r="I82" s="87"/>
      <c r="J82" s="91"/>
      <c r="K82" s="110"/>
      <c r="L82" s="110"/>
      <c r="M82" s="43" t="s">
        <v>318</v>
      </c>
      <c r="N82" s="43" t="s">
        <v>280</v>
      </c>
      <c r="O82" s="77">
        <v>63202.02</v>
      </c>
      <c r="P82" s="77">
        <v>63202.02</v>
      </c>
      <c r="Q82" s="77">
        <f>62860+108611.72</f>
        <v>171471.72</v>
      </c>
      <c r="R82" s="77">
        <f>64162-3.41</f>
        <v>64158.59</v>
      </c>
      <c r="S82" s="77">
        <f>65328-1.74</f>
        <v>65326.26</v>
      </c>
    </row>
    <row r="83" spans="1:19" s="1" customFormat="1" ht="26.45" customHeight="1" x14ac:dyDescent="0.2">
      <c r="A83" s="94" t="s">
        <v>75</v>
      </c>
      <c r="B83" s="87" t="s">
        <v>76</v>
      </c>
      <c r="C83" s="93" t="s">
        <v>77</v>
      </c>
      <c r="D83" s="87" t="s">
        <v>257</v>
      </c>
      <c r="E83" s="87" t="s">
        <v>258</v>
      </c>
      <c r="F83" s="87" t="s">
        <v>78</v>
      </c>
      <c r="G83" s="87" t="s">
        <v>41</v>
      </c>
      <c r="H83" s="87" t="s">
        <v>448</v>
      </c>
      <c r="I83" s="87" t="s">
        <v>41</v>
      </c>
      <c r="J83" s="91" t="s">
        <v>12</v>
      </c>
      <c r="K83" s="110" t="s">
        <v>270</v>
      </c>
      <c r="L83" s="110" t="s">
        <v>74</v>
      </c>
      <c r="M83" s="7" t="s">
        <v>273</v>
      </c>
      <c r="N83" s="7" t="s">
        <v>273</v>
      </c>
      <c r="O83" s="8">
        <f t="shared" ref="O83" si="11">SUM(O84:O92)</f>
        <v>20383807.16</v>
      </c>
      <c r="P83" s="8">
        <f>SUM(P84:P92)</f>
        <v>20379435.460000001</v>
      </c>
      <c r="Q83" s="8">
        <f t="shared" ref="Q83:S83" si="12">SUM(Q84:Q92)</f>
        <v>19034779</v>
      </c>
      <c r="R83" s="8">
        <f t="shared" si="12"/>
        <v>27918432</v>
      </c>
      <c r="S83" s="8">
        <f t="shared" si="12"/>
        <v>13652100</v>
      </c>
    </row>
    <row r="84" spans="1:19" s="1" customFormat="1" ht="26.45" customHeight="1" x14ac:dyDescent="0.2">
      <c r="A84" s="94"/>
      <c r="B84" s="87"/>
      <c r="C84" s="93"/>
      <c r="D84" s="87"/>
      <c r="E84" s="87"/>
      <c r="F84" s="87"/>
      <c r="G84" s="87"/>
      <c r="H84" s="87"/>
      <c r="I84" s="87"/>
      <c r="J84" s="91"/>
      <c r="K84" s="110"/>
      <c r="L84" s="110"/>
      <c r="M84" s="43" t="s">
        <v>317</v>
      </c>
      <c r="N84" s="43" t="s">
        <v>280</v>
      </c>
      <c r="O84" s="77">
        <v>0</v>
      </c>
      <c r="P84" s="77">
        <v>0</v>
      </c>
      <c r="Q84" s="77">
        <v>0</v>
      </c>
      <c r="R84" s="77">
        <v>4556955</v>
      </c>
      <c r="S84" s="77"/>
    </row>
    <row r="85" spans="1:19" s="1" customFormat="1" ht="26.45" customHeight="1" x14ac:dyDescent="0.2">
      <c r="A85" s="94"/>
      <c r="B85" s="87"/>
      <c r="C85" s="93"/>
      <c r="D85" s="87"/>
      <c r="E85" s="87"/>
      <c r="F85" s="87"/>
      <c r="G85" s="87"/>
      <c r="H85" s="87"/>
      <c r="I85" s="87"/>
      <c r="J85" s="91"/>
      <c r="K85" s="110"/>
      <c r="L85" s="110"/>
      <c r="M85" s="103" t="s">
        <v>314</v>
      </c>
      <c r="N85" s="43" t="s">
        <v>279</v>
      </c>
      <c r="O85" s="15">
        <v>11292059</v>
      </c>
      <c r="P85" s="14">
        <v>11292059</v>
      </c>
      <c r="Q85" s="15">
        <f>13652100-630000</f>
        <v>13022100</v>
      </c>
      <c r="R85" s="14">
        <v>13652100</v>
      </c>
      <c r="S85" s="14">
        <v>13652100</v>
      </c>
    </row>
    <row r="86" spans="1:19" s="1" customFormat="1" ht="26.45" customHeight="1" x14ac:dyDescent="0.2">
      <c r="A86" s="94"/>
      <c r="B86" s="87"/>
      <c r="C86" s="93"/>
      <c r="D86" s="87"/>
      <c r="E86" s="87"/>
      <c r="F86" s="87"/>
      <c r="G86" s="87"/>
      <c r="H86" s="87"/>
      <c r="I86" s="87"/>
      <c r="J86" s="91"/>
      <c r="K86" s="110"/>
      <c r="L86" s="110"/>
      <c r="M86" s="103"/>
      <c r="N86" s="43" t="s">
        <v>280</v>
      </c>
      <c r="O86" s="14"/>
      <c r="P86" s="14"/>
      <c r="Q86" s="14"/>
      <c r="R86" s="77"/>
      <c r="S86" s="77"/>
    </row>
    <row r="87" spans="1:19" s="1" customFormat="1" ht="26.45" customHeight="1" x14ac:dyDescent="0.2">
      <c r="A87" s="94"/>
      <c r="B87" s="87"/>
      <c r="C87" s="93"/>
      <c r="D87" s="87"/>
      <c r="E87" s="87"/>
      <c r="F87" s="87"/>
      <c r="G87" s="87"/>
      <c r="H87" s="87"/>
      <c r="I87" s="87"/>
      <c r="J87" s="91"/>
      <c r="K87" s="110"/>
      <c r="L87" s="110"/>
      <c r="M87" s="43" t="s">
        <v>315</v>
      </c>
      <c r="N87" s="43" t="s">
        <v>271</v>
      </c>
      <c r="O87" s="15">
        <v>135500</v>
      </c>
      <c r="P87" s="14">
        <v>131128.29999999999</v>
      </c>
      <c r="Q87" s="15">
        <v>135500</v>
      </c>
      <c r="R87" s="77"/>
      <c r="S87" s="77"/>
    </row>
    <row r="88" spans="1:19" s="1" customFormat="1" ht="26.45" customHeight="1" x14ac:dyDescent="0.2">
      <c r="A88" s="94"/>
      <c r="B88" s="87"/>
      <c r="C88" s="93"/>
      <c r="D88" s="102" t="s">
        <v>379</v>
      </c>
      <c r="E88" s="93" t="s">
        <v>41</v>
      </c>
      <c r="F88" s="87"/>
      <c r="G88" s="87"/>
      <c r="H88" s="87"/>
      <c r="I88" s="87"/>
      <c r="J88" s="91"/>
      <c r="K88" s="110"/>
      <c r="L88" s="110"/>
      <c r="M88" s="43" t="s">
        <v>315</v>
      </c>
      <c r="N88" s="43" t="s">
        <v>280</v>
      </c>
      <c r="O88" s="15">
        <f>4715720+1850613</f>
        <v>6566333</v>
      </c>
      <c r="P88" s="15">
        <v>6566333</v>
      </c>
      <c r="Q88" s="15">
        <f>60000+1817100</f>
        <v>1877100</v>
      </c>
      <c r="R88" s="77"/>
      <c r="S88" s="77"/>
    </row>
    <row r="89" spans="1:19" s="1" customFormat="1" ht="26.45" customHeight="1" x14ac:dyDescent="0.2">
      <c r="A89" s="94"/>
      <c r="B89" s="87"/>
      <c r="C89" s="93"/>
      <c r="D89" s="102"/>
      <c r="E89" s="93"/>
      <c r="F89" s="87"/>
      <c r="G89" s="87"/>
      <c r="H89" s="87"/>
      <c r="I89" s="87"/>
      <c r="J89" s="91"/>
      <c r="K89" s="110"/>
      <c r="L89" s="110"/>
      <c r="M89" s="43" t="s">
        <v>316</v>
      </c>
      <c r="N89" s="43" t="s">
        <v>280</v>
      </c>
      <c r="O89" s="77">
        <v>0</v>
      </c>
      <c r="P89" s="77"/>
      <c r="Q89" s="77">
        <v>0</v>
      </c>
      <c r="R89" s="77">
        <v>510000</v>
      </c>
      <c r="S89" s="77">
        <v>0</v>
      </c>
    </row>
    <row r="90" spans="1:19" s="1" customFormat="1" ht="26.45" customHeight="1" x14ac:dyDescent="0.2">
      <c r="A90" s="94"/>
      <c r="B90" s="87"/>
      <c r="C90" s="93"/>
      <c r="D90" s="102"/>
      <c r="E90" s="93"/>
      <c r="F90" s="87"/>
      <c r="G90" s="87"/>
      <c r="H90" s="87"/>
      <c r="I90" s="87"/>
      <c r="J90" s="91"/>
      <c r="K90" s="110"/>
      <c r="L90" s="110"/>
      <c r="M90" s="43" t="s">
        <v>540</v>
      </c>
      <c r="N90" s="43" t="s">
        <v>280</v>
      </c>
      <c r="O90" s="77">
        <v>2175000</v>
      </c>
      <c r="P90" s="77">
        <v>2175000</v>
      </c>
      <c r="Q90" s="77"/>
      <c r="R90" s="77"/>
      <c r="S90" s="77"/>
    </row>
    <row r="91" spans="1:19" s="1" customFormat="1" ht="26.45" customHeight="1" x14ac:dyDescent="0.2">
      <c r="A91" s="94"/>
      <c r="B91" s="87"/>
      <c r="C91" s="93"/>
      <c r="D91" s="102"/>
      <c r="E91" s="93"/>
      <c r="F91" s="87"/>
      <c r="G91" s="87"/>
      <c r="H91" s="87"/>
      <c r="I91" s="87"/>
      <c r="J91" s="91"/>
      <c r="K91" s="110"/>
      <c r="L91" s="110"/>
      <c r="M91" s="43" t="s">
        <v>472</v>
      </c>
      <c r="N91" s="43" t="s">
        <v>280</v>
      </c>
      <c r="O91" s="77">
        <v>0</v>
      </c>
      <c r="P91" s="77"/>
      <c r="Q91" s="29">
        <v>4000079</v>
      </c>
      <c r="R91" s="77">
        <v>9199377</v>
      </c>
      <c r="S91" s="77"/>
    </row>
    <row r="92" spans="1:19" s="1" customFormat="1" ht="26.45" customHeight="1" x14ac:dyDescent="0.2">
      <c r="A92" s="94"/>
      <c r="B92" s="87"/>
      <c r="C92" s="93"/>
      <c r="D92" s="102"/>
      <c r="E92" s="93"/>
      <c r="F92" s="87"/>
      <c r="G92" s="87"/>
      <c r="H92" s="87"/>
      <c r="I92" s="87"/>
      <c r="J92" s="91"/>
      <c r="K92" s="110"/>
      <c r="L92" s="110"/>
      <c r="M92" s="43" t="s">
        <v>318</v>
      </c>
      <c r="N92" s="43" t="s">
        <v>280</v>
      </c>
      <c r="O92" s="77">
        <v>214915.16</v>
      </c>
      <c r="P92" s="77">
        <v>214915.16</v>
      </c>
      <c r="Q92" s="77"/>
      <c r="R92" s="77"/>
      <c r="S92" s="77"/>
    </row>
    <row r="93" spans="1:19" s="1" customFormat="1" ht="48.75" customHeight="1" x14ac:dyDescent="0.2">
      <c r="A93" s="87" t="s">
        <v>79</v>
      </c>
      <c r="B93" s="87" t="s">
        <v>80</v>
      </c>
      <c r="C93" s="87" t="s">
        <v>81</v>
      </c>
      <c r="D93" s="45" t="s">
        <v>257</v>
      </c>
      <c r="E93" s="45" t="s">
        <v>258</v>
      </c>
      <c r="F93" s="87" t="s">
        <v>449</v>
      </c>
      <c r="G93" s="87" t="s">
        <v>41</v>
      </c>
      <c r="H93" s="87" t="s">
        <v>415</v>
      </c>
      <c r="I93" s="87" t="s">
        <v>41</v>
      </c>
      <c r="J93" s="87" t="s">
        <v>12</v>
      </c>
      <c r="K93" s="101" t="s">
        <v>270</v>
      </c>
      <c r="L93" s="7" t="s">
        <v>285</v>
      </c>
      <c r="M93" s="7" t="s">
        <v>273</v>
      </c>
      <c r="N93" s="7" t="s">
        <v>273</v>
      </c>
      <c r="O93" s="8">
        <f t="shared" ref="O93" si="13">O94+O95</f>
        <v>799100</v>
      </c>
      <c r="P93" s="8">
        <f t="shared" ref="P93:S93" si="14">P94+P95</f>
        <v>799100</v>
      </c>
      <c r="Q93" s="8">
        <f t="shared" si="14"/>
        <v>1085776.75</v>
      </c>
      <c r="R93" s="8">
        <f t="shared" si="14"/>
        <v>651678</v>
      </c>
      <c r="S93" s="8">
        <f t="shared" si="14"/>
        <v>2172260</v>
      </c>
    </row>
    <row r="94" spans="1:19" s="1" customFormat="1" ht="36.75" customHeight="1" x14ac:dyDescent="0.2">
      <c r="A94" s="87"/>
      <c r="B94" s="87"/>
      <c r="C94" s="87"/>
      <c r="D94" s="87" t="s">
        <v>380</v>
      </c>
      <c r="E94" s="87" t="s">
        <v>41</v>
      </c>
      <c r="F94" s="87"/>
      <c r="G94" s="87"/>
      <c r="H94" s="87"/>
      <c r="I94" s="87"/>
      <c r="J94" s="87"/>
      <c r="K94" s="101"/>
      <c r="L94" s="43" t="s">
        <v>284</v>
      </c>
      <c r="M94" s="43" t="s">
        <v>561</v>
      </c>
      <c r="N94" s="43" t="s">
        <v>271</v>
      </c>
      <c r="O94" s="77"/>
      <c r="P94" s="77"/>
      <c r="Q94" s="77">
        <v>760291</v>
      </c>
      <c r="R94" s="77">
        <v>651678</v>
      </c>
      <c r="S94" s="77">
        <v>2172260</v>
      </c>
    </row>
    <row r="95" spans="1:19" s="1" customFormat="1" ht="36.75" customHeight="1" x14ac:dyDescent="0.2">
      <c r="A95" s="87"/>
      <c r="B95" s="87"/>
      <c r="C95" s="87"/>
      <c r="D95" s="87"/>
      <c r="E95" s="87"/>
      <c r="F95" s="87"/>
      <c r="G95" s="87"/>
      <c r="H95" s="87"/>
      <c r="I95" s="87"/>
      <c r="J95" s="87"/>
      <c r="K95" s="101"/>
      <c r="L95" s="43" t="s">
        <v>74</v>
      </c>
      <c r="M95" s="43" t="s">
        <v>313</v>
      </c>
      <c r="N95" s="43" t="s">
        <v>271</v>
      </c>
      <c r="O95" s="77">
        <v>799100</v>
      </c>
      <c r="P95" s="77">
        <v>799100</v>
      </c>
      <c r="Q95" s="77">
        <f>325485.75</f>
        <v>325485.75</v>
      </c>
      <c r="R95" s="77"/>
      <c r="S95" s="77"/>
    </row>
    <row r="96" spans="1:19" s="1" customFormat="1" ht="26.45" customHeight="1" x14ac:dyDescent="0.2">
      <c r="A96" s="89" t="s">
        <v>82</v>
      </c>
      <c r="B96" s="91" t="s">
        <v>83</v>
      </c>
      <c r="C96" s="89" t="s">
        <v>84</v>
      </c>
      <c r="D96" s="87" t="s">
        <v>257</v>
      </c>
      <c r="E96" s="87" t="s">
        <v>258</v>
      </c>
      <c r="F96" s="87" t="s">
        <v>381</v>
      </c>
      <c r="G96" s="87" t="s">
        <v>41</v>
      </c>
      <c r="H96" s="87" t="s">
        <v>450</v>
      </c>
      <c r="I96" s="87" t="s">
        <v>41</v>
      </c>
      <c r="J96" s="87" t="s">
        <v>16</v>
      </c>
      <c r="K96" s="30" t="s">
        <v>273</v>
      </c>
      <c r="L96" s="103" t="s">
        <v>85</v>
      </c>
      <c r="M96" s="43" t="s">
        <v>272</v>
      </c>
      <c r="N96" s="43" t="s">
        <v>273</v>
      </c>
      <c r="O96" s="77">
        <f>O97+O107</f>
        <v>347883343.48000002</v>
      </c>
      <c r="P96" s="77">
        <f>P97+P107</f>
        <v>231753416.34999999</v>
      </c>
      <c r="Q96" s="77">
        <f>Q97+Q107</f>
        <v>91158140.859999985</v>
      </c>
      <c r="R96" s="77">
        <f>R97+R107</f>
        <v>27958422.469999999</v>
      </c>
      <c r="S96" s="77">
        <f>S97+S107</f>
        <v>10519396.01</v>
      </c>
    </row>
    <row r="97" spans="1:19" s="1" customFormat="1" ht="26.45" customHeight="1" x14ac:dyDescent="0.2">
      <c r="A97" s="89"/>
      <c r="B97" s="91"/>
      <c r="C97" s="89"/>
      <c r="D97" s="87"/>
      <c r="E97" s="87"/>
      <c r="F97" s="87"/>
      <c r="G97" s="87"/>
      <c r="H97" s="87"/>
      <c r="I97" s="87"/>
      <c r="J97" s="87"/>
      <c r="K97" s="101" t="s">
        <v>270</v>
      </c>
      <c r="L97" s="103"/>
      <c r="M97" s="43" t="s">
        <v>272</v>
      </c>
      <c r="N97" s="43" t="s">
        <v>273</v>
      </c>
      <c r="O97" s="77">
        <f>SUM(O98:O106)</f>
        <v>347686428.48000002</v>
      </c>
      <c r="P97" s="77">
        <f>SUM(P98:P106)</f>
        <v>231576797.94999999</v>
      </c>
      <c r="Q97" s="77">
        <f>SUM(Q98:Q106)</f>
        <v>90905660.859999985</v>
      </c>
      <c r="R97" s="77">
        <f>SUM(R98:R106)</f>
        <v>27958422.469999999</v>
      </c>
      <c r="S97" s="77">
        <f>SUM(S98:S106)</f>
        <v>10519396.01</v>
      </c>
    </row>
    <row r="98" spans="1:19" s="1" customFormat="1" ht="26.45" customHeight="1" x14ac:dyDescent="0.2">
      <c r="A98" s="89"/>
      <c r="B98" s="91"/>
      <c r="C98" s="89"/>
      <c r="D98" s="87"/>
      <c r="E98" s="87"/>
      <c r="F98" s="87"/>
      <c r="G98" s="87"/>
      <c r="H98" s="87"/>
      <c r="I98" s="87"/>
      <c r="J98" s="87"/>
      <c r="K98" s="101"/>
      <c r="L98" s="103"/>
      <c r="M98" s="43" t="s">
        <v>524</v>
      </c>
      <c r="N98" s="43" t="s">
        <v>287</v>
      </c>
      <c r="O98" s="77">
        <f>195168038.69+144609954.16</f>
        <v>339777992.85000002</v>
      </c>
      <c r="P98" s="77">
        <v>224965215.56</v>
      </c>
      <c r="Q98" s="77">
        <f>76051193.8+768193.88+4237585.86-4979512.68</f>
        <v>76077460.859999985</v>
      </c>
      <c r="R98" s="77"/>
      <c r="S98" s="77"/>
    </row>
    <row r="99" spans="1:19" s="1" customFormat="1" x14ac:dyDescent="0.2">
      <c r="A99" s="89"/>
      <c r="B99" s="91"/>
      <c r="C99" s="89"/>
      <c r="D99" s="87"/>
      <c r="E99" s="87"/>
      <c r="F99" s="87"/>
      <c r="G99" s="87"/>
      <c r="H99" s="87"/>
      <c r="I99" s="87"/>
      <c r="J99" s="87"/>
      <c r="K99" s="101"/>
      <c r="L99" s="103"/>
      <c r="M99" s="111" t="s">
        <v>536</v>
      </c>
      <c r="N99" s="71" t="s">
        <v>279</v>
      </c>
      <c r="O99" s="77">
        <v>0</v>
      </c>
      <c r="P99" s="77">
        <v>0</v>
      </c>
      <c r="Q99" s="77">
        <f>4014945.62-241000-109300-768193.88+11203548.26</f>
        <v>14100000</v>
      </c>
      <c r="R99" s="77">
        <f>5736193.84+6.41</f>
        <v>5736200.25</v>
      </c>
      <c r="S99" s="77">
        <f>10519393.02+2.99</f>
        <v>10519396.01</v>
      </c>
    </row>
    <row r="100" spans="1:19" s="1" customFormat="1" ht="20.25" customHeight="1" x14ac:dyDescent="0.2">
      <c r="A100" s="89"/>
      <c r="B100" s="91"/>
      <c r="C100" s="89"/>
      <c r="D100" s="87"/>
      <c r="E100" s="87"/>
      <c r="F100" s="87"/>
      <c r="G100" s="87"/>
      <c r="H100" s="87"/>
      <c r="I100" s="87"/>
      <c r="J100" s="87"/>
      <c r="K100" s="101"/>
      <c r="L100" s="103"/>
      <c r="M100" s="112"/>
      <c r="N100" s="43" t="s">
        <v>280</v>
      </c>
      <c r="O100" s="77"/>
      <c r="P100" s="77"/>
      <c r="Q100" s="77"/>
      <c r="R100" s="77"/>
      <c r="S100" s="77"/>
    </row>
    <row r="101" spans="1:19" s="1" customFormat="1" ht="18.75" customHeight="1" x14ac:dyDescent="0.2">
      <c r="A101" s="89"/>
      <c r="B101" s="91"/>
      <c r="C101" s="89"/>
      <c r="D101" s="87"/>
      <c r="E101" s="87"/>
      <c r="F101" s="87"/>
      <c r="G101" s="87"/>
      <c r="H101" s="87"/>
      <c r="I101" s="87"/>
      <c r="J101" s="87"/>
      <c r="K101" s="101"/>
      <c r="L101" s="103"/>
      <c r="M101" s="112"/>
      <c r="N101" s="81" t="s">
        <v>271</v>
      </c>
      <c r="O101" s="82"/>
      <c r="P101" s="82"/>
      <c r="Q101" s="82">
        <f>109300+108900</f>
        <v>218200</v>
      </c>
      <c r="R101" s="82"/>
      <c r="S101" s="82"/>
    </row>
    <row r="102" spans="1:19" s="1" customFormat="1" ht="20.25" customHeight="1" x14ac:dyDescent="0.2">
      <c r="A102" s="89"/>
      <c r="B102" s="91"/>
      <c r="C102" s="89"/>
      <c r="D102" s="87"/>
      <c r="E102" s="87"/>
      <c r="F102" s="87"/>
      <c r="G102" s="87"/>
      <c r="H102" s="87"/>
      <c r="I102" s="87"/>
      <c r="J102" s="87"/>
      <c r="K102" s="101"/>
      <c r="L102" s="103"/>
      <c r="M102" s="113"/>
      <c r="N102" s="81" t="s">
        <v>295</v>
      </c>
      <c r="O102" s="82">
        <v>222578.14</v>
      </c>
      <c r="P102" s="82"/>
      <c r="Q102" s="82">
        <v>0</v>
      </c>
      <c r="R102" s="82"/>
      <c r="S102" s="82"/>
    </row>
    <row r="103" spans="1:19" s="1" customFormat="1" ht="26.45" customHeight="1" x14ac:dyDescent="0.2">
      <c r="A103" s="89"/>
      <c r="B103" s="91"/>
      <c r="C103" s="89"/>
      <c r="D103" s="87"/>
      <c r="E103" s="87"/>
      <c r="F103" s="87"/>
      <c r="G103" s="87"/>
      <c r="H103" s="87"/>
      <c r="I103" s="87"/>
      <c r="J103" s="87"/>
      <c r="K103" s="101"/>
      <c r="L103" s="103"/>
      <c r="M103" s="43" t="s">
        <v>515</v>
      </c>
      <c r="N103" s="43" t="s">
        <v>287</v>
      </c>
      <c r="O103" s="77">
        <v>1100000</v>
      </c>
      <c r="P103" s="77">
        <v>35000</v>
      </c>
      <c r="Q103" s="77">
        <v>200000</v>
      </c>
      <c r="R103" s="77"/>
      <c r="S103" s="77"/>
    </row>
    <row r="104" spans="1:19" s="1" customFormat="1" ht="26.45" customHeight="1" x14ac:dyDescent="0.2">
      <c r="A104" s="89"/>
      <c r="B104" s="91"/>
      <c r="C104" s="89"/>
      <c r="D104" s="87"/>
      <c r="E104" s="87"/>
      <c r="F104" s="87"/>
      <c r="G104" s="87"/>
      <c r="H104" s="87"/>
      <c r="I104" s="87"/>
      <c r="J104" s="87"/>
      <c r="K104" s="101"/>
      <c r="L104" s="103"/>
      <c r="M104" s="38" t="s">
        <v>537</v>
      </c>
      <c r="N104" s="43" t="s">
        <v>271</v>
      </c>
      <c r="O104" s="14"/>
      <c r="P104" s="14"/>
      <c r="Q104" s="14"/>
      <c r="R104" s="77">
        <f>22222223-0.78</f>
        <v>22222222.219999999</v>
      </c>
      <c r="S104" s="77"/>
    </row>
    <row r="105" spans="1:19" s="1" customFormat="1" ht="26.45" customHeight="1" x14ac:dyDescent="0.2">
      <c r="A105" s="89"/>
      <c r="B105" s="91"/>
      <c r="C105" s="89"/>
      <c r="D105" s="87"/>
      <c r="E105" s="87"/>
      <c r="F105" s="87"/>
      <c r="G105" s="87"/>
      <c r="H105" s="87"/>
      <c r="I105" s="87"/>
      <c r="J105" s="87"/>
      <c r="K105" s="101"/>
      <c r="L105" s="103"/>
      <c r="M105" s="40" t="s">
        <v>303</v>
      </c>
      <c r="N105" s="43" t="s">
        <v>271</v>
      </c>
      <c r="O105" s="14">
        <v>6575857.4900000002</v>
      </c>
      <c r="P105" s="14">
        <v>6566586.3899999997</v>
      </c>
      <c r="Q105" s="14">
        <v>300000</v>
      </c>
      <c r="R105" s="77"/>
      <c r="S105" s="77"/>
    </row>
    <row r="106" spans="1:19" s="1" customFormat="1" ht="26.45" customHeight="1" x14ac:dyDescent="0.2">
      <c r="A106" s="89"/>
      <c r="B106" s="91"/>
      <c r="C106" s="89"/>
      <c r="D106" s="87"/>
      <c r="E106" s="87"/>
      <c r="F106" s="87"/>
      <c r="G106" s="87"/>
      <c r="H106" s="87"/>
      <c r="I106" s="87"/>
      <c r="J106" s="87"/>
      <c r="K106" s="101"/>
      <c r="L106" s="103"/>
      <c r="M106" s="40" t="s">
        <v>304</v>
      </c>
      <c r="N106" s="43" t="s">
        <v>271</v>
      </c>
      <c r="O106" s="14">
        <v>10000</v>
      </c>
      <c r="P106" s="14">
        <v>9996</v>
      </c>
      <c r="Q106" s="14">
        <v>10000</v>
      </c>
      <c r="R106" s="77"/>
      <c r="S106" s="77"/>
    </row>
    <row r="107" spans="1:19" s="1" customFormat="1" ht="26.45" customHeight="1" x14ac:dyDescent="0.2">
      <c r="A107" s="89"/>
      <c r="B107" s="91"/>
      <c r="C107" s="89"/>
      <c r="D107" s="87"/>
      <c r="E107" s="87"/>
      <c r="F107" s="87"/>
      <c r="G107" s="87"/>
      <c r="H107" s="87"/>
      <c r="I107" s="87"/>
      <c r="J107" s="87"/>
      <c r="K107" s="43" t="s">
        <v>276</v>
      </c>
      <c r="L107" s="103"/>
      <c r="M107" s="43" t="s">
        <v>501</v>
      </c>
      <c r="N107" s="43" t="s">
        <v>271</v>
      </c>
      <c r="O107" s="77">
        <v>196915</v>
      </c>
      <c r="P107" s="77">
        <v>176618.4</v>
      </c>
      <c r="Q107" s="77">
        <v>252480</v>
      </c>
      <c r="R107" s="77"/>
      <c r="S107" s="77"/>
    </row>
    <row r="108" spans="1:19" s="1" customFormat="1" ht="26.45" customHeight="1" x14ac:dyDescent="0.2">
      <c r="A108" s="87" t="s">
        <v>86</v>
      </c>
      <c r="B108" s="87" t="s">
        <v>87</v>
      </c>
      <c r="C108" s="87" t="s">
        <v>88</v>
      </c>
      <c r="D108" s="87" t="s">
        <v>257</v>
      </c>
      <c r="E108" s="87" t="s">
        <v>258</v>
      </c>
      <c r="F108" s="92"/>
      <c r="G108" s="87"/>
      <c r="H108" s="87" t="s">
        <v>451</v>
      </c>
      <c r="I108" s="87" t="s">
        <v>41</v>
      </c>
      <c r="J108" s="87" t="s">
        <v>11</v>
      </c>
      <c r="K108" s="43" t="s">
        <v>273</v>
      </c>
      <c r="L108" s="43" t="s">
        <v>273</v>
      </c>
      <c r="M108" s="43" t="s">
        <v>273</v>
      </c>
      <c r="N108" s="43" t="s">
        <v>273</v>
      </c>
      <c r="O108" s="77">
        <f t="shared" ref="O108" si="15">O109+O110</f>
        <v>128400</v>
      </c>
      <c r="P108" s="77">
        <f t="shared" ref="P108:S108" si="16">P109+P110</f>
        <v>50311</v>
      </c>
      <c r="Q108" s="77">
        <f t="shared" si="16"/>
        <v>147300</v>
      </c>
      <c r="R108" s="77">
        <f t="shared" si="16"/>
        <v>0</v>
      </c>
      <c r="S108" s="77">
        <f t="shared" si="16"/>
        <v>0</v>
      </c>
    </row>
    <row r="109" spans="1:19" s="1" customFormat="1" ht="26.45" customHeight="1" x14ac:dyDescent="0.2">
      <c r="A109" s="87"/>
      <c r="B109" s="87"/>
      <c r="C109" s="87"/>
      <c r="D109" s="87"/>
      <c r="E109" s="87"/>
      <c r="F109" s="92"/>
      <c r="G109" s="87"/>
      <c r="H109" s="87"/>
      <c r="I109" s="87"/>
      <c r="J109" s="87"/>
      <c r="K109" s="43" t="s">
        <v>270</v>
      </c>
      <c r="L109" s="43" t="s">
        <v>286</v>
      </c>
      <c r="M109" s="43" t="s">
        <v>312</v>
      </c>
      <c r="N109" s="43" t="s">
        <v>271</v>
      </c>
      <c r="O109" s="14">
        <v>5000</v>
      </c>
      <c r="P109" s="14">
        <v>5000</v>
      </c>
      <c r="Q109" s="14">
        <v>5000</v>
      </c>
      <c r="R109" s="77"/>
      <c r="S109" s="77"/>
    </row>
    <row r="110" spans="1:19" s="1" customFormat="1" ht="26.45" customHeight="1" x14ac:dyDescent="0.2">
      <c r="A110" s="87"/>
      <c r="B110" s="87"/>
      <c r="C110" s="87"/>
      <c r="D110" s="87"/>
      <c r="E110" s="87"/>
      <c r="F110" s="92"/>
      <c r="G110" s="87"/>
      <c r="H110" s="87"/>
      <c r="I110" s="87"/>
      <c r="J110" s="87"/>
      <c r="K110" s="43" t="s">
        <v>276</v>
      </c>
      <c r="L110" s="43" t="s">
        <v>553</v>
      </c>
      <c r="M110" s="43"/>
      <c r="N110" s="43" t="s">
        <v>271</v>
      </c>
      <c r="O110" s="14">
        <v>123400</v>
      </c>
      <c r="P110" s="14">
        <v>45311</v>
      </c>
      <c r="Q110" s="14">
        <v>142300</v>
      </c>
      <c r="R110" s="77"/>
      <c r="S110" s="77"/>
    </row>
    <row r="111" spans="1:19" s="1" customFormat="1" ht="95.25" customHeight="1" x14ac:dyDescent="0.2">
      <c r="A111" s="87" t="s">
        <v>89</v>
      </c>
      <c r="B111" s="87" t="s">
        <v>90</v>
      </c>
      <c r="C111" s="87" t="s">
        <v>91</v>
      </c>
      <c r="D111" s="87" t="s">
        <v>92</v>
      </c>
      <c r="E111" s="87" t="s">
        <v>41</v>
      </c>
      <c r="F111" s="45" t="s">
        <v>453</v>
      </c>
      <c r="G111" s="45" t="s">
        <v>41</v>
      </c>
      <c r="H111" s="45" t="s">
        <v>415</v>
      </c>
      <c r="I111" s="45" t="s">
        <v>41</v>
      </c>
      <c r="J111" s="45" t="s">
        <v>21</v>
      </c>
      <c r="K111" s="43" t="s">
        <v>270</v>
      </c>
      <c r="L111" s="43" t="s">
        <v>93</v>
      </c>
      <c r="M111" s="43" t="s">
        <v>347</v>
      </c>
      <c r="N111" s="43" t="s">
        <v>271</v>
      </c>
      <c r="O111" s="14"/>
      <c r="P111" s="14"/>
      <c r="Q111" s="14"/>
      <c r="R111" s="77"/>
      <c r="S111" s="77"/>
    </row>
    <row r="112" spans="1:19" s="1" customFormat="1" ht="95.25" customHeight="1" x14ac:dyDescent="0.2">
      <c r="A112" s="87"/>
      <c r="B112" s="87"/>
      <c r="C112" s="87"/>
      <c r="D112" s="87"/>
      <c r="E112" s="87"/>
      <c r="F112" s="44" t="s">
        <v>482</v>
      </c>
      <c r="G112" s="45" t="s">
        <v>41</v>
      </c>
      <c r="H112" s="45" t="s">
        <v>496</v>
      </c>
      <c r="I112" s="44"/>
      <c r="J112" s="44"/>
      <c r="K112" s="40" t="s">
        <v>270</v>
      </c>
      <c r="L112" s="40" t="s">
        <v>126</v>
      </c>
      <c r="M112" s="40" t="s">
        <v>483</v>
      </c>
      <c r="N112" s="43"/>
      <c r="O112" s="28">
        <v>600</v>
      </c>
      <c r="P112" s="28">
        <v>600</v>
      </c>
      <c r="Q112" s="28">
        <v>600</v>
      </c>
      <c r="R112" s="28">
        <v>600</v>
      </c>
      <c r="S112" s="28">
        <v>600</v>
      </c>
    </row>
    <row r="113" spans="1:19" s="1" customFormat="1" ht="73.5" customHeight="1" x14ac:dyDescent="0.2">
      <c r="A113" s="56" t="s">
        <v>469</v>
      </c>
      <c r="B113" s="45" t="s">
        <v>468</v>
      </c>
      <c r="C113" s="45">
        <v>1055</v>
      </c>
      <c r="D113" s="45" t="s">
        <v>257</v>
      </c>
      <c r="E113" s="45" t="s">
        <v>481</v>
      </c>
      <c r="F113" s="45"/>
      <c r="G113" s="45"/>
      <c r="H113" s="45"/>
      <c r="I113" s="45"/>
      <c r="J113" s="45"/>
      <c r="K113" s="43" t="s">
        <v>270</v>
      </c>
      <c r="L113" s="43" t="s">
        <v>470</v>
      </c>
      <c r="M113" s="43" t="s">
        <v>471</v>
      </c>
      <c r="N113" s="43" t="s">
        <v>271</v>
      </c>
      <c r="O113" s="14">
        <v>264569.67</v>
      </c>
      <c r="P113" s="14">
        <v>0</v>
      </c>
      <c r="Q113" s="14">
        <f>196933+426621.22</f>
        <v>623554.22</v>
      </c>
      <c r="R113" s="14">
        <v>196933</v>
      </c>
      <c r="S113" s="14">
        <v>196933</v>
      </c>
    </row>
    <row r="114" spans="1:19" s="1" customFormat="1" ht="26.45" customHeight="1" x14ac:dyDescent="0.2">
      <c r="A114" s="94" t="s">
        <v>94</v>
      </c>
      <c r="B114" s="87" t="s">
        <v>95</v>
      </c>
      <c r="C114" s="93" t="s">
        <v>96</v>
      </c>
      <c r="D114" s="87" t="s">
        <v>257</v>
      </c>
      <c r="E114" s="87" t="s">
        <v>480</v>
      </c>
      <c r="F114" s="87" t="s">
        <v>454</v>
      </c>
      <c r="G114" s="87" t="s">
        <v>41</v>
      </c>
      <c r="H114" s="87" t="s">
        <v>415</v>
      </c>
      <c r="I114" s="87" t="s">
        <v>41</v>
      </c>
      <c r="J114" s="87" t="s">
        <v>20</v>
      </c>
      <c r="K114" s="101" t="s">
        <v>270</v>
      </c>
      <c r="L114" s="43" t="s">
        <v>285</v>
      </c>
      <c r="M114" s="43" t="s">
        <v>273</v>
      </c>
      <c r="N114" s="43" t="s">
        <v>273</v>
      </c>
      <c r="O114" s="77">
        <f>SUM(O115:O118)</f>
        <v>134704.45000000001</v>
      </c>
      <c r="P114" s="77">
        <f>SUM(P115:P118)</f>
        <v>134676.37</v>
      </c>
      <c r="Q114" s="77">
        <f>SUM(Q115:Q118)</f>
        <v>95962.61</v>
      </c>
      <c r="R114" s="77">
        <f>SUM(R115:R118)</f>
        <v>0</v>
      </c>
      <c r="S114" s="77">
        <f>SUM(S115:S118)</f>
        <v>0</v>
      </c>
    </row>
    <row r="115" spans="1:19" s="1" customFormat="1" ht="26.45" customHeight="1" x14ac:dyDescent="0.2">
      <c r="A115" s="94"/>
      <c r="B115" s="87"/>
      <c r="C115" s="93"/>
      <c r="D115" s="87"/>
      <c r="E115" s="87"/>
      <c r="F115" s="87"/>
      <c r="G115" s="87"/>
      <c r="H115" s="87"/>
      <c r="I115" s="87"/>
      <c r="J115" s="87"/>
      <c r="K115" s="101"/>
      <c r="L115" s="43" t="s">
        <v>137</v>
      </c>
      <c r="M115" s="43" t="s">
        <v>341</v>
      </c>
      <c r="N115" s="43" t="s">
        <v>271</v>
      </c>
      <c r="O115" s="14">
        <v>90000</v>
      </c>
      <c r="P115" s="14">
        <v>89971.92</v>
      </c>
      <c r="Q115" s="14">
        <f>90000+5962.61</f>
        <v>95962.61</v>
      </c>
      <c r="R115" s="77"/>
      <c r="S115" s="77"/>
    </row>
    <row r="116" spans="1:19" s="1" customFormat="1" ht="26.45" customHeight="1" x14ac:dyDescent="0.2">
      <c r="A116" s="94"/>
      <c r="B116" s="87"/>
      <c r="C116" s="93"/>
      <c r="D116" s="87"/>
      <c r="E116" s="87"/>
      <c r="F116" s="87"/>
      <c r="G116" s="87"/>
      <c r="H116" s="87"/>
      <c r="I116" s="87"/>
      <c r="J116" s="87"/>
      <c r="K116" s="101"/>
      <c r="L116" s="43" t="s">
        <v>137</v>
      </c>
      <c r="M116" s="43" t="s">
        <v>341</v>
      </c>
      <c r="N116" s="43" t="s">
        <v>466</v>
      </c>
      <c r="O116" s="14">
        <v>44704.45</v>
      </c>
      <c r="P116" s="14">
        <v>44704.45</v>
      </c>
      <c r="Q116" s="14"/>
      <c r="R116" s="77"/>
      <c r="S116" s="77"/>
    </row>
    <row r="117" spans="1:19" s="1" customFormat="1" ht="26.45" customHeight="1" x14ac:dyDescent="0.2">
      <c r="A117" s="94"/>
      <c r="B117" s="87"/>
      <c r="C117" s="93"/>
      <c r="D117" s="87"/>
      <c r="E117" s="87"/>
      <c r="F117" s="87"/>
      <c r="G117" s="87"/>
      <c r="H117" s="87"/>
      <c r="I117" s="87"/>
      <c r="J117" s="87"/>
      <c r="K117" s="101"/>
      <c r="L117" s="43" t="s">
        <v>137</v>
      </c>
      <c r="M117" s="43" t="s">
        <v>344</v>
      </c>
      <c r="N117" s="43" t="s">
        <v>287</v>
      </c>
      <c r="O117" s="14"/>
      <c r="P117" s="14"/>
      <c r="Q117" s="14"/>
      <c r="R117" s="77"/>
      <c r="S117" s="77"/>
    </row>
    <row r="118" spans="1:19" s="1" customFormat="1" ht="26.45" customHeight="1" x14ac:dyDescent="0.2">
      <c r="A118" s="94"/>
      <c r="B118" s="87"/>
      <c r="C118" s="93"/>
      <c r="D118" s="87"/>
      <c r="E118" s="87"/>
      <c r="F118" s="87"/>
      <c r="G118" s="87"/>
      <c r="H118" s="87"/>
      <c r="I118" s="87"/>
      <c r="J118" s="87"/>
      <c r="K118" s="101"/>
      <c r="L118" s="43" t="s">
        <v>97</v>
      </c>
      <c r="M118" s="43" t="s">
        <v>342</v>
      </c>
      <c r="N118" s="43" t="s">
        <v>287</v>
      </c>
      <c r="O118" s="77">
        <v>0</v>
      </c>
      <c r="P118" s="77">
        <v>0</v>
      </c>
      <c r="Q118" s="77">
        <v>0</v>
      </c>
      <c r="R118" s="77"/>
      <c r="S118" s="77">
        <v>0</v>
      </c>
    </row>
    <row r="119" spans="1:19" s="1" customFormat="1" ht="60.75" customHeight="1" x14ac:dyDescent="0.2">
      <c r="A119" s="114" t="s">
        <v>543</v>
      </c>
      <c r="B119" s="114" t="s">
        <v>544</v>
      </c>
      <c r="C119" s="114">
        <v>1058</v>
      </c>
      <c r="D119" s="76"/>
      <c r="E119" s="76"/>
      <c r="F119" s="76"/>
      <c r="G119" s="76"/>
      <c r="H119" s="76"/>
      <c r="I119" s="114" t="s">
        <v>41</v>
      </c>
      <c r="J119" s="114"/>
      <c r="K119" s="116" t="s">
        <v>270</v>
      </c>
      <c r="L119" s="116" t="s">
        <v>240</v>
      </c>
      <c r="M119" s="75" t="s">
        <v>560</v>
      </c>
      <c r="N119" s="75" t="s">
        <v>299</v>
      </c>
      <c r="O119" s="77">
        <v>0</v>
      </c>
      <c r="P119" s="77">
        <v>0</v>
      </c>
      <c r="Q119" s="77">
        <f>166694929.95-0.87+17710435.19</f>
        <v>184405364.26999998</v>
      </c>
      <c r="R119" s="77"/>
      <c r="S119" s="77"/>
    </row>
    <row r="120" spans="1:19" s="1" customFormat="1" ht="60.75" customHeight="1" x14ac:dyDescent="0.2">
      <c r="A120" s="119"/>
      <c r="B120" s="119"/>
      <c r="C120" s="119"/>
      <c r="D120" s="85"/>
      <c r="E120" s="85"/>
      <c r="F120" s="85"/>
      <c r="G120" s="85"/>
      <c r="H120" s="85"/>
      <c r="I120" s="119"/>
      <c r="J120" s="119"/>
      <c r="K120" s="120"/>
      <c r="L120" s="120"/>
      <c r="M120" s="111" t="s">
        <v>559</v>
      </c>
      <c r="N120" s="84" t="s">
        <v>299</v>
      </c>
      <c r="O120" s="86"/>
      <c r="P120" s="86"/>
      <c r="Q120" s="86">
        <v>100000</v>
      </c>
      <c r="R120" s="86"/>
      <c r="S120" s="86"/>
    </row>
    <row r="121" spans="1:19" s="1" customFormat="1" ht="162.75" customHeight="1" x14ac:dyDescent="0.2">
      <c r="A121" s="115"/>
      <c r="B121" s="115"/>
      <c r="C121" s="115"/>
      <c r="D121" s="69" t="s">
        <v>257</v>
      </c>
      <c r="E121" s="69"/>
      <c r="F121" s="69"/>
      <c r="G121" s="69"/>
      <c r="H121" s="69" t="s">
        <v>545</v>
      </c>
      <c r="I121" s="115"/>
      <c r="J121" s="115"/>
      <c r="K121" s="117"/>
      <c r="L121" s="117"/>
      <c r="M121" s="113"/>
      <c r="N121" s="68" t="s">
        <v>271</v>
      </c>
      <c r="O121" s="77">
        <v>2612401.64</v>
      </c>
      <c r="P121" s="77">
        <v>2533706</v>
      </c>
      <c r="Q121" s="77">
        <f>2158919.84+156660.69-100000</f>
        <v>2215580.5299999998</v>
      </c>
      <c r="R121" s="77">
        <v>2592809</v>
      </c>
      <c r="S121" s="77">
        <v>2637073</v>
      </c>
    </row>
    <row r="122" spans="1:19" s="1" customFormat="1" ht="48.75" customHeight="1" x14ac:dyDescent="0.2">
      <c r="A122" s="95" t="s">
        <v>98</v>
      </c>
      <c r="B122" s="87" t="s">
        <v>99</v>
      </c>
      <c r="C122" s="87" t="s">
        <v>100</v>
      </c>
      <c r="D122" s="87" t="s">
        <v>257</v>
      </c>
      <c r="E122" s="87" t="s">
        <v>258</v>
      </c>
      <c r="F122" s="87" t="s">
        <v>382</v>
      </c>
      <c r="G122" s="87" t="s">
        <v>41</v>
      </c>
      <c r="H122" s="87" t="s">
        <v>495</v>
      </c>
      <c r="I122" s="87" t="s">
        <v>41</v>
      </c>
      <c r="J122" s="87" t="s">
        <v>19</v>
      </c>
      <c r="K122" s="101" t="s">
        <v>270</v>
      </c>
      <c r="L122" s="7" t="s">
        <v>285</v>
      </c>
      <c r="M122" s="70" t="s">
        <v>273</v>
      </c>
      <c r="N122" s="7" t="s">
        <v>273</v>
      </c>
      <c r="O122" s="8">
        <f t="shared" ref="O122" si="17">SUM(O123:O126)</f>
        <v>6567605.3399999999</v>
      </c>
      <c r="P122" s="8">
        <f t="shared" ref="P122:S122" si="18">SUM(P123:P126)</f>
        <v>6567604.8799999999</v>
      </c>
      <c r="Q122" s="8">
        <f t="shared" si="18"/>
        <v>6160594.9799999995</v>
      </c>
      <c r="R122" s="8">
        <f t="shared" si="18"/>
        <v>6115048.3199999994</v>
      </c>
      <c r="S122" s="8">
        <f t="shared" si="18"/>
        <v>6115048.3199999994</v>
      </c>
    </row>
    <row r="123" spans="1:19" s="10" customFormat="1" ht="24" customHeight="1" x14ac:dyDescent="0.2">
      <c r="A123" s="95"/>
      <c r="B123" s="87"/>
      <c r="C123" s="87"/>
      <c r="D123" s="87"/>
      <c r="E123" s="87"/>
      <c r="F123" s="87"/>
      <c r="G123" s="87"/>
      <c r="H123" s="87"/>
      <c r="I123" s="87"/>
      <c r="J123" s="87"/>
      <c r="K123" s="101"/>
      <c r="L123" s="40" t="s">
        <v>126</v>
      </c>
      <c r="M123" s="40" t="s">
        <v>490</v>
      </c>
      <c r="N123" s="40" t="s">
        <v>271</v>
      </c>
      <c r="O123" s="15">
        <v>600</v>
      </c>
      <c r="P123" s="15">
        <v>600</v>
      </c>
      <c r="Q123" s="15">
        <v>600</v>
      </c>
      <c r="R123" s="77">
        <v>600</v>
      </c>
      <c r="S123" s="77">
        <v>600</v>
      </c>
    </row>
    <row r="124" spans="1:19" s="1" customFormat="1" ht="24" customHeight="1" x14ac:dyDescent="0.2">
      <c r="A124" s="95"/>
      <c r="B124" s="87"/>
      <c r="C124" s="87"/>
      <c r="D124" s="87"/>
      <c r="E124" s="87"/>
      <c r="F124" s="87"/>
      <c r="G124" s="87"/>
      <c r="H124" s="87"/>
      <c r="I124" s="87"/>
      <c r="J124" s="87"/>
      <c r="K124" s="101"/>
      <c r="L124" s="43" t="s">
        <v>246</v>
      </c>
      <c r="M124" s="43" t="s">
        <v>340</v>
      </c>
      <c r="N124" s="43" t="s">
        <v>271</v>
      </c>
      <c r="O124" s="77">
        <v>159363.54</v>
      </c>
      <c r="P124" s="77">
        <v>159363.07999999999</v>
      </c>
      <c r="Q124" s="77">
        <f>164495.22+45546.66</f>
        <v>210041.88</v>
      </c>
      <c r="R124" s="77">
        <v>164495.22</v>
      </c>
      <c r="S124" s="77">
        <v>164495.22</v>
      </c>
    </row>
    <row r="125" spans="1:19" s="1" customFormat="1" ht="24" customHeight="1" x14ac:dyDescent="0.2">
      <c r="A125" s="95"/>
      <c r="B125" s="87"/>
      <c r="C125" s="87"/>
      <c r="D125" s="87"/>
      <c r="E125" s="87"/>
      <c r="F125" s="87"/>
      <c r="G125" s="87"/>
      <c r="H125" s="87"/>
      <c r="I125" s="87"/>
      <c r="J125" s="87"/>
      <c r="K125" s="101"/>
      <c r="L125" s="43" t="s">
        <v>457</v>
      </c>
      <c r="M125" s="43" t="s">
        <v>473</v>
      </c>
      <c r="N125" s="43" t="s">
        <v>278</v>
      </c>
      <c r="O125" s="77">
        <v>0</v>
      </c>
      <c r="P125" s="77">
        <v>0</v>
      </c>
      <c r="Q125" s="77">
        <v>0</v>
      </c>
      <c r="R125" s="77"/>
      <c r="S125" s="77"/>
    </row>
    <row r="126" spans="1:19" s="1" customFormat="1" ht="24" customHeight="1" x14ac:dyDescent="0.2">
      <c r="A126" s="95" t="s">
        <v>0</v>
      </c>
      <c r="B126" s="87"/>
      <c r="C126" s="87" t="s">
        <v>0</v>
      </c>
      <c r="D126" s="87"/>
      <c r="E126" s="87"/>
      <c r="F126" s="87"/>
      <c r="G126" s="87"/>
      <c r="H126" s="87"/>
      <c r="I126" s="87"/>
      <c r="J126" s="87"/>
      <c r="K126" s="101"/>
      <c r="L126" s="43" t="s">
        <v>101</v>
      </c>
      <c r="M126" s="43" t="s">
        <v>306</v>
      </c>
      <c r="N126" s="43" t="s">
        <v>277</v>
      </c>
      <c r="O126" s="77">
        <v>6407641.7999999998</v>
      </c>
      <c r="P126" s="77">
        <v>6407641.7999999998</v>
      </c>
      <c r="Q126" s="77">
        <v>5949953.0999999996</v>
      </c>
      <c r="R126" s="77">
        <v>5949953.0999999996</v>
      </c>
      <c r="S126" s="77">
        <v>5949953.0999999996</v>
      </c>
    </row>
    <row r="127" spans="1:19" s="1" customFormat="1" ht="35.25" customHeight="1" x14ac:dyDescent="0.2">
      <c r="A127" s="87" t="s">
        <v>102</v>
      </c>
      <c r="B127" s="87" t="s">
        <v>103</v>
      </c>
      <c r="C127" s="87" t="s">
        <v>104</v>
      </c>
      <c r="D127" s="87" t="s">
        <v>257</v>
      </c>
      <c r="E127" s="87" t="s">
        <v>258</v>
      </c>
      <c r="F127" s="87" t="s">
        <v>383</v>
      </c>
      <c r="G127" s="87" t="s">
        <v>41</v>
      </c>
      <c r="H127" s="87" t="s">
        <v>452</v>
      </c>
      <c r="I127" s="87" t="s">
        <v>41</v>
      </c>
      <c r="J127" s="87" t="s">
        <v>17</v>
      </c>
      <c r="K127" s="118" t="s">
        <v>270</v>
      </c>
      <c r="L127" s="110" t="s">
        <v>105</v>
      </c>
      <c r="M127" s="7" t="s">
        <v>273</v>
      </c>
      <c r="N127" s="7" t="s">
        <v>273</v>
      </c>
      <c r="O127" s="8">
        <f t="shared" ref="O127" si="19">O128+O129+O130+O131+O132</f>
        <v>4926785</v>
      </c>
      <c r="P127" s="8">
        <f t="shared" ref="P127:S127" si="20">P128+P129+P130+P131+P132</f>
        <v>4907070.1100000003</v>
      </c>
      <c r="Q127" s="8">
        <f t="shared" si="20"/>
        <v>6969400</v>
      </c>
      <c r="R127" s="8">
        <f t="shared" si="20"/>
        <v>5897800</v>
      </c>
      <c r="S127" s="8">
        <f t="shared" si="20"/>
        <v>5897800</v>
      </c>
    </row>
    <row r="128" spans="1:19" s="1" customFormat="1" ht="35.25" customHeight="1" x14ac:dyDescent="0.2">
      <c r="A128" s="87"/>
      <c r="B128" s="87"/>
      <c r="C128" s="87"/>
      <c r="D128" s="87"/>
      <c r="E128" s="87"/>
      <c r="F128" s="87"/>
      <c r="G128" s="87"/>
      <c r="H128" s="87"/>
      <c r="I128" s="87"/>
      <c r="J128" s="87"/>
      <c r="K128" s="118"/>
      <c r="L128" s="110"/>
      <c r="M128" s="103" t="s">
        <v>368</v>
      </c>
      <c r="N128" s="43" t="s">
        <v>25</v>
      </c>
      <c r="O128" s="14">
        <v>2819714</v>
      </c>
      <c r="P128" s="14">
        <v>2806244.93</v>
      </c>
      <c r="Q128" s="14">
        <v>3431000</v>
      </c>
      <c r="R128" s="14">
        <v>3431000</v>
      </c>
      <c r="S128" s="14">
        <v>3431000</v>
      </c>
    </row>
    <row r="129" spans="1:19" s="1" customFormat="1" ht="35.25" customHeight="1" x14ac:dyDescent="0.2">
      <c r="A129" s="87"/>
      <c r="B129" s="87"/>
      <c r="C129" s="87"/>
      <c r="D129" s="87"/>
      <c r="E129" s="87"/>
      <c r="F129" s="87"/>
      <c r="G129" s="87"/>
      <c r="H129" s="87"/>
      <c r="I129" s="87"/>
      <c r="J129" s="87"/>
      <c r="K129" s="118"/>
      <c r="L129" s="110"/>
      <c r="M129" s="103"/>
      <c r="N129" s="43" t="s">
        <v>26</v>
      </c>
      <c r="O129" s="14">
        <v>847706</v>
      </c>
      <c r="P129" s="14">
        <v>842969.68</v>
      </c>
      <c r="Q129" s="14">
        <v>1036100</v>
      </c>
      <c r="R129" s="14">
        <v>1036100</v>
      </c>
      <c r="S129" s="14">
        <v>1036100</v>
      </c>
    </row>
    <row r="130" spans="1:19" s="1" customFormat="1" ht="35.25" customHeight="1" x14ac:dyDescent="0.2">
      <c r="A130" s="87"/>
      <c r="B130" s="87"/>
      <c r="C130" s="87"/>
      <c r="D130" s="87"/>
      <c r="E130" s="87"/>
      <c r="F130" s="87"/>
      <c r="G130" s="87"/>
      <c r="H130" s="87"/>
      <c r="I130" s="87"/>
      <c r="J130" s="87"/>
      <c r="K130" s="118"/>
      <c r="L130" s="110"/>
      <c r="M130" s="103"/>
      <c r="N130" s="43" t="s">
        <v>271</v>
      </c>
      <c r="O130" s="14">
        <v>1191265</v>
      </c>
      <c r="P130" s="14">
        <v>1189755.5</v>
      </c>
      <c r="Q130" s="14">
        <f>1397100+66000</f>
        <v>1463100</v>
      </c>
      <c r="R130" s="14">
        <v>1121800</v>
      </c>
      <c r="S130" s="14">
        <v>1121800</v>
      </c>
    </row>
    <row r="131" spans="1:19" s="1" customFormat="1" ht="35.25" customHeight="1" x14ac:dyDescent="0.2">
      <c r="A131" s="87"/>
      <c r="B131" s="87"/>
      <c r="C131" s="87"/>
      <c r="D131" s="87"/>
      <c r="E131" s="87"/>
      <c r="F131" s="87"/>
      <c r="G131" s="87"/>
      <c r="H131" s="87"/>
      <c r="I131" s="87"/>
      <c r="J131" s="87"/>
      <c r="K131" s="118"/>
      <c r="L131" s="110"/>
      <c r="M131" s="103"/>
      <c r="N131" s="43" t="s">
        <v>270</v>
      </c>
      <c r="O131" s="14">
        <v>8100</v>
      </c>
      <c r="P131" s="14">
        <v>8100</v>
      </c>
      <c r="Q131" s="14">
        <v>8900</v>
      </c>
      <c r="R131" s="14">
        <v>8900</v>
      </c>
      <c r="S131" s="14">
        <v>8900</v>
      </c>
    </row>
    <row r="132" spans="1:19" s="1" customFormat="1" ht="35.25" customHeight="1" x14ac:dyDescent="0.2">
      <c r="A132" s="87"/>
      <c r="B132" s="87"/>
      <c r="C132" s="87"/>
      <c r="D132" s="87"/>
      <c r="E132" s="87"/>
      <c r="F132" s="87"/>
      <c r="G132" s="87"/>
      <c r="H132" s="87"/>
      <c r="I132" s="87"/>
      <c r="J132" s="87"/>
      <c r="K132" s="118"/>
      <c r="L132" s="110"/>
      <c r="M132" s="43" t="s">
        <v>369</v>
      </c>
      <c r="N132" s="43" t="s">
        <v>271</v>
      </c>
      <c r="O132" s="14">
        <v>60000</v>
      </c>
      <c r="P132" s="14">
        <v>60000</v>
      </c>
      <c r="Q132" s="14">
        <f>1096300-66000</f>
        <v>1030300</v>
      </c>
      <c r="R132" s="14">
        <v>300000</v>
      </c>
      <c r="S132" s="14">
        <v>300000</v>
      </c>
    </row>
    <row r="133" spans="1:19" s="1" customFormat="1" ht="78.75" customHeight="1" x14ac:dyDescent="0.2">
      <c r="A133" s="57" t="s">
        <v>111</v>
      </c>
      <c r="B133" s="45" t="s">
        <v>112</v>
      </c>
      <c r="C133" s="45" t="s">
        <v>113</v>
      </c>
      <c r="D133" s="45" t="s">
        <v>257</v>
      </c>
      <c r="E133" s="45" t="s">
        <v>258</v>
      </c>
      <c r="F133" s="45" t="s">
        <v>0</v>
      </c>
      <c r="G133" s="45" t="s">
        <v>0</v>
      </c>
      <c r="H133" s="45" t="s">
        <v>0</v>
      </c>
      <c r="I133" s="45" t="s">
        <v>0</v>
      </c>
      <c r="J133" s="45" t="s">
        <v>0</v>
      </c>
      <c r="K133" s="43"/>
      <c r="L133" s="43"/>
      <c r="M133" s="43"/>
      <c r="N133" s="43"/>
      <c r="O133" s="77">
        <f t="shared" ref="O133" si="21">O134+O138+O141+O142+O143+O144</f>
        <v>5819959.3499999996</v>
      </c>
      <c r="P133" s="77">
        <f t="shared" ref="P133:S133" si="22">P134+P138+P141+P142+P143+P144</f>
        <v>5819959.3499999996</v>
      </c>
      <c r="Q133" s="77">
        <f t="shared" si="22"/>
        <v>5893600</v>
      </c>
      <c r="R133" s="77">
        <f t="shared" si="22"/>
        <v>5893600</v>
      </c>
      <c r="S133" s="77">
        <f t="shared" si="22"/>
        <v>5893600</v>
      </c>
    </row>
    <row r="134" spans="1:19" s="1" customFormat="1" ht="39" customHeight="1" x14ac:dyDescent="0.2">
      <c r="A134" s="87" t="s">
        <v>114</v>
      </c>
      <c r="B134" s="87" t="s">
        <v>115</v>
      </c>
      <c r="C134" s="87" t="s">
        <v>116</v>
      </c>
      <c r="D134" s="87" t="s">
        <v>257</v>
      </c>
      <c r="E134" s="87" t="s">
        <v>258</v>
      </c>
      <c r="F134" s="87" t="s">
        <v>78</v>
      </c>
      <c r="G134" s="87" t="s">
        <v>41</v>
      </c>
      <c r="H134" s="87" t="s">
        <v>456</v>
      </c>
      <c r="I134" s="87" t="s">
        <v>41</v>
      </c>
      <c r="J134" s="87" t="s">
        <v>12</v>
      </c>
      <c r="K134" s="101" t="s">
        <v>270</v>
      </c>
      <c r="L134" s="101" t="s">
        <v>74</v>
      </c>
      <c r="M134" s="101" t="s">
        <v>311</v>
      </c>
      <c r="N134" s="43" t="s">
        <v>273</v>
      </c>
      <c r="O134" s="77">
        <f t="shared" ref="O134" si="23">O135+O136+O137</f>
        <v>5600000</v>
      </c>
      <c r="P134" s="77">
        <f t="shared" ref="P134" si="24">P135+P136+P137</f>
        <v>5600000</v>
      </c>
      <c r="Q134" s="77">
        <f t="shared" ref="Q134:S134" si="25">Q135+Q136+Q137</f>
        <v>5600000</v>
      </c>
      <c r="R134" s="77">
        <f t="shared" si="25"/>
        <v>5600000</v>
      </c>
      <c r="S134" s="77">
        <f t="shared" si="25"/>
        <v>5600000</v>
      </c>
    </row>
    <row r="135" spans="1:19" s="1" customFormat="1" ht="39" customHeight="1" x14ac:dyDescent="0.2">
      <c r="A135" s="87"/>
      <c r="B135" s="87"/>
      <c r="C135" s="87"/>
      <c r="D135" s="87"/>
      <c r="E135" s="87"/>
      <c r="F135" s="87"/>
      <c r="G135" s="87"/>
      <c r="H135" s="87"/>
      <c r="I135" s="87"/>
      <c r="J135" s="87"/>
      <c r="K135" s="101"/>
      <c r="L135" s="101"/>
      <c r="M135" s="101"/>
      <c r="N135" s="43" t="s">
        <v>271</v>
      </c>
      <c r="O135" s="77">
        <v>381500</v>
      </c>
      <c r="P135" s="77">
        <v>381500</v>
      </c>
      <c r="Q135" s="77">
        <v>381500</v>
      </c>
      <c r="R135" s="77">
        <v>381500</v>
      </c>
      <c r="S135" s="77">
        <v>381500</v>
      </c>
    </row>
    <row r="136" spans="1:19" s="1" customFormat="1" ht="39" customHeight="1" x14ac:dyDescent="0.2">
      <c r="A136" s="87"/>
      <c r="B136" s="87"/>
      <c r="C136" s="87"/>
      <c r="D136" s="87"/>
      <c r="E136" s="87"/>
      <c r="F136" s="87"/>
      <c r="G136" s="87"/>
      <c r="H136" s="87"/>
      <c r="I136" s="87"/>
      <c r="J136" s="87"/>
      <c r="K136" s="101"/>
      <c r="L136" s="101"/>
      <c r="M136" s="101"/>
      <c r="N136" s="43" t="s">
        <v>279</v>
      </c>
      <c r="O136" s="77">
        <v>5110400</v>
      </c>
      <c r="P136" s="77">
        <v>5110400</v>
      </c>
      <c r="Q136" s="77">
        <v>5110400</v>
      </c>
      <c r="R136" s="77">
        <v>5110400</v>
      </c>
      <c r="S136" s="77">
        <v>5110400</v>
      </c>
    </row>
    <row r="137" spans="1:19" s="1" customFormat="1" ht="69" customHeight="1" x14ac:dyDescent="0.2">
      <c r="A137" s="87"/>
      <c r="B137" s="87"/>
      <c r="C137" s="87"/>
      <c r="D137" s="87"/>
      <c r="E137" s="87"/>
      <c r="F137" s="87"/>
      <c r="G137" s="87"/>
      <c r="H137" s="87"/>
      <c r="I137" s="87"/>
      <c r="J137" s="87"/>
      <c r="K137" s="101"/>
      <c r="L137" s="101"/>
      <c r="M137" s="101"/>
      <c r="N137" s="43" t="s">
        <v>280</v>
      </c>
      <c r="O137" s="77">
        <v>108100</v>
      </c>
      <c r="P137" s="77">
        <v>108100</v>
      </c>
      <c r="Q137" s="77">
        <v>108100</v>
      </c>
      <c r="R137" s="77">
        <v>108100</v>
      </c>
      <c r="S137" s="77">
        <v>108100</v>
      </c>
    </row>
    <row r="138" spans="1:19" s="1" customFormat="1" ht="96" customHeight="1" x14ac:dyDescent="0.2">
      <c r="A138" s="87" t="s">
        <v>117</v>
      </c>
      <c r="B138" s="87" t="s">
        <v>118</v>
      </c>
      <c r="C138" s="87" t="s">
        <v>85</v>
      </c>
      <c r="D138" s="87" t="s">
        <v>257</v>
      </c>
      <c r="E138" s="87" t="s">
        <v>258</v>
      </c>
      <c r="F138" s="87" t="s">
        <v>479</v>
      </c>
      <c r="G138" s="87" t="s">
        <v>41</v>
      </c>
      <c r="H138" s="87" t="s">
        <v>441</v>
      </c>
      <c r="I138" s="45" t="s">
        <v>41</v>
      </c>
      <c r="J138" s="45" t="s">
        <v>6</v>
      </c>
      <c r="K138" s="43" t="s">
        <v>273</v>
      </c>
      <c r="L138" s="43" t="s">
        <v>273</v>
      </c>
      <c r="M138" s="43" t="s">
        <v>273</v>
      </c>
      <c r="N138" s="43" t="s">
        <v>273</v>
      </c>
      <c r="O138" s="77">
        <f>O139+O140</f>
        <v>20400</v>
      </c>
      <c r="P138" s="77">
        <f>P139+P140</f>
        <v>20400</v>
      </c>
      <c r="Q138" s="77">
        <f>Q139+Q140</f>
        <v>20400</v>
      </c>
      <c r="R138" s="77">
        <f t="shared" ref="R138:S138" si="26">R139+R140</f>
        <v>20400</v>
      </c>
      <c r="S138" s="77">
        <f t="shared" si="26"/>
        <v>20400</v>
      </c>
    </row>
    <row r="139" spans="1:19" s="1" customFormat="1" ht="96" customHeight="1" x14ac:dyDescent="0.2">
      <c r="A139" s="87"/>
      <c r="B139" s="87"/>
      <c r="C139" s="87"/>
      <c r="D139" s="87"/>
      <c r="E139" s="87"/>
      <c r="F139" s="87"/>
      <c r="G139" s="87"/>
      <c r="H139" s="87"/>
      <c r="I139" s="45"/>
      <c r="J139" s="45"/>
      <c r="K139" s="43" t="s">
        <v>274</v>
      </c>
      <c r="L139" s="103" t="s">
        <v>119</v>
      </c>
      <c r="M139" s="43" t="s">
        <v>351</v>
      </c>
      <c r="N139" s="43" t="s">
        <v>271</v>
      </c>
      <c r="O139" s="15">
        <v>2400</v>
      </c>
      <c r="P139" s="15">
        <v>2400</v>
      </c>
      <c r="Q139" s="15">
        <v>2400</v>
      </c>
      <c r="R139" s="15">
        <v>2400</v>
      </c>
      <c r="S139" s="15">
        <v>2400</v>
      </c>
    </row>
    <row r="140" spans="1:19" s="1" customFormat="1" ht="96" customHeight="1" x14ac:dyDescent="0.2">
      <c r="A140" s="87"/>
      <c r="B140" s="87"/>
      <c r="C140" s="87"/>
      <c r="D140" s="87"/>
      <c r="E140" s="87"/>
      <c r="F140" s="87"/>
      <c r="G140" s="87"/>
      <c r="H140" s="87"/>
      <c r="I140" s="45"/>
      <c r="J140" s="45"/>
      <c r="K140" s="43" t="s">
        <v>289</v>
      </c>
      <c r="L140" s="103"/>
      <c r="M140" s="43" t="s">
        <v>288</v>
      </c>
      <c r="N140" s="43" t="s">
        <v>271</v>
      </c>
      <c r="O140" s="15">
        <v>18000</v>
      </c>
      <c r="P140" s="15">
        <v>18000</v>
      </c>
      <c r="Q140" s="15">
        <v>18000</v>
      </c>
      <c r="R140" s="15">
        <v>18000</v>
      </c>
      <c r="S140" s="15">
        <v>18000</v>
      </c>
    </row>
    <row r="141" spans="1:19" s="10" customFormat="1" ht="82.5" customHeight="1" x14ac:dyDescent="0.2">
      <c r="A141" s="27" t="s">
        <v>120</v>
      </c>
      <c r="B141" s="27" t="s">
        <v>121</v>
      </c>
      <c r="C141" s="27" t="s">
        <v>122</v>
      </c>
      <c r="D141" s="27" t="s">
        <v>257</v>
      </c>
      <c r="E141" s="27" t="s">
        <v>258</v>
      </c>
      <c r="F141" s="27" t="s">
        <v>439</v>
      </c>
      <c r="G141" s="27" t="s">
        <v>41</v>
      </c>
      <c r="H141" s="44" t="s">
        <v>415</v>
      </c>
      <c r="I141" s="27" t="s">
        <v>41</v>
      </c>
      <c r="J141" s="27" t="s">
        <v>16</v>
      </c>
      <c r="K141" s="40" t="s">
        <v>270</v>
      </c>
      <c r="L141" s="40" t="s">
        <v>85</v>
      </c>
      <c r="M141" s="40" t="s">
        <v>302</v>
      </c>
      <c r="N141" s="40" t="s">
        <v>271</v>
      </c>
      <c r="O141" s="77">
        <v>194359.35</v>
      </c>
      <c r="P141" s="77">
        <v>194359.35</v>
      </c>
      <c r="Q141" s="77">
        <v>268000</v>
      </c>
      <c r="R141" s="77">
        <v>268000</v>
      </c>
      <c r="S141" s="77">
        <v>268000</v>
      </c>
    </row>
    <row r="142" spans="1:19" s="10" customFormat="1" ht="82.5" customHeight="1" x14ac:dyDescent="0.2">
      <c r="A142" s="58" t="s">
        <v>123</v>
      </c>
      <c r="B142" s="44" t="s">
        <v>124</v>
      </c>
      <c r="C142" s="44" t="s">
        <v>125</v>
      </c>
      <c r="D142" s="44" t="s">
        <v>257</v>
      </c>
      <c r="E142" s="44" t="s">
        <v>258</v>
      </c>
      <c r="F142" s="44" t="s">
        <v>385</v>
      </c>
      <c r="G142" s="44" t="s">
        <v>41</v>
      </c>
      <c r="H142" s="44" t="s">
        <v>440</v>
      </c>
      <c r="I142" s="44" t="s">
        <v>41</v>
      </c>
      <c r="J142" s="44" t="s">
        <v>6</v>
      </c>
      <c r="K142" s="40" t="s">
        <v>270</v>
      </c>
      <c r="L142" s="40" t="s">
        <v>126</v>
      </c>
      <c r="M142" s="40" t="s">
        <v>352</v>
      </c>
      <c r="N142" s="40" t="s">
        <v>271</v>
      </c>
      <c r="O142" s="15">
        <v>2500</v>
      </c>
      <c r="P142" s="15">
        <v>2500</v>
      </c>
      <c r="Q142" s="15">
        <v>2500</v>
      </c>
      <c r="R142" s="15">
        <v>2500</v>
      </c>
      <c r="S142" s="15">
        <v>2500</v>
      </c>
    </row>
    <row r="143" spans="1:19" s="10" customFormat="1" ht="156" customHeight="1" x14ac:dyDescent="0.2">
      <c r="A143" s="58" t="s">
        <v>484</v>
      </c>
      <c r="B143" s="44" t="s">
        <v>488</v>
      </c>
      <c r="C143" s="44" t="s">
        <v>486</v>
      </c>
      <c r="D143" s="44" t="s">
        <v>257</v>
      </c>
      <c r="E143" s="44" t="s">
        <v>258</v>
      </c>
      <c r="F143" s="44"/>
      <c r="G143" s="44" t="s">
        <v>41</v>
      </c>
      <c r="H143" s="44" t="s">
        <v>498</v>
      </c>
      <c r="I143" s="44" t="s">
        <v>41</v>
      </c>
      <c r="J143" s="44" t="s">
        <v>6</v>
      </c>
      <c r="K143" s="40" t="s">
        <v>270</v>
      </c>
      <c r="L143" s="40" t="s">
        <v>126</v>
      </c>
      <c r="M143" s="40" t="s">
        <v>491</v>
      </c>
      <c r="N143" s="40" t="s">
        <v>271</v>
      </c>
      <c r="O143" s="15">
        <v>600</v>
      </c>
      <c r="P143" s="15">
        <v>600</v>
      </c>
      <c r="Q143" s="15">
        <v>600</v>
      </c>
      <c r="R143" s="15">
        <v>600</v>
      </c>
      <c r="S143" s="15">
        <v>600</v>
      </c>
    </row>
    <row r="144" spans="1:19" s="10" customFormat="1" ht="109.5" customHeight="1" x14ac:dyDescent="0.2">
      <c r="A144" s="58" t="s">
        <v>485</v>
      </c>
      <c r="B144" s="44" t="s">
        <v>489</v>
      </c>
      <c r="C144" s="44" t="s">
        <v>487</v>
      </c>
      <c r="D144" s="44" t="s">
        <v>257</v>
      </c>
      <c r="E144" s="44" t="s">
        <v>258</v>
      </c>
      <c r="F144" s="44"/>
      <c r="G144" s="44" t="s">
        <v>41</v>
      </c>
      <c r="H144" s="44" t="s">
        <v>497</v>
      </c>
      <c r="I144" s="44" t="s">
        <v>41</v>
      </c>
      <c r="J144" s="44" t="s">
        <v>6</v>
      </c>
      <c r="K144" s="40" t="s">
        <v>270</v>
      </c>
      <c r="L144" s="40" t="s">
        <v>126</v>
      </c>
      <c r="M144" s="40" t="s">
        <v>492</v>
      </c>
      <c r="N144" s="40" t="s">
        <v>271</v>
      </c>
      <c r="O144" s="15">
        <v>2100</v>
      </c>
      <c r="P144" s="15">
        <v>2100</v>
      </c>
      <c r="Q144" s="15">
        <v>2100</v>
      </c>
      <c r="R144" s="15">
        <v>2100</v>
      </c>
      <c r="S144" s="15">
        <v>2100</v>
      </c>
    </row>
    <row r="145" spans="1:19" ht="26.45" customHeight="1" x14ac:dyDescent="0.2">
      <c r="A145" s="52" t="s">
        <v>127</v>
      </c>
      <c r="B145" s="48" t="s">
        <v>128</v>
      </c>
      <c r="C145" s="48" t="s">
        <v>129</v>
      </c>
      <c r="D145" s="48" t="s">
        <v>0</v>
      </c>
      <c r="E145" s="48" t="s">
        <v>0</v>
      </c>
      <c r="F145" s="48" t="s">
        <v>0</v>
      </c>
      <c r="G145" s="48" t="s">
        <v>0</v>
      </c>
      <c r="H145" s="48" t="s">
        <v>0</v>
      </c>
      <c r="I145" s="48" t="s">
        <v>0</v>
      </c>
      <c r="J145" s="48" t="s">
        <v>0</v>
      </c>
      <c r="K145" s="49"/>
      <c r="L145" s="49"/>
      <c r="M145" s="49"/>
      <c r="N145" s="49"/>
      <c r="O145" s="23">
        <f>O146+O168+O169+O170+O171+O172+O173+O185+O186+O188+O190+O191</f>
        <v>57696453.669999994</v>
      </c>
      <c r="P145" s="23">
        <f>P146+P168+P169+P170+P171+P172+P173+P185+P186+P188+P190+P191</f>
        <v>57252403.969999999</v>
      </c>
      <c r="Q145" s="23">
        <f>Q146+Q168+Q169+Q170+Q171+Q172+Q173+Q185+Q186+Q188+Q190+Q191</f>
        <v>68936638.800000012</v>
      </c>
      <c r="R145" s="23">
        <f>R146+R168+R169+R170+R171+R172+R173+R185+R186+R188+R190+R191</f>
        <v>63348227.640000001</v>
      </c>
      <c r="S145" s="23">
        <f>S146+S168+S169+S170+S171+S172+S173+S185+S186+S188+S190+S191</f>
        <v>63091325.32</v>
      </c>
    </row>
    <row r="146" spans="1:19" s="1" customFormat="1" ht="26.45" customHeight="1" x14ac:dyDescent="0.2">
      <c r="A146" s="96" t="s">
        <v>130</v>
      </c>
      <c r="B146" s="91" t="s">
        <v>131</v>
      </c>
      <c r="C146" s="89" t="s">
        <v>132</v>
      </c>
      <c r="D146" s="91" t="s">
        <v>257</v>
      </c>
      <c r="E146" s="87" t="s">
        <v>41</v>
      </c>
      <c r="F146" s="91" t="s">
        <v>437</v>
      </c>
      <c r="G146" s="91" t="s">
        <v>41</v>
      </c>
      <c r="H146" s="45" t="s">
        <v>0</v>
      </c>
      <c r="I146" s="45" t="s">
        <v>0</v>
      </c>
      <c r="J146" s="87" t="s">
        <v>6</v>
      </c>
      <c r="K146" s="59" t="s">
        <v>422</v>
      </c>
      <c r="L146" s="59"/>
      <c r="M146" s="59"/>
      <c r="N146" s="60"/>
      <c r="O146" s="16">
        <f>SUM(O147:O167)</f>
        <v>14383740.880000001</v>
      </c>
      <c r="P146" s="16">
        <f>SUM(P147:P167)</f>
        <v>14031167.440000001</v>
      </c>
      <c r="Q146" s="16">
        <f>SUM(Q147:Q167)</f>
        <v>17179009.09</v>
      </c>
      <c r="R146" s="16">
        <f>SUM(R147:R167)</f>
        <v>13543900</v>
      </c>
      <c r="S146" s="16">
        <f>SUM(S147:S167)</f>
        <v>13543900</v>
      </c>
    </row>
    <row r="147" spans="1:19" s="1" customFormat="1" ht="26.45" customHeight="1" x14ac:dyDescent="0.2">
      <c r="A147" s="96"/>
      <c r="B147" s="91"/>
      <c r="C147" s="89"/>
      <c r="D147" s="91"/>
      <c r="E147" s="87"/>
      <c r="F147" s="91"/>
      <c r="G147" s="91"/>
      <c r="H147" s="87" t="s">
        <v>415</v>
      </c>
      <c r="I147" s="91" t="s">
        <v>41</v>
      </c>
      <c r="J147" s="87"/>
      <c r="K147" s="103" t="s">
        <v>270</v>
      </c>
      <c r="L147" s="40" t="s">
        <v>126</v>
      </c>
      <c r="M147" s="43" t="s">
        <v>356</v>
      </c>
      <c r="N147" s="43" t="s">
        <v>293</v>
      </c>
      <c r="O147" s="14">
        <v>455441.4</v>
      </c>
      <c r="P147" s="14">
        <v>455441.4</v>
      </c>
      <c r="Q147" s="14">
        <v>544600</v>
      </c>
      <c r="R147" s="14">
        <v>544600</v>
      </c>
      <c r="S147" s="14">
        <v>544600</v>
      </c>
    </row>
    <row r="148" spans="1:19" s="1" customFormat="1" ht="26.45" customHeight="1" x14ac:dyDescent="0.2">
      <c r="A148" s="96"/>
      <c r="B148" s="91"/>
      <c r="C148" s="89"/>
      <c r="D148" s="91"/>
      <c r="E148" s="87"/>
      <c r="F148" s="91"/>
      <c r="G148" s="91"/>
      <c r="H148" s="87"/>
      <c r="I148" s="91"/>
      <c r="J148" s="87"/>
      <c r="K148" s="103"/>
      <c r="L148" s="103" t="s">
        <v>126</v>
      </c>
      <c r="M148" s="103" t="s">
        <v>357</v>
      </c>
      <c r="N148" s="43" t="s">
        <v>28</v>
      </c>
      <c r="O148" s="28">
        <v>56340</v>
      </c>
      <c r="P148" s="28">
        <v>41340</v>
      </c>
      <c r="Q148" s="28">
        <v>115600</v>
      </c>
      <c r="R148" s="28">
        <v>0</v>
      </c>
      <c r="S148" s="28">
        <v>0</v>
      </c>
    </row>
    <row r="149" spans="1:19" s="1" customFormat="1" ht="26.45" customHeight="1" x14ac:dyDescent="0.2">
      <c r="A149" s="96"/>
      <c r="B149" s="91"/>
      <c r="C149" s="89"/>
      <c r="D149" s="91"/>
      <c r="E149" s="87"/>
      <c r="F149" s="91"/>
      <c r="G149" s="91"/>
      <c r="H149" s="87"/>
      <c r="I149" s="91"/>
      <c r="J149" s="87"/>
      <c r="K149" s="103"/>
      <c r="L149" s="103"/>
      <c r="M149" s="103"/>
      <c r="N149" s="43" t="s">
        <v>293</v>
      </c>
      <c r="O149" s="14">
        <v>5624280</v>
      </c>
      <c r="P149" s="14">
        <v>5619529</v>
      </c>
      <c r="Q149" s="14">
        <v>7275700</v>
      </c>
      <c r="R149" s="14">
        <v>6975700</v>
      </c>
      <c r="S149" s="14">
        <v>6975700</v>
      </c>
    </row>
    <row r="150" spans="1:19" s="1" customFormat="1" ht="26.45" customHeight="1" x14ac:dyDescent="0.2">
      <c r="A150" s="96"/>
      <c r="B150" s="91"/>
      <c r="C150" s="89"/>
      <c r="D150" s="91"/>
      <c r="E150" s="87"/>
      <c r="F150" s="91"/>
      <c r="G150" s="91"/>
      <c r="H150" s="87"/>
      <c r="I150" s="91"/>
      <c r="J150" s="87"/>
      <c r="K150" s="103"/>
      <c r="L150" s="103"/>
      <c r="M150" s="103"/>
      <c r="N150" s="43" t="s">
        <v>271</v>
      </c>
      <c r="O150" s="14">
        <f>2727400</f>
        <v>2727400</v>
      </c>
      <c r="P150" s="14">
        <v>2700108.45</v>
      </c>
      <c r="Q150" s="14">
        <f>2971200+85500</f>
        <v>3056700</v>
      </c>
      <c r="R150" s="14">
        <v>675800</v>
      </c>
      <c r="S150" s="14">
        <v>675800</v>
      </c>
    </row>
    <row r="151" spans="1:19" s="1" customFormat="1" ht="26.45" customHeight="1" x14ac:dyDescent="0.2">
      <c r="A151" s="96"/>
      <c r="B151" s="91"/>
      <c r="C151" s="89"/>
      <c r="D151" s="91"/>
      <c r="E151" s="87"/>
      <c r="F151" s="91"/>
      <c r="G151" s="91"/>
      <c r="H151" s="87"/>
      <c r="I151" s="91"/>
      <c r="J151" s="87"/>
      <c r="K151" s="103"/>
      <c r="L151" s="103"/>
      <c r="M151" s="103"/>
      <c r="N151" s="43" t="s">
        <v>295</v>
      </c>
      <c r="O151" s="15">
        <f>1866000+130450</f>
        <v>1996450</v>
      </c>
      <c r="P151" s="15">
        <v>1710217.23</v>
      </c>
      <c r="Q151" s="14">
        <f>2063500+458270</f>
        <v>2521770</v>
      </c>
      <c r="R151" s="14">
        <v>2063500</v>
      </c>
      <c r="S151" s="14">
        <v>2063500</v>
      </c>
    </row>
    <row r="152" spans="1:19" s="1" customFormat="1" ht="26.45" customHeight="1" x14ac:dyDescent="0.2">
      <c r="A152" s="96"/>
      <c r="B152" s="91"/>
      <c r="C152" s="89"/>
      <c r="D152" s="91"/>
      <c r="E152" s="87"/>
      <c r="F152" s="91"/>
      <c r="G152" s="91"/>
      <c r="H152" s="87"/>
      <c r="I152" s="91"/>
      <c r="J152" s="87"/>
      <c r="K152" s="103"/>
      <c r="L152" s="103"/>
      <c r="M152" s="103"/>
      <c r="N152" s="43" t="s">
        <v>270</v>
      </c>
      <c r="O152" s="14">
        <v>80200</v>
      </c>
      <c r="P152" s="14">
        <v>80200</v>
      </c>
      <c r="Q152" s="14">
        <v>80200</v>
      </c>
      <c r="R152" s="14">
        <v>80200</v>
      </c>
      <c r="S152" s="14">
        <v>80200</v>
      </c>
    </row>
    <row r="153" spans="1:19" s="1" customFormat="1" ht="26.45" customHeight="1" x14ac:dyDescent="0.2">
      <c r="A153" s="96"/>
      <c r="B153" s="91"/>
      <c r="C153" s="89"/>
      <c r="D153" s="91"/>
      <c r="E153" s="87"/>
      <c r="F153" s="91"/>
      <c r="G153" s="91"/>
      <c r="H153" s="87"/>
      <c r="I153" s="91"/>
      <c r="J153" s="87"/>
      <c r="K153" s="103"/>
      <c r="L153" s="103"/>
      <c r="M153" s="103"/>
      <c r="N153" s="43" t="s">
        <v>276</v>
      </c>
      <c r="O153" s="15">
        <v>18100</v>
      </c>
      <c r="P153" s="15">
        <v>18100</v>
      </c>
      <c r="Q153" s="14">
        <v>18100</v>
      </c>
      <c r="R153" s="14">
        <v>18100</v>
      </c>
      <c r="S153" s="14">
        <v>18100</v>
      </c>
    </row>
    <row r="154" spans="1:19" s="1" customFormat="1" ht="26.45" customHeight="1" x14ac:dyDescent="0.2">
      <c r="A154" s="96"/>
      <c r="B154" s="91"/>
      <c r="C154" s="89"/>
      <c r="D154" s="91"/>
      <c r="E154" s="87"/>
      <c r="F154" s="91"/>
      <c r="G154" s="91"/>
      <c r="H154" s="87" t="s">
        <v>417</v>
      </c>
      <c r="I154" s="91" t="s">
        <v>41</v>
      </c>
      <c r="J154" s="87"/>
      <c r="K154" s="103"/>
      <c r="L154" s="103"/>
      <c r="M154" s="40" t="s">
        <v>551</v>
      </c>
      <c r="N154" s="43" t="s">
        <v>293</v>
      </c>
      <c r="O154" s="14">
        <v>72716</v>
      </c>
      <c r="P154" s="14">
        <v>72716</v>
      </c>
      <c r="Q154" s="14">
        <v>0</v>
      </c>
      <c r="R154" s="14">
        <v>0</v>
      </c>
      <c r="S154" s="14">
        <v>0</v>
      </c>
    </row>
    <row r="155" spans="1:19" s="1" customFormat="1" ht="26.45" customHeight="1" x14ac:dyDescent="0.2">
      <c r="A155" s="96"/>
      <c r="B155" s="91"/>
      <c r="C155" s="89"/>
      <c r="D155" s="91"/>
      <c r="E155" s="87"/>
      <c r="F155" s="91"/>
      <c r="G155" s="91"/>
      <c r="H155" s="87"/>
      <c r="I155" s="91"/>
      <c r="J155" s="87"/>
      <c r="K155" s="103"/>
      <c r="L155" s="103"/>
      <c r="M155" s="40" t="s">
        <v>294</v>
      </c>
      <c r="N155" s="43" t="s">
        <v>293</v>
      </c>
      <c r="O155" s="29">
        <v>86168.48</v>
      </c>
      <c r="P155" s="29">
        <v>86168.48</v>
      </c>
      <c r="Q155" s="29">
        <v>0</v>
      </c>
      <c r="R155" s="29">
        <v>0</v>
      </c>
      <c r="S155" s="29">
        <v>0</v>
      </c>
    </row>
    <row r="156" spans="1:19" s="1" customFormat="1" ht="26.45" customHeight="1" x14ac:dyDescent="0.2">
      <c r="A156" s="96"/>
      <c r="B156" s="91"/>
      <c r="C156" s="89"/>
      <c r="D156" s="91" t="s">
        <v>133</v>
      </c>
      <c r="E156" s="87" t="s">
        <v>41</v>
      </c>
      <c r="F156" s="91"/>
      <c r="G156" s="91"/>
      <c r="H156" s="87" t="s">
        <v>434</v>
      </c>
      <c r="I156" s="91" t="s">
        <v>41</v>
      </c>
      <c r="J156" s="87"/>
      <c r="K156" s="103" t="s">
        <v>276</v>
      </c>
      <c r="L156" s="103" t="s">
        <v>65</v>
      </c>
      <c r="M156" s="40" t="s">
        <v>550</v>
      </c>
      <c r="N156" s="43" t="s">
        <v>293</v>
      </c>
      <c r="O156" s="28">
        <v>377113.77</v>
      </c>
      <c r="P156" s="28">
        <v>377113.77</v>
      </c>
      <c r="Q156" s="28">
        <v>461700</v>
      </c>
      <c r="R156" s="28">
        <v>461700</v>
      </c>
      <c r="S156" s="28">
        <v>461700</v>
      </c>
    </row>
    <row r="157" spans="1:19" s="1" customFormat="1" ht="26.45" customHeight="1" x14ac:dyDescent="0.2">
      <c r="A157" s="96"/>
      <c r="B157" s="91"/>
      <c r="C157" s="89"/>
      <c r="D157" s="91"/>
      <c r="E157" s="87"/>
      <c r="F157" s="91"/>
      <c r="G157" s="91"/>
      <c r="H157" s="87"/>
      <c r="I157" s="91"/>
      <c r="J157" s="87"/>
      <c r="K157" s="103"/>
      <c r="L157" s="103"/>
      <c r="M157" s="40" t="s">
        <v>294</v>
      </c>
      <c r="N157" s="43" t="s">
        <v>293</v>
      </c>
      <c r="O157" s="28">
        <v>6485.75</v>
      </c>
      <c r="P157" s="28">
        <v>6485.75</v>
      </c>
      <c r="Q157" s="28">
        <v>0</v>
      </c>
      <c r="R157" s="28">
        <v>0</v>
      </c>
      <c r="S157" s="28">
        <v>0</v>
      </c>
    </row>
    <row r="158" spans="1:19" s="1" customFormat="1" ht="26.45" customHeight="1" x14ac:dyDescent="0.2">
      <c r="A158" s="96"/>
      <c r="B158" s="91"/>
      <c r="C158" s="89"/>
      <c r="D158" s="91"/>
      <c r="E158" s="87"/>
      <c r="F158" s="91"/>
      <c r="G158" s="91"/>
      <c r="H158" s="87"/>
      <c r="I158" s="91"/>
      <c r="J158" s="87"/>
      <c r="K158" s="103" t="s">
        <v>274</v>
      </c>
      <c r="L158" s="103" t="s">
        <v>119</v>
      </c>
      <c r="M158" s="103" t="s">
        <v>361</v>
      </c>
      <c r="N158" s="43" t="s">
        <v>28</v>
      </c>
      <c r="O158" s="28">
        <v>0</v>
      </c>
      <c r="P158" s="28">
        <v>0</v>
      </c>
      <c r="Q158" s="28">
        <v>14000</v>
      </c>
      <c r="R158" s="28">
        <v>14000</v>
      </c>
      <c r="S158" s="28">
        <v>14000</v>
      </c>
    </row>
    <row r="159" spans="1:19" s="1" customFormat="1" ht="26.45" customHeight="1" x14ac:dyDescent="0.2">
      <c r="A159" s="96"/>
      <c r="B159" s="91"/>
      <c r="C159" s="89"/>
      <c r="D159" s="91"/>
      <c r="E159" s="87"/>
      <c r="F159" s="91"/>
      <c r="G159" s="91"/>
      <c r="H159" s="87"/>
      <c r="I159" s="91"/>
      <c r="J159" s="87"/>
      <c r="K159" s="103"/>
      <c r="L159" s="103"/>
      <c r="M159" s="103"/>
      <c r="N159" s="43" t="s">
        <v>293</v>
      </c>
      <c r="O159" s="28">
        <f>1862300+132000</f>
        <v>1994300</v>
      </c>
      <c r="P159" s="28">
        <v>1979179.48</v>
      </c>
      <c r="Q159" s="28">
        <v>2323000</v>
      </c>
      <c r="R159" s="28">
        <v>2173000</v>
      </c>
      <c r="S159" s="28">
        <v>2173000</v>
      </c>
    </row>
    <row r="160" spans="1:19" s="1" customFormat="1" ht="26.45" customHeight="1" x14ac:dyDescent="0.2">
      <c r="A160" s="96"/>
      <c r="B160" s="91"/>
      <c r="C160" s="89"/>
      <c r="D160" s="91"/>
      <c r="E160" s="87"/>
      <c r="F160" s="91"/>
      <c r="G160" s="91"/>
      <c r="H160" s="87"/>
      <c r="I160" s="91"/>
      <c r="J160" s="87"/>
      <c r="K160" s="103"/>
      <c r="L160" s="103"/>
      <c r="M160" s="103"/>
      <c r="N160" s="43" t="s">
        <v>271</v>
      </c>
      <c r="O160" s="28">
        <f>257300+85000</f>
        <v>342300</v>
      </c>
      <c r="P160" s="28">
        <v>338124.42</v>
      </c>
      <c r="Q160" s="28">
        <v>274339.09000000003</v>
      </c>
      <c r="R160" s="28">
        <v>44000</v>
      </c>
      <c r="S160" s="28">
        <v>44000</v>
      </c>
    </row>
    <row r="161" spans="1:19" s="1" customFormat="1" ht="26.45" customHeight="1" x14ac:dyDescent="0.2">
      <c r="A161" s="96"/>
      <c r="B161" s="91"/>
      <c r="C161" s="89"/>
      <c r="D161" s="91"/>
      <c r="E161" s="87"/>
      <c r="F161" s="91"/>
      <c r="G161" s="91"/>
      <c r="H161" s="87" t="s">
        <v>438</v>
      </c>
      <c r="I161" s="91" t="s">
        <v>41</v>
      </c>
      <c r="J161" s="87"/>
      <c r="K161" s="103"/>
      <c r="L161" s="103"/>
      <c r="M161" s="40" t="s">
        <v>549</v>
      </c>
      <c r="N161" s="43" t="s">
        <v>293</v>
      </c>
      <c r="O161" s="28">
        <v>79522</v>
      </c>
      <c r="P161" s="28">
        <v>79522</v>
      </c>
      <c r="Q161" s="28">
        <v>0</v>
      </c>
      <c r="R161" s="28">
        <v>0</v>
      </c>
      <c r="S161" s="28">
        <v>0</v>
      </c>
    </row>
    <row r="162" spans="1:19" s="1" customFormat="1" ht="26.45" customHeight="1" x14ac:dyDescent="0.2">
      <c r="A162" s="96"/>
      <c r="B162" s="91"/>
      <c r="C162" s="89"/>
      <c r="D162" s="91"/>
      <c r="E162" s="87"/>
      <c r="F162" s="91"/>
      <c r="G162" s="91"/>
      <c r="H162" s="87"/>
      <c r="I162" s="91"/>
      <c r="J162" s="87"/>
      <c r="K162" s="103"/>
      <c r="L162" s="103"/>
      <c r="M162" s="40" t="s">
        <v>294</v>
      </c>
      <c r="N162" s="43" t="s">
        <v>293</v>
      </c>
      <c r="O162" s="28">
        <v>53170.48</v>
      </c>
      <c r="P162" s="28">
        <v>53170.48</v>
      </c>
      <c r="Q162" s="28">
        <v>0</v>
      </c>
      <c r="R162" s="28">
        <v>0</v>
      </c>
      <c r="S162" s="28">
        <v>0</v>
      </c>
    </row>
    <row r="163" spans="1:19" s="1" customFormat="1" ht="26.45" customHeight="1" x14ac:dyDescent="0.2">
      <c r="A163" s="96"/>
      <c r="B163" s="91"/>
      <c r="C163" s="89"/>
      <c r="D163" s="91"/>
      <c r="E163" s="87"/>
      <c r="F163" s="91"/>
      <c r="G163" s="91"/>
      <c r="H163" s="87"/>
      <c r="I163" s="91"/>
      <c r="J163" s="87"/>
      <c r="K163" s="103" t="s">
        <v>290</v>
      </c>
      <c r="L163" s="103" t="s">
        <v>291</v>
      </c>
      <c r="M163" s="103" t="s">
        <v>292</v>
      </c>
      <c r="N163" s="43" t="s">
        <v>293</v>
      </c>
      <c r="O163" s="28">
        <v>111524</v>
      </c>
      <c r="P163" s="28">
        <v>111523.04</v>
      </c>
      <c r="Q163" s="28">
        <v>137700</v>
      </c>
      <c r="R163" s="28">
        <v>137700</v>
      </c>
      <c r="S163" s="28">
        <v>137700</v>
      </c>
    </row>
    <row r="164" spans="1:19" s="1" customFormat="1" ht="26.45" customHeight="1" x14ac:dyDescent="0.2">
      <c r="A164" s="96"/>
      <c r="B164" s="91"/>
      <c r="C164" s="89"/>
      <c r="D164" s="91"/>
      <c r="E164" s="87"/>
      <c r="F164" s="91"/>
      <c r="G164" s="91"/>
      <c r="H164" s="87"/>
      <c r="I164" s="91"/>
      <c r="J164" s="87"/>
      <c r="K164" s="103"/>
      <c r="L164" s="103"/>
      <c r="M164" s="103"/>
      <c r="N164" s="43" t="s">
        <v>271</v>
      </c>
      <c r="O164" s="28">
        <v>51600</v>
      </c>
      <c r="P164" s="28">
        <v>51599.37</v>
      </c>
      <c r="Q164" s="28">
        <v>54300</v>
      </c>
      <c r="R164" s="28">
        <v>54300</v>
      </c>
      <c r="S164" s="28">
        <v>54300</v>
      </c>
    </row>
    <row r="165" spans="1:19" s="1" customFormat="1" ht="26.45" customHeight="1" x14ac:dyDescent="0.2">
      <c r="A165" s="96"/>
      <c r="B165" s="91"/>
      <c r="C165" s="89"/>
      <c r="D165" s="91"/>
      <c r="E165" s="87"/>
      <c r="F165" s="91"/>
      <c r="G165" s="91"/>
      <c r="H165" s="87"/>
      <c r="I165" s="91"/>
      <c r="J165" s="87"/>
      <c r="K165" s="103" t="s">
        <v>289</v>
      </c>
      <c r="L165" s="103" t="s">
        <v>119</v>
      </c>
      <c r="M165" s="103" t="s">
        <v>292</v>
      </c>
      <c r="N165" s="43" t="s">
        <v>28</v>
      </c>
      <c r="O165" s="28">
        <v>2360</v>
      </c>
      <c r="P165" s="28">
        <v>2360</v>
      </c>
      <c r="Q165" s="28">
        <v>2400</v>
      </c>
      <c r="R165" s="28">
        <v>2400</v>
      </c>
      <c r="S165" s="28">
        <v>2400</v>
      </c>
    </row>
    <row r="166" spans="1:19" s="1" customFormat="1" ht="26.45" customHeight="1" x14ac:dyDescent="0.2">
      <c r="A166" s="96"/>
      <c r="B166" s="91"/>
      <c r="C166" s="89"/>
      <c r="D166" s="91"/>
      <c r="E166" s="87"/>
      <c r="F166" s="91"/>
      <c r="G166" s="91"/>
      <c r="H166" s="87"/>
      <c r="I166" s="91"/>
      <c r="J166" s="87"/>
      <c r="K166" s="103"/>
      <c r="L166" s="103"/>
      <c r="M166" s="103"/>
      <c r="N166" s="43" t="s">
        <v>293</v>
      </c>
      <c r="O166" s="28">
        <v>243769</v>
      </c>
      <c r="P166" s="28">
        <v>243768.57</v>
      </c>
      <c r="Q166" s="28">
        <v>294400</v>
      </c>
      <c r="R166" s="28">
        <v>294400</v>
      </c>
      <c r="S166" s="28">
        <v>294400</v>
      </c>
    </row>
    <row r="167" spans="1:19" s="1" customFormat="1" ht="26.45" customHeight="1" x14ac:dyDescent="0.2">
      <c r="A167" s="96"/>
      <c r="B167" s="91"/>
      <c r="C167" s="89"/>
      <c r="D167" s="91"/>
      <c r="E167" s="87"/>
      <c r="F167" s="91"/>
      <c r="G167" s="91"/>
      <c r="H167" s="87"/>
      <c r="I167" s="91"/>
      <c r="J167" s="87"/>
      <c r="K167" s="103"/>
      <c r="L167" s="103"/>
      <c r="M167" s="103"/>
      <c r="N167" s="43" t="s">
        <v>271</v>
      </c>
      <c r="O167" s="28">
        <v>4500</v>
      </c>
      <c r="P167" s="28">
        <v>4500</v>
      </c>
      <c r="Q167" s="28">
        <v>4500</v>
      </c>
      <c r="R167" s="28">
        <v>4500</v>
      </c>
      <c r="S167" s="28">
        <v>4500</v>
      </c>
    </row>
    <row r="168" spans="1:19" s="1" customFormat="1" ht="138" customHeight="1" x14ac:dyDescent="0.2">
      <c r="A168" s="31" t="s">
        <v>506</v>
      </c>
      <c r="B168" s="44" t="s">
        <v>507</v>
      </c>
      <c r="C168" s="42">
        <v>1211</v>
      </c>
      <c r="D168" s="45" t="s">
        <v>257</v>
      </c>
      <c r="E168" s="45" t="s">
        <v>508</v>
      </c>
      <c r="F168" s="44" t="s">
        <v>509</v>
      </c>
      <c r="G168" s="44" t="s">
        <v>510</v>
      </c>
      <c r="H168" s="45"/>
      <c r="I168" s="44"/>
      <c r="J168" s="45">
        <v>1</v>
      </c>
      <c r="K168" s="40" t="s">
        <v>270</v>
      </c>
      <c r="L168" s="40" t="s">
        <v>511</v>
      </c>
      <c r="M168" s="40" t="s">
        <v>513</v>
      </c>
      <c r="N168" s="40" t="s">
        <v>512</v>
      </c>
      <c r="O168" s="28">
        <v>0</v>
      </c>
      <c r="P168" s="28"/>
      <c r="Q168" s="28">
        <v>0</v>
      </c>
      <c r="R168" s="28"/>
      <c r="S168" s="28"/>
    </row>
    <row r="169" spans="1:19" s="1" customFormat="1" ht="63" customHeight="1" x14ac:dyDescent="0.2">
      <c r="A169" s="56" t="s">
        <v>134</v>
      </c>
      <c r="B169" s="45" t="s">
        <v>135</v>
      </c>
      <c r="C169" s="45" t="s">
        <v>136</v>
      </c>
      <c r="D169" s="45" t="s">
        <v>257</v>
      </c>
      <c r="E169" s="45" t="s">
        <v>258</v>
      </c>
      <c r="F169" s="45" t="s">
        <v>436</v>
      </c>
      <c r="G169" s="45" t="s">
        <v>41</v>
      </c>
      <c r="H169" s="45" t="s">
        <v>415</v>
      </c>
      <c r="I169" s="45" t="s">
        <v>0</v>
      </c>
      <c r="J169" s="45" t="s">
        <v>20</v>
      </c>
      <c r="K169" s="43" t="s">
        <v>270</v>
      </c>
      <c r="L169" s="43" t="s">
        <v>137</v>
      </c>
      <c r="M169" s="43" t="s">
        <v>298</v>
      </c>
      <c r="N169" s="43" t="s">
        <v>299</v>
      </c>
      <c r="O169" s="28">
        <v>105026.07</v>
      </c>
      <c r="P169" s="28">
        <v>105026.07</v>
      </c>
      <c r="Q169" s="28"/>
      <c r="R169" s="28"/>
      <c r="S169" s="28"/>
    </row>
    <row r="170" spans="1:19" s="1" customFormat="1" ht="100.5" customHeight="1" x14ac:dyDescent="0.2">
      <c r="A170" s="56" t="s">
        <v>138</v>
      </c>
      <c r="B170" s="45" t="s">
        <v>139</v>
      </c>
      <c r="C170" s="45" t="s">
        <v>140</v>
      </c>
      <c r="D170" s="45" t="s">
        <v>257</v>
      </c>
      <c r="E170" s="45" t="s">
        <v>258</v>
      </c>
      <c r="F170" s="45" t="s">
        <v>386</v>
      </c>
      <c r="G170" s="45" t="s">
        <v>41</v>
      </c>
      <c r="H170" s="45" t="s">
        <v>415</v>
      </c>
      <c r="I170" s="45" t="s">
        <v>0</v>
      </c>
      <c r="J170" s="45" t="s">
        <v>6</v>
      </c>
      <c r="K170" s="43" t="s">
        <v>270</v>
      </c>
      <c r="L170" s="43" t="s">
        <v>126</v>
      </c>
      <c r="M170" s="43" t="s">
        <v>360</v>
      </c>
      <c r="N170" s="43" t="s">
        <v>274</v>
      </c>
      <c r="O170" s="77">
        <v>78000</v>
      </c>
      <c r="P170" s="77">
        <v>78000</v>
      </c>
      <c r="Q170" s="77">
        <v>78000</v>
      </c>
      <c r="R170" s="77"/>
      <c r="S170" s="77"/>
    </row>
    <row r="171" spans="1:19" s="1" customFormat="1" ht="42.75" customHeight="1" x14ac:dyDescent="0.2">
      <c r="A171" s="87" t="s">
        <v>141</v>
      </c>
      <c r="B171" s="87" t="s">
        <v>142</v>
      </c>
      <c r="C171" s="87" t="s">
        <v>143</v>
      </c>
      <c r="D171" s="87" t="s">
        <v>144</v>
      </c>
      <c r="E171" s="87" t="s">
        <v>41</v>
      </c>
      <c r="F171" s="91" t="s">
        <v>477</v>
      </c>
      <c r="G171" s="87" t="s">
        <v>478</v>
      </c>
      <c r="H171" s="87" t="s">
        <v>415</v>
      </c>
      <c r="I171" s="87" t="s">
        <v>41</v>
      </c>
      <c r="J171" s="45" t="s">
        <v>6</v>
      </c>
      <c r="K171" s="43" t="s">
        <v>270</v>
      </c>
      <c r="L171" s="43" t="s">
        <v>126</v>
      </c>
      <c r="M171" s="43" t="s">
        <v>358</v>
      </c>
      <c r="N171" s="43" t="s">
        <v>271</v>
      </c>
      <c r="O171" s="77">
        <v>100000</v>
      </c>
      <c r="P171" s="77">
        <v>100000</v>
      </c>
      <c r="Q171" s="77">
        <v>100000</v>
      </c>
      <c r="R171" s="77"/>
      <c r="S171" s="77"/>
    </row>
    <row r="172" spans="1:19" s="1" customFormat="1" ht="42.75" customHeight="1" x14ac:dyDescent="0.2">
      <c r="A172" s="87"/>
      <c r="B172" s="87"/>
      <c r="C172" s="87"/>
      <c r="D172" s="87"/>
      <c r="E172" s="87"/>
      <c r="F172" s="91"/>
      <c r="G172" s="87"/>
      <c r="H172" s="87"/>
      <c r="I172" s="87"/>
      <c r="J172" s="45"/>
      <c r="K172" s="43" t="s">
        <v>270</v>
      </c>
      <c r="L172" s="43" t="s">
        <v>126</v>
      </c>
      <c r="M172" s="43" t="s">
        <v>359</v>
      </c>
      <c r="N172" s="43" t="s">
        <v>271</v>
      </c>
      <c r="O172" s="77">
        <v>76000</v>
      </c>
      <c r="P172" s="77">
        <v>76000</v>
      </c>
      <c r="Q172" s="77">
        <v>100000</v>
      </c>
      <c r="R172" s="77"/>
      <c r="S172" s="77"/>
    </row>
    <row r="173" spans="1:19" s="10" customFormat="1" ht="26.45" customHeight="1" x14ac:dyDescent="0.2">
      <c r="A173" s="96" t="s">
        <v>145</v>
      </c>
      <c r="B173" s="91" t="s">
        <v>146</v>
      </c>
      <c r="C173" s="89" t="s">
        <v>147</v>
      </c>
      <c r="D173" s="91" t="s">
        <v>257</v>
      </c>
      <c r="E173" s="91" t="s">
        <v>258</v>
      </c>
      <c r="F173" s="88" t="s">
        <v>394</v>
      </c>
      <c r="G173" s="91" t="s">
        <v>41</v>
      </c>
      <c r="H173" s="91" t="s">
        <v>392</v>
      </c>
      <c r="I173" s="105" t="s">
        <v>0</v>
      </c>
      <c r="J173" s="105" t="s">
        <v>6</v>
      </c>
      <c r="K173" s="12"/>
      <c r="L173" s="12"/>
      <c r="M173" s="12"/>
      <c r="N173" s="12"/>
      <c r="O173" s="16">
        <f>SUM(O174:O184)</f>
        <v>30458808.709999997</v>
      </c>
      <c r="P173" s="16">
        <f>SUM(P174:P184)</f>
        <v>30426292.919999998</v>
      </c>
      <c r="Q173" s="16">
        <f>SUM(Q174:Q184)</f>
        <v>36547400</v>
      </c>
      <c r="R173" s="16">
        <f>SUM(R174:R184)</f>
        <v>35047200</v>
      </c>
      <c r="S173" s="16">
        <f>SUM(S174:S184)</f>
        <v>35047200</v>
      </c>
    </row>
    <row r="174" spans="1:19" s="10" customFormat="1" ht="26.45" customHeight="1" x14ac:dyDescent="0.2">
      <c r="A174" s="96"/>
      <c r="B174" s="91"/>
      <c r="C174" s="89"/>
      <c r="D174" s="91"/>
      <c r="E174" s="91"/>
      <c r="F174" s="88"/>
      <c r="G174" s="91"/>
      <c r="H174" s="91"/>
      <c r="I174" s="105"/>
      <c r="J174" s="105"/>
      <c r="K174" s="40" t="s">
        <v>270</v>
      </c>
      <c r="L174" s="40" t="s">
        <v>126</v>
      </c>
      <c r="M174" s="40" t="s">
        <v>356</v>
      </c>
      <c r="N174" s="40" t="s">
        <v>27</v>
      </c>
      <c r="O174" s="14">
        <v>1524600</v>
      </c>
      <c r="P174" s="14">
        <v>1524600</v>
      </c>
      <c r="Q174" s="14">
        <v>1803600</v>
      </c>
      <c r="R174" s="14">
        <v>1803600</v>
      </c>
      <c r="S174" s="14">
        <v>1803600</v>
      </c>
    </row>
    <row r="175" spans="1:19" s="10" customFormat="1" ht="26.45" customHeight="1" x14ac:dyDescent="0.2">
      <c r="A175" s="96"/>
      <c r="B175" s="91"/>
      <c r="C175" s="89"/>
      <c r="D175" s="91"/>
      <c r="E175" s="91"/>
      <c r="F175" s="88"/>
      <c r="G175" s="91"/>
      <c r="H175" s="91"/>
      <c r="I175" s="105"/>
      <c r="J175" s="105"/>
      <c r="K175" s="40" t="s">
        <v>270</v>
      </c>
      <c r="L175" s="40" t="s">
        <v>126</v>
      </c>
      <c r="M175" s="40" t="s">
        <v>357</v>
      </c>
      <c r="N175" s="40" t="s">
        <v>27</v>
      </c>
      <c r="O175" s="14">
        <v>18856900</v>
      </c>
      <c r="P175" s="14">
        <v>18824395.989999998</v>
      </c>
      <c r="Q175" s="14">
        <v>24091900</v>
      </c>
      <c r="R175" s="14">
        <v>23091900</v>
      </c>
      <c r="S175" s="14">
        <v>23091900</v>
      </c>
    </row>
    <row r="176" spans="1:19" s="10" customFormat="1" ht="26.45" customHeight="1" x14ac:dyDescent="0.2">
      <c r="A176" s="96"/>
      <c r="B176" s="91"/>
      <c r="C176" s="89"/>
      <c r="D176" s="91"/>
      <c r="E176" s="91"/>
      <c r="F176" s="88"/>
      <c r="G176" s="91"/>
      <c r="H176" s="91"/>
      <c r="I176" s="105"/>
      <c r="J176" s="105"/>
      <c r="K176" s="40" t="s">
        <v>270</v>
      </c>
      <c r="L176" s="40" t="s">
        <v>126</v>
      </c>
      <c r="M176" s="40" t="s">
        <v>551</v>
      </c>
      <c r="N176" s="40" t="s">
        <v>27</v>
      </c>
      <c r="O176" s="14">
        <v>242444</v>
      </c>
      <c r="P176" s="14">
        <v>242444</v>
      </c>
      <c r="Q176" s="14"/>
      <c r="R176" s="14">
        <v>0</v>
      </c>
      <c r="S176" s="14">
        <v>0</v>
      </c>
    </row>
    <row r="177" spans="1:22" s="10" customFormat="1" ht="26.45" customHeight="1" x14ac:dyDescent="0.2">
      <c r="A177" s="96"/>
      <c r="B177" s="91"/>
      <c r="C177" s="89"/>
      <c r="D177" s="91"/>
      <c r="E177" s="91"/>
      <c r="F177" s="88"/>
      <c r="G177" s="91"/>
      <c r="H177" s="91"/>
      <c r="I177" s="105"/>
      <c r="J177" s="105"/>
      <c r="K177" s="40" t="s">
        <v>270</v>
      </c>
      <c r="L177" s="40" t="s">
        <v>126</v>
      </c>
      <c r="M177" s="40" t="s">
        <v>294</v>
      </c>
      <c r="N177" s="40" t="s">
        <v>27</v>
      </c>
      <c r="O177" s="29">
        <v>285326.09000000003</v>
      </c>
      <c r="P177" s="29">
        <v>285326.09000000003</v>
      </c>
      <c r="Q177" s="29"/>
      <c r="R177" s="29">
        <v>0</v>
      </c>
      <c r="S177" s="29">
        <v>0</v>
      </c>
    </row>
    <row r="178" spans="1:22" s="10" customFormat="1" ht="26.45" customHeight="1" x14ac:dyDescent="0.2">
      <c r="A178" s="96"/>
      <c r="B178" s="91"/>
      <c r="C178" s="89"/>
      <c r="D178" s="91" t="s">
        <v>387</v>
      </c>
      <c r="E178" s="91" t="s">
        <v>41</v>
      </c>
      <c r="F178" s="88"/>
      <c r="G178" s="91"/>
      <c r="H178" s="91" t="s">
        <v>393</v>
      </c>
      <c r="I178" s="105"/>
      <c r="J178" s="105"/>
      <c r="K178" s="40" t="s">
        <v>276</v>
      </c>
      <c r="L178" s="40" t="s">
        <v>65</v>
      </c>
      <c r="M178" s="40" t="s">
        <v>325</v>
      </c>
      <c r="N178" s="40" t="s">
        <v>27</v>
      </c>
      <c r="O178" s="29">
        <v>1271313.42</v>
      </c>
      <c r="P178" s="29">
        <v>1271313.42</v>
      </c>
      <c r="Q178" s="29">
        <v>1528800</v>
      </c>
      <c r="R178" s="29">
        <v>1528800</v>
      </c>
      <c r="S178" s="29">
        <v>1528800</v>
      </c>
    </row>
    <row r="179" spans="1:22" s="10" customFormat="1" ht="26.45" customHeight="1" x14ac:dyDescent="0.2">
      <c r="A179" s="96"/>
      <c r="B179" s="91"/>
      <c r="C179" s="89"/>
      <c r="D179" s="91"/>
      <c r="E179" s="91"/>
      <c r="F179" s="88"/>
      <c r="G179" s="91"/>
      <c r="H179" s="91"/>
      <c r="I179" s="105"/>
      <c r="J179" s="105"/>
      <c r="K179" s="40" t="s">
        <v>276</v>
      </c>
      <c r="L179" s="40" t="s">
        <v>65</v>
      </c>
      <c r="M179" s="40" t="s">
        <v>294</v>
      </c>
      <c r="N179" s="40" t="s">
        <v>27</v>
      </c>
      <c r="O179" s="29">
        <v>21476</v>
      </c>
      <c r="P179" s="29">
        <v>21476</v>
      </c>
      <c r="Q179" s="29"/>
      <c r="R179" s="29">
        <v>0</v>
      </c>
      <c r="S179" s="29">
        <v>0</v>
      </c>
    </row>
    <row r="180" spans="1:22" s="10" customFormat="1" ht="26.45" customHeight="1" x14ac:dyDescent="0.2">
      <c r="A180" s="96"/>
      <c r="B180" s="91"/>
      <c r="C180" s="89"/>
      <c r="D180" s="91"/>
      <c r="E180" s="91"/>
      <c r="F180" s="88"/>
      <c r="G180" s="91"/>
      <c r="H180" s="91"/>
      <c r="I180" s="105"/>
      <c r="J180" s="105"/>
      <c r="K180" s="40" t="s">
        <v>274</v>
      </c>
      <c r="L180" s="40" t="s">
        <v>119</v>
      </c>
      <c r="M180" s="40" t="s">
        <v>361</v>
      </c>
      <c r="N180" s="40" t="s">
        <v>27</v>
      </c>
      <c r="O180" s="29">
        <v>6617500</v>
      </c>
      <c r="P180" s="29">
        <v>6617488.2199999997</v>
      </c>
      <c r="Q180" s="29">
        <v>7692200</v>
      </c>
      <c r="R180" s="29">
        <v>7192000</v>
      </c>
      <c r="S180" s="29">
        <v>7192000</v>
      </c>
    </row>
    <row r="181" spans="1:22" s="10" customFormat="1" ht="26.45" customHeight="1" x14ac:dyDescent="0.2">
      <c r="A181" s="96"/>
      <c r="B181" s="91"/>
      <c r="C181" s="89"/>
      <c r="D181" s="91"/>
      <c r="E181" s="91"/>
      <c r="F181" s="88"/>
      <c r="G181" s="91"/>
      <c r="H181" s="91"/>
      <c r="I181" s="105"/>
      <c r="J181" s="105"/>
      <c r="K181" s="40" t="s">
        <v>274</v>
      </c>
      <c r="L181" s="40" t="s">
        <v>119</v>
      </c>
      <c r="M181" s="40" t="s">
        <v>548</v>
      </c>
      <c r="N181" s="40" t="s">
        <v>27</v>
      </c>
      <c r="O181" s="29">
        <v>263318</v>
      </c>
      <c r="P181" s="29">
        <v>263318</v>
      </c>
      <c r="Q181" s="29">
        <v>0</v>
      </c>
      <c r="R181" s="29">
        <v>0</v>
      </c>
      <c r="S181" s="29">
        <v>0</v>
      </c>
    </row>
    <row r="182" spans="1:22" s="10" customFormat="1" ht="26.45" customHeight="1" x14ac:dyDescent="0.2">
      <c r="A182" s="96"/>
      <c r="B182" s="91"/>
      <c r="C182" s="89"/>
      <c r="D182" s="91"/>
      <c r="E182" s="91"/>
      <c r="F182" s="88"/>
      <c r="G182" s="91"/>
      <c r="H182" s="91"/>
      <c r="I182" s="105"/>
      <c r="J182" s="105"/>
      <c r="K182" s="40" t="s">
        <v>274</v>
      </c>
      <c r="L182" s="40" t="s">
        <v>119</v>
      </c>
      <c r="M182" s="40" t="s">
        <v>294</v>
      </c>
      <c r="N182" s="40" t="s">
        <v>27</v>
      </c>
      <c r="O182" s="29">
        <v>176061.2</v>
      </c>
      <c r="P182" s="29">
        <v>176061.2</v>
      </c>
      <c r="Q182" s="29">
        <v>0</v>
      </c>
      <c r="R182" s="29">
        <v>0</v>
      </c>
      <c r="S182" s="29">
        <v>0</v>
      </c>
    </row>
    <row r="183" spans="1:22" s="10" customFormat="1" ht="26.45" customHeight="1" x14ac:dyDescent="0.2">
      <c r="A183" s="96"/>
      <c r="B183" s="91"/>
      <c r="C183" s="89"/>
      <c r="D183" s="91"/>
      <c r="E183" s="91"/>
      <c r="F183" s="88"/>
      <c r="G183" s="91"/>
      <c r="H183" s="91"/>
      <c r="I183" s="105"/>
      <c r="J183" s="105"/>
      <c r="K183" s="40" t="s">
        <v>290</v>
      </c>
      <c r="L183" s="40" t="s">
        <v>291</v>
      </c>
      <c r="M183" s="40" t="s">
        <v>292</v>
      </c>
      <c r="N183" s="40" t="s">
        <v>27</v>
      </c>
      <c r="O183" s="29">
        <v>378256</v>
      </c>
      <c r="P183" s="29">
        <v>378256</v>
      </c>
      <c r="Q183" s="29">
        <v>456000</v>
      </c>
      <c r="R183" s="29">
        <v>456000</v>
      </c>
      <c r="S183" s="29">
        <v>456000</v>
      </c>
    </row>
    <row r="184" spans="1:22" s="10" customFormat="1" ht="26.45" customHeight="1" x14ac:dyDescent="0.2">
      <c r="A184" s="96"/>
      <c r="B184" s="91"/>
      <c r="C184" s="89"/>
      <c r="D184" s="91"/>
      <c r="E184" s="91"/>
      <c r="F184" s="88"/>
      <c r="G184" s="91"/>
      <c r="H184" s="91"/>
      <c r="I184" s="105"/>
      <c r="J184" s="105"/>
      <c r="K184" s="40" t="s">
        <v>289</v>
      </c>
      <c r="L184" s="40" t="s">
        <v>119</v>
      </c>
      <c r="M184" s="40" t="s">
        <v>297</v>
      </c>
      <c r="N184" s="40" t="s">
        <v>27</v>
      </c>
      <c r="O184" s="29">
        <v>821614</v>
      </c>
      <c r="P184" s="29">
        <v>821614</v>
      </c>
      <c r="Q184" s="29">
        <v>974900</v>
      </c>
      <c r="R184" s="29">
        <v>974900</v>
      </c>
      <c r="S184" s="29">
        <v>974900</v>
      </c>
    </row>
    <row r="185" spans="1:22" s="10" customFormat="1" ht="173.25" customHeight="1" x14ac:dyDescent="0.2">
      <c r="A185" s="58" t="s">
        <v>148</v>
      </c>
      <c r="B185" s="44" t="s">
        <v>149</v>
      </c>
      <c r="C185" s="44" t="s">
        <v>150</v>
      </c>
      <c r="D185" s="44" t="s">
        <v>257</v>
      </c>
      <c r="E185" s="44" t="s">
        <v>258</v>
      </c>
      <c r="F185" s="44" t="s">
        <v>395</v>
      </c>
      <c r="G185" s="44" t="s">
        <v>41</v>
      </c>
      <c r="H185" s="44" t="s">
        <v>389</v>
      </c>
      <c r="I185" s="44" t="s">
        <v>41</v>
      </c>
      <c r="J185" s="73" t="s">
        <v>20</v>
      </c>
      <c r="K185" s="74" t="s">
        <v>270</v>
      </c>
      <c r="L185" s="74" t="s">
        <v>151</v>
      </c>
      <c r="M185" s="74" t="s">
        <v>362</v>
      </c>
      <c r="N185" s="74" t="s">
        <v>271</v>
      </c>
      <c r="O185" s="78">
        <v>35500</v>
      </c>
      <c r="P185" s="78">
        <v>35500</v>
      </c>
      <c r="Q185" s="78">
        <v>35500</v>
      </c>
      <c r="R185" s="78"/>
      <c r="S185" s="78"/>
    </row>
    <row r="186" spans="1:22" s="10" customFormat="1" ht="47.25" customHeight="1" x14ac:dyDescent="0.2">
      <c r="A186" s="107" t="s">
        <v>152</v>
      </c>
      <c r="B186" s="91" t="s">
        <v>153</v>
      </c>
      <c r="C186" s="91" t="s">
        <v>154</v>
      </c>
      <c r="D186" s="44" t="s">
        <v>257</v>
      </c>
      <c r="E186" s="44" t="s">
        <v>258</v>
      </c>
      <c r="F186" s="91" t="s">
        <v>394</v>
      </c>
      <c r="G186" s="91" t="s">
        <v>398</v>
      </c>
      <c r="H186" s="91" t="s">
        <v>435</v>
      </c>
      <c r="I186" s="91" t="s">
        <v>41</v>
      </c>
      <c r="J186" s="105" t="s">
        <v>15</v>
      </c>
      <c r="K186" s="106" t="s">
        <v>270</v>
      </c>
      <c r="L186" s="106" t="s">
        <v>34</v>
      </c>
      <c r="M186" s="106" t="s">
        <v>307</v>
      </c>
      <c r="N186" s="106" t="s">
        <v>523</v>
      </c>
      <c r="O186" s="104">
        <v>4538371</v>
      </c>
      <c r="P186" s="104">
        <v>4538366.51</v>
      </c>
      <c r="Q186" s="104">
        <v>5195250</v>
      </c>
      <c r="R186" s="104">
        <v>5195250</v>
      </c>
      <c r="S186" s="104">
        <v>5195250</v>
      </c>
    </row>
    <row r="187" spans="1:22" s="10" customFormat="1" ht="58.5" customHeight="1" x14ac:dyDescent="0.2">
      <c r="A187" s="107"/>
      <c r="B187" s="91"/>
      <c r="C187" s="91"/>
      <c r="D187" s="44" t="s">
        <v>396</v>
      </c>
      <c r="E187" s="44" t="s">
        <v>397</v>
      </c>
      <c r="F187" s="91"/>
      <c r="G187" s="91"/>
      <c r="H187" s="91"/>
      <c r="I187" s="91"/>
      <c r="J187" s="105"/>
      <c r="K187" s="106"/>
      <c r="L187" s="106"/>
      <c r="M187" s="106"/>
      <c r="N187" s="106"/>
      <c r="O187" s="104"/>
      <c r="P187" s="104"/>
      <c r="Q187" s="104"/>
      <c r="R187" s="104"/>
      <c r="S187" s="104"/>
    </row>
    <row r="188" spans="1:22" s="10" customFormat="1" ht="300.75" customHeight="1" x14ac:dyDescent="0.2">
      <c r="A188" s="96" t="s">
        <v>155</v>
      </c>
      <c r="B188" s="91" t="s">
        <v>156</v>
      </c>
      <c r="C188" s="89" t="s">
        <v>157</v>
      </c>
      <c r="D188" s="91" t="s">
        <v>257</v>
      </c>
      <c r="E188" s="91" t="s">
        <v>258</v>
      </c>
      <c r="F188" s="91" t="s">
        <v>45</v>
      </c>
      <c r="G188" s="91" t="s">
        <v>41</v>
      </c>
      <c r="H188" s="91" t="s">
        <v>417</v>
      </c>
      <c r="I188" s="91" t="s">
        <v>41</v>
      </c>
      <c r="J188" s="105" t="s">
        <v>11</v>
      </c>
      <c r="K188" s="74" t="s">
        <v>276</v>
      </c>
      <c r="L188" s="74" t="s">
        <v>50</v>
      </c>
      <c r="M188" s="74" t="s">
        <v>324</v>
      </c>
      <c r="N188" s="74" t="s">
        <v>280</v>
      </c>
      <c r="O188" s="16">
        <v>3871107.01</v>
      </c>
      <c r="P188" s="16">
        <v>3812151.03</v>
      </c>
      <c r="Q188" s="16">
        <f>4657385.91-6.2</f>
        <v>4657379.71</v>
      </c>
      <c r="R188" s="16">
        <f>4517779.86-2.22</f>
        <v>4517777.6400000006</v>
      </c>
      <c r="S188" s="16">
        <f>4260876.57-1.25</f>
        <v>4260875.32</v>
      </c>
    </row>
    <row r="189" spans="1:22" s="11" customFormat="1" ht="123" customHeight="1" x14ac:dyDescent="0.2">
      <c r="A189" s="96" t="s">
        <v>0</v>
      </c>
      <c r="B189" s="91"/>
      <c r="C189" s="89" t="s">
        <v>0</v>
      </c>
      <c r="D189" s="91"/>
      <c r="E189" s="91"/>
      <c r="F189" s="91"/>
      <c r="G189" s="91"/>
      <c r="H189" s="91"/>
      <c r="I189" s="91"/>
      <c r="J189" s="105"/>
      <c r="K189" s="72"/>
      <c r="L189" s="72"/>
      <c r="M189" s="72"/>
      <c r="N189" s="72"/>
      <c r="O189" s="77"/>
      <c r="P189" s="77"/>
      <c r="Q189" s="77"/>
      <c r="R189" s="77"/>
      <c r="S189" s="77"/>
    </row>
    <row r="190" spans="1:22" s="10" customFormat="1" ht="99" customHeight="1" x14ac:dyDescent="0.2">
      <c r="A190" s="91" t="s">
        <v>158</v>
      </c>
      <c r="B190" s="91" t="s">
        <v>159</v>
      </c>
      <c r="C190" s="91" t="s">
        <v>160</v>
      </c>
      <c r="D190" s="61" t="s">
        <v>400</v>
      </c>
      <c r="E190" s="62" t="s">
        <v>401</v>
      </c>
      <c r="F190" s="91" t="s">
        <v>413</v>
      </c>
      <c r="G190" s="91" t="s">
        <v>41</v>
      </c>
      <c r="H190" s="45" t="s">
        <v>411</v>
      </c>
      <c r="I190" s="44" t="s">
        <v>41</v>
      </c>
      <c r="J190" s="44" t="s">
        <v>6</v>
      </c>
      <c r="K190" s="40" t="s">
        <v>270</v>
      </c>
      <c r="L190" s="40" t="s">
        <v>151</v>
      </c>
      <c r="M190" s="40" t="s">
        <v>363</v>
      </c>
      <c r="N190" s="40" t="s">
        <v>279</v>
      </c>
      <c r="O190" s="77">
        <v>4049900</v>
      </c>
      <c r="P190" s="77">
        <v>4049900</v>
      </c>
      <c r="Q190" s="77">
        <v>5044100</v>
      </c>
      <c r="R190" s="77">
        <v>5044100</v>
      </c>
      <c r="S190" s="77">
        <v>5044100</v>
      </c>
      <c r="V190" s="83"/>
    </row>
    <row r="191" spans="1:22" s="10" customFormat="1" ht="99" customHeight="1" x14ac:dyDescent="0.2">
      <c r="A191" s="91"/>
      <c r="B191" s="91"/>
      <c r="C191" s="91"/>
      <c r="D191" s="44" t="s">
        <v>399</v>
      </c>
      <c r="E191" s="44"/>
      <c r="F191" s="91"/>
      <c r="G191" s="91"/>
      <c r="H191" s="44" t="s">
        <v>412</v>
      </c>
      <c r="I191" s="44" t="s">
        <v>41</v>
      </c>
      <c r="J191" s="44">
        <v>1</v>
      </c>
      <c r="K191" s="40" t="s">
        <v>270</v>
      </c>
      <c r="L191" s="40" t="s">
        <v>151</v>
      </c>
      <c r="M191" s="40" t="s">
        <v>363</v>
      </c>
      <c r="N191" s="40" t="s">
        <v>280</v>
      </c>
      <c r="O191" s="77">
        <v>0</v>
      </c>
      <c r="P191" s="77">
        <v>0</v>
      </c>
      <c r="Q191" s="77">
        <v>0</v>
      </c>
      <c r="R191" s="77">
        <v>0</v>
      </c>
      <c r="S191" s="77">
        <v>0</v>
      </c>
    </row>
    <row r="192" spans="1:22" ht="26.45" customHeight="1" x14ac:dyDescent="0.2">
      <c r="A192" s="52" t="s">
        <v>161</v>
      </c>
      <c r="B192" s="48" t="s">
        <v>162</v>
      </c>
      <c r="C192" s="48" t="s">
        <v>163</v>
      </c>
      <c r="D192" s="45"/>
      <c r="E192" s="45"/>
      <c r="F192" s="48" t="s">
        <v>0</v>
      </c>
      <c r="G192" s="48" t="s">
        <v>0</v>
      </c>
      <c r="H192" s="48" t="s">
        <v>0</v>
      </c>
      <c r="I192" s="48" t="s">
        <v>0</v>
      </c>
      <c r="J192" s="48" t="s">
        <v>0</v>
      </c>
      <c r="K192" s="49"/>
      <c r="L192" s="49"/>
      <c r="M192" s="49"/>
      <c r="N192" s="49"/>
      <c r="O192" s="21">
        <f>O193+O200</f>
        <v>32496578.199999999</v>
      </c>
      <c r="P192" s="21">
        <f>P193+P200</f>
        <v>26774283.859999999</v>
      </c>
      <c r="Q192" s="21">
        <f>Q193+Q200</f>
        <v>41290284.119999997</v>
      </c>
      <c r="R192" s="21">
        <f>R193+R200</f>
        <v>44726708.68</v>
      </c>
      <c r="S192" s="21">
        <f>S193+S200</f>
        <v>48314010.960000001</v>
      </c>
    </row>
    <row r="193" spans="1:19" ht="26.45" customHeight="1" x14ac:dyDescent="0.2">
      <c r="A193" s="53" t="s">
        <v>164</v>
      </c>
      <c r="B193" s="48" t="s">
        <v>165</v>
      </c>
      <c r="C193" s="48" t="s">
        <v>166</v>
      </c>
      <c r="D193" s="48" t="s">
        <v>0</v>
      </c>
      <c r="E193" s="48" t="s">
        <v>0</v>
      </c>
      <c r="F193" s="48" t="s">
        <v>0</v>
      </c>
      <c r="G193" s="48" t="s">
        <v>0</v>
      </c>
      <c r="H193" s="48" t="s">
        <v>0</v>
      </c>
      <c r="I193" s="48" t="s">
        <v>0</v>
      </c>
      <c r="J193" s="48" t="s">
        <v>167</v>
      </c>
      <c r="K193" s="49"/>
      <c r="L193" s="49"/>
      <c r="M193" s="49"/>
      <c r="N193" s="49"/>
      <c r="O193" s="22">
        <f>O194+O195+O199</f>
        <v>825606.00000000012</v>
      </c>
      <c r="P193" s="22">
        <f>P194+P195+P199</f>
        <v>825606.00000000012</v>
      </c>
      <c r="Q193" s="22">
        <f>Q194+Q195+Q199</f>
        <v>1163789</v>
      </c>
      <c r="R193" s="22">
        <f>R194+R195+R199</f>
        <v>1253013</v>
      </c>
      <c r="S193" s="22">
        <f>S194+S195+S199</f>
        <v>1593506</v>
      </c>
    </row>
    <row r="194" spans="1:19" s="1" customFormat="1" ht="84.75" customHeight="1" x14ac:dyDescent="0.2">
      <c r="A194" s="56" t="s">
        <v>168</v>
      </c>
      <c r="B194" s="45" t="s">
        <v>169</v>
      </c>
      <c r="C194" s="45" t="s">
        <v>170</v>
      </c>
      <c r="D194" s="45" t="s">
        <v>171</v>
      </c>
      <c r="E194" s="45" t="s">
        <v>41</v>
      </c>
      <c r="F194" s="45" t="s">
        <v>402</v>
      </c>
      <c r="G194" s="45" t="s">
        <v>41</v>
      </c>
      <c r="H194" s="44" t="s">
        <v>415</v>
      </c>
      <c r="I194" s="45" t="s">
        <v>0</v>
      </c>
      <c r="J194" s="45" t="s">
        <v>167</v>
      </c>
      <c r="K194" s="43" t="s">
        <v>270</v>
      </c>
      <c r="L194" s="43" t="s">
        <v>172</v>
      </c>
      <c r="M194" s="43" t="s">
        <v>458</v>
      </c>
      <c r="N194" s="43" t="s">
        <v>271</v>
      </c>
      <c r="O194" s="77">
        <v>4850</v>
      </c>
      <c r="P194" s="77">
        <v>4850</v>
      </c>
      <c r="Q194" s="77">
        <v>43979</v>
      </c>
      <c r="R194" s="77">
        <v>4308</v>
      </c>
      <c r="S194" s="77">
        <v>4662</v>
      </c>
    </row>
    <row r="195" spans="1:19" s="10" customFormat="1" ht="29.25" customHeight="1" x14ac:dyDescent="0.2">
      <c r="A195" s="96" t="s">
        <v>173</v>
      </c>
      <c r="B195" s="91" t="s">
        <v>174</v>
      </c>
      <c r="C195" s="89" t="s">
        <v>175</v>
      </c>
      <c r="D195" s="91" t="s">
        <v>257</v>
      </c>
      <c r="E195" s="89" t="s">
        <v>41</v>
      </c>
      <c r="F195" s="91" t="s">
        <v>391</v>
      </c>
      <c r="G195" s="91" t="s">
        <v>41</v>
      </c>
      <c r="H195" s="91" t="s">
        <v>390</v>
      </c>
      <c r="I195" s="91" t="s">
        <v>41</v>
      </c>
      <c r="J195" s="91" t="s">
        <v>167</v>
      </c>
      <c r="K195" s="40" t="s">
        <v>270</v>
      </c>
      <c r="L195" s="40" t="s">
        <v>177</v>
      </c>
      <c r="M195" s="40" t="s">
        <v>364</v>
      </c>
      <c r="N195" s="40" t="s">
        <v>273</v>
      </c>
      <c r="O195" s="8">
        <f t="shared" ref="O195" si="27">O196+O197+O198</f>
        <v>820756.00000000012</v>
      </c>
      <c r="P195" s="8">
        <f t="shared" ref="P195:S195" si="28">P196+P197+P198</f>
        <v>820756.00000000012</v>
      </c>
      <c r="Q195" s="8">
        <f t="shared" si="28"/>
        <v>1119810</v>
      </c>
      <c r="R195" s="8">
        <f t="shared" si="28"/>
        <v>1248705</v>
      </c>
      <c r="S195" s="8">
        <f t="shared" si="28"/>
        <v>1588844</v>
      </c>
    </row>
    <row r="196" spans="1:19" s="10" customFormat="1" ht="29.25" customHeight="1" x14ac:dyDescent="0.2">
      <c r="A196" s="96"/>
      <c r="B196" s="91"/>
      <c r="C196" s="89"/>
      <c r="D196" s="91"/>
      <c r="E196" s="89"/>
      <c r="F196" s="91"/>
      <c r="G196" s="91"/>
      <c r="H196" s="91"/>
      <c r="I196" s="91"/>
      <c r="J196" s="91"/>
      <c r="K196" s="40" t="s">
        <v>270</v>
      </c>
      <c r="L196" s="40" t="s">
        <v>177</v>
      </c>
      <c r="M196" s="40" t="s">
        <v>364</v>
      </c>
      <c r="N196" s="40" t="s">
        <v>27</v>
      </c>
      <c r="O196" s="77">
        <v>606265.4</v>
      </c>
      <c r="P196" s="77">
        <v>606265.4</v>
      </c>
      <c r="Q196" s="77">
        <v>722511</v>
      </c>
      <c r="R196" s="77">
        <v>869725</v>
      </c>
      <c r="S196" s="77">
        <v>969725</v>
      </c>
    </row>
    <row r="197" spans="1:19" s="10" customFormat="1" ht="29.25" customHeight="1" x14ac:dyDescent="0.2">
      <c r="A197" s="96"/>
      <c r="B197" s="91"/>
      <c r="C197" s="89"/>
      <c r="D197" s="42"/>
      <c r="E197" s="44"/>
      <c r="F197" s="91"/>
      <c r="G197" s="91"/>
      <c r="H197" s="91"/>
      <c r="I197" s="91"/>
      <c r="J197" s="91"/>
      <c r="K197" s="40" t="s">
        <v>270</v>
      </c>
      <c r="L197" s="40" t="s">
        <v>177</v>
      </c>
      <c r="M197" s="40" t="s">
        <v>364</v>
      </c>
      <c r="N197" s="40" t="s">
        <v>293</v>
      </c>
      <c r="O197" s="77">
        <v>183092.17</v>
      </c>
      <c r="P197" s="77">
        <v>183092.17</v>
      </c>
      <c r="Q197" s="77">
        <v>218198</v>
      </c>
      <c r="R197" s="77">
        <v>262657</v>
      </c>
      <c r="S197" s="77">
        <v>292857</v>
      </c>
    </row>
    <row r="198" spans="1:19" s="11" customFormat="1" ht="29.25" customHeight="1" x14ac:dyDescent="0.2">
      <c r="A198" s="96" t="s">
        <v>0</v>
      </c>
      <c r="B198" s="91"/>
      <c r="C198" s="89" t="s">
        <v>0</v>
      </c>
      <c r="D198" s="44" t="s">
        <v>176</v>
      </c>
      <c r="E198" s="41" t="s">
        <v>41</v>
      </c>
      <c r="F198" s="91"/>
      <c r="G198" s="91"/>
      <c r="H198" s="91"/>
      <c r="I198" s="91"/>
      <c r="J198" s="91"/>
      <c r="K198" s="40" t="s">
        <v>270</v>
      </c>
      <c r="L198" s="40" t="s">
        <v>177</v>
      </c>
      <c r="M198" s="40" t="s">
        <v>364</v>
      </c>
      <c r="N198" s="63" t="s">
        <v>271</v>
      </c>
      <c r="O198" s="4">
        <v>31398.43</v>
      </c>
      <c r="P198" s="4">
        <v>31398.43</v>
      </c>
      <c r="Q198" s="77">
        <v>179101</v>
      </c>
      <c r="R198" s="77">
        <v>116323</v>
      </c>
      <c r="S198" s="77">
        <v>326262</v>
      </c>
    </row>
    <row r="199" spans="1:19" s="1" customFormat="1" ht="78.75" customHeight="1" x14ac:dyDescent="0.2">
      <c r="A199" s="64" t="s">
        <v>178</v>
      </c>
      <c r="B199" s="45" t="s">
        <v>179</v>
      </c>
      <c r="C199" s="48" t="s">
        <v>180</v>
      </c>
      <c r="D199" s="45" t="s">
        <v>260</v>
      </c>
      <c r="E199" s="45" t="s">
        <v>41</v>
      </c>
      <c r="F199" s="45" t="s">
        <v>414</v>
      </c>
      <c r="G199" s="45" t="s">
        <v>41</v>
      </c>
      <c r="H199" s="44" t="s">
        <v>415</v>
      </c>
      <c r="I199" s="45" t="s">
        <v>41</v>
      </c>
      <c r="J199" s="45" t="s">
        <v>167</v>
      </c>
      <c r="K199" s="43" t="s">
        <v>270</v>
      </c>
      <c r="L199" s="43" t="s">
        <v>151</v>
      </c>
      <c r="M199" s="43" t="s">
        <v>296</v>
      </c>
      <c r="N199" s="43" t="s">
        <v>271</v>
      </c>
      <c r="O199" s="77"/>
      <c r="P199" s="77"/>
      <c r="Q199" s="77"/>
      <c r="R199" s="77"/>
      <c r="S199" s="77"/>
    </row>
    <row r="200" spans="1:19" ht="26.45" customHeight="1" x14ac:dyDescent="0.2">
      <c r="A200" s="53" t="s">
        <v>181</v>
      </c>
      <c r="B200" s="48" t="s">
        <v>182</v>
      </c>
      <c r="C200" s="48" t="s">
        <v>183</v>
      </c>
      <c r="D200" s="48" t="s">
        <v>0</v>
      </c>
      <c r="E200" s="48" t="s">
        <v>0</v>
      </c>
      <c r="F200" s="48" t="s">
        <v>0</v>
      </c>
      <c r="G200" s="48" t="s">
        <v>0</v>
      </c>
      <c r="H200" s="27"/>
      <c r="I200" s="48" t="s">
        <v>0</v>
      </c>
      <c r="J200" s="48" t="s">
        <v>0</v>
      </c>
      <c r="K200" s="49"/>
      <c r="L200" s="49"/>
      <c r="M200" s="49"/>
      <c r="N200" s="49"/>
      <c r="O200" s="23">
        <f>O201+O207+O219+O220+O221+O222+O230+O231+O232+O233</f>
        <v>31670972.199999999</v>
      </c>
      <c r="P200" s="23">
        <f>P201+P207+P219+P220+P221+P222+P230+P231+P232+P233</f>
        <v>25948677.859999999</v>
      </c>
      <c r="Q200" s="23">
        <f>Q201+Q207+Q219+Q220+Q221+Q222+Q230+Q231+Q232+Q233</f>
        <v>40126495.119999997</v>
      </c>
      <c r="R200" s="23">
        <f>R201+R207+R219+R220+R221+R222+R230+R231+R232+R233</f>
        <v>43473695.68</v>
      </c>
      <c r="S200" s="23">
        <f>S201+S207+S219+S220+S221+S222+S230+S231+S232+S233</f>
        <v>46720504.960000001</v>
      </c>
    </row>
    <row r="201" spans="1:19" s="10" customFormat="1" ht="26.45" customHeight="1" x14ac:dyDescent="0.2">
      <c r="A201" s="91" t="s">
        <v>184</v>
      </c>
      <c r="B201" s="91" t="s">
        <v>185</v>
      </c>
      <c r="C201" s="91" t="s">
        <v>186</v>
      </c>
      <c r="D201" s="91" t="s">
        <v>257</v>
      </c>
      <c r="E201" s="91" t="s">
        <v>259</v>
      </c>
      <c r="F201" s="65"/>
      <c r="G201" s="44"/>
      <c r="H201" s="91" t="s">
        <v>390</v>
      </c>
      <c r="I201" s="91" t="s">
        <v>41</v>
      </c>
      <c r="J201" s="44" t="s">
        <v>6</v>
      </c>
      <c r="K201" s="47" t="s">
        <v>273</v>
      </c>
      <c r="L201" s="47" t="s">
        <v>285</v>
      </c>
      <c r="M201" s="47" t="s">
        <v>273</v>
      </c>
      <c r="N201" s="47" t="s">
        <v>273</v>
      </c>
      <c r="O201" s="16">
        <f>SUM(O202:O206)</f>
        <v>1741275.3599999999</v>
      </c>
      <c r="P201" s="16">
        <f>SUM(P202:P206)</f>
        <v>1554039.5699999998</v>
      </c>
      <c r="Q201" s="16">
        <f>SUM(Q202:Q206)</f>
        <v>2479628</v>
      </c>
      <c r="R201" s="16">
        <f>SUM(R202:R206)</f>
        <v>2479628</v>
      </c>
      <c r="S201" s="16">
        <f>SUM(S202:S206)</f>
        <v>2479628</v>
      </c>
    </row>
    <row r="202" spans="1:19" s="10" customFormat="1" ht="111.75" customHeight="1" x14ac:dyDescent="0.2">
      <c r="A202" s="91"/>
      <c r="B202" s="91"/>
      <c r="C202" s="91"/>
      <c r="D202" s="91"/>
      <c r="E202" s="91"/>
      <c r="F202" s="44" t="s">
        <v>403</v>
      </c>
      <c r="G202" s="44" t="s">
        <v>41</v>
      </c>
      <c r="H202" s="91"/>
      <c r="I202" s="91"/>
      <c r="J202" s="44">
        <v>1</v>
      </c>
      <c r="K202" s="13">
        <v>851</v>
      </c>
      <c r="L202" s="40" t="s">
        <v>126</v>
      </c>
      <c r="M202" s="40" t="s">
        <v>353</v>
      </c>
      <c r="N202" s="40" t="s">
        <v>27</v>
      </c>
      <c r="O202" s="14">
        <v>211164.89</v>
      </c>
      <c r="P202" s="14">
        <v>211164.89</v>
      </c>
      <c r="Q202" s="14">
        <v>540800</v>
      </c>
      <c r="R202" s="14">
        <v>540800</v>
      </c>
      <c r="S202" s="14">
        <v>540800</v>
      </c>
    </row>
    <row r="203" spans="1:19" s="10" customFormat="1" ht="162.75" customHeight="1" x14ac:dyDescent="0.2">
      <c r="A203" s="91"/>
      <c r="B203" s="91"/>
      <c r="C203" s="91"/>
      <c r="D203" s="91"/>
      <c r="E203" s="91"/>
      <c r="F203" s="44" t="s">
        <v>475</v>
      </c>
      <c r="G203" s="44" t="s">
        <v>41</v>
      </c>
      <c r="H203" s="91"/>
      <c r="I203" s="91"/>
      <c r="J203" s="44">
        <v>1</v>
      </c>
      <c r="K203" s="13">
        <v>851</v>
      </c>
      <c r="L203" s="40" t="s">
        <v>126</v>
      </c>
      <c r="M203" s="40" t="s">
        <v>467</v>
      </c>
      <c r="N203" s="40" t="s">
        <v>27</v>
      </c>
      <c r="O203" s="14">
        <v>32900</v>
      </c>
      <c r="P203" s="14">
        <v>0</v>
      </c>
      <c r="Q203" s="14">
        <v>42128</v>
      </c>
      <c r="R203" s="14">
        <v>42128</v>
      </c>
      <c r="S203" s="14">
        <v>42128</v>
      </c>
    </row>
    <row r="204" spans="1:19" s="10" customFormat="1" ht="162.75" customHeight="1" x14ac:dyDescent="0.2">
      <c r="A204" s="91"/>
      <c r="B204" s="91"/>
      <c r="C204" s="91"/>
      <c r="D204" s="91"/>
      <c r="E204" s="91"/>
      <c r="F204" s="44" t="s">
        <v>405</v>
      </c>
      <c r="G204" s="44" t="s">
        <v>41</v>
      </c>
      <c r="H204" s="91"/>
      <c r="I204" s="91"/>
      <c r="J204" s="44">
        <v>1</v>
      </c>
      <c r="K204" s="13">
        <v>851</v>
      </c>
      <c r="L204" s="40" t="s">
        <v>126</v>
      </c>
      <c r="M204" s="40" t="s">
        <v>355</v>
      </c>
      <c r="N204" s="40" t="s">
        <v>27</v>
      </c>
      <c r="O204" s="14">
        <v>170959.58</v>
      </c>
      <c r="P204" s="14">
        <v>170959.58</v>
      </c>
      <c r="Q204" s="14">
        <v>221600</v>
      </c>
      <c r="R204" s="14">
        <v>221600</v>
      </c>
      <c r="S204" s="14">
        <v>221600</v>
      </c>
    </row>
    <row r="205" spans="1:19" s="10" customFormat="1" ht="162.75" customHeight="1" x14ac:dyDescent="0.2">
      <c r="A205" s="91"/>
      <c r="B205" s="91"/>
      <c r="C205" s="91"/>
      <c r="D205" s="91"/>
      <c r="E205" s="91"/>
      <c r="F205" s="44" t="s">
        <v>406</v>
      </c>
      <c r="G205" s="44" t="s">
        <v>41</v>
      </c>
      <c r="H205" s="91"/>
      <c r="I205" s="91"/>
      <c r="J205" s="44">
        <v>1</v>
      </c>
      <c r="K205" s="13">
        <v>851</v>
      </c>
      <c r="L205" s="40" t="s">
        <v>126</v>
      </c>
      <c r="M205" s="40" t="s">
        <v>349</v>
      </c>
      <c r="N205" s="40" t="s">
        <v>27</v>
      </c>
      <c r="O205" s="14">
        <v>467650.89</v>
      </c>
      <c r="P205" s="14">
        <v>467650.89</v>
      </c>
      <c r="Q205" s="14">
        <v>574100</v>
      </c>
      <c r="R205" s="14">
        <v>574100</v>
      </c>
      <c r="S205" s="14">
        <v>574100</v>
      </c>
    </row>
    <row r="206" spans="1:19" s="10" customFormat="1" ht="111.75" customHeight="1" x14ac:dyDescent="0.2">
      <c r="A206" s="91"/>
      <c r="B206" s="91"/>
      <c r="C206" s="91"/>
      <c r="D206" s="91"/>
      <c r="E206" s="91"/>
      <c r="F206" s="44" t="s">
        <v>404</v>
      </c>
      <c r="G206" s="44" t="s">
        <v>41</v>
      </c>
      <c r="H206" s="91"/>
      <c r="I206" s="91"/>
      <c r="J206" s="44">
        <v>1</v>
      </c>
      <c r="K206" s="40" t="s">
        <v>276</v>
      </c>
      <c r="L206" s="40" t="s">
        <v>65</v>
      </c>
      <c r="M206" s="40" t="s">
        <v>326</v>
      </c>
      <c r="N206" s="40" t="s">
        <v>27</v>
      </c>
      <c r="O206" s="14">
        <v>858600</v>
      </c>
      <c r="P206" s="14">
        <v>704264.21</v>
      </c>
      <c r="Q206" s="14">
        <v>1101000</v>
      </c>
      <c r="R206" s="14">
        <v>1101000</v>
      </c>
      <c r="S206" s="14">
        <v>1101000</v>
      </c>
    </row>
    <row r="207" spans="1:19" s="10" customFormat="1" ht="26.45" customHeight="1" x14ac:dyDescent="0.2">
      <c r="A207" s="91" t="s">
        <v>187</v>
      </c>
      <c r="B207" s="91" t="s">
        <v>188</v>
      </c>
      <c r="C207" s="91" t="s">
        <v>189</v>
      </c>
      <c r="D207" s="91" t="s">
        <v>257</v>
      </c>
      <c r="E207" s="91" t="s">
        <v>259</v>
      </c>
      <c r="F207" s="91" t="s">
        <v>403</v>
      </c>
      <c r="G207" s="44"/>
      <c r="H207" s="44" t="s">
        <v>0</v>
      </c>
      <c r="I207" s="44" t="s">
        <v>0</v>
      </c>
      <c r="J207" s="46">
        <v>1</v>
      </c>
      <c r="K207" s="12" t="s">
        <v>273</v>
      </c>
      <c r="L207" s="12" t="s">
        <v>285</v>
      </c>
      <c r="M207" s="12" t="s">
        <v>273</v>
      </c>
      <c r="N207" s="12" t="s">
        <v>273</v>
      </c>
      <c r="O207" s="16">
        <f t="shared" ref="O207" si="29">SUM(O208:O218)</f>
        <v>1209137.6400000001</v>
      </c>
      <c r="P207" s="16">
        <f t="shared" ref="P207:S207" si="30">SUM(P208:P218)</f>
        <v>1115991.05</v>
      </c>
      <c r="Q207" s="16">
        <f t="shared" si="30"/>
        <v>1047482</v>
      </c>
      <c r="R207" s="16">
        <f t="shared" si="30"/>
        <v>1047482</v>
      </c>
      <c r="S207" s="16">
        <f t="shared" si="30"/>
        <v>1047482</v>
      </c>
    </row>
    <row r="208" spans="1:19" s="10" customFormat="1" ht="26.45" customHeight="1" x14ac:dyDescent="0.2">
      <c r="A208" s="91"/>
      <c r="B208" s="91"/>
      <c r="C208" s="91"/>
      <c r="D208" s="91"/>
      <c r="E208" s="91"/>
      <c r="F208" s="91"/>
      <c r="G208" s="91" t="s">
        <v>41</v>
      </c>
      <c r="H208" s="91" t="s">
        <v>417</v>
      </c>
      <c r="I208" s="91" t="s">
        <v>41</v>
      </c>
      <c r="J208" s="44">
        <v>1</v>
      </c>
      <c r="K208" s="13">
        <v>851</v>
      </c>
      <c r="L208" s="40" t="s">
        <v>126</v>
      </c>
      <c r="M208" s="40" t="s">
        <v>353</v>
      </c>
      <c r="N208" s="40" t="s">
        <v>293</v>
      </c>
      <c r="O208" s="14">
        <v>62563.8</v>
      </c>
      <c r="P208" s="14">
        <v>62563.8</v>
      </c>
      <c r="Q208" s="14">
        <v>163300</v>
      </c>
      <c r="R208" s="14">
        <v>163300</v>
      </c>
      <c r="S208" s="14">
        <v>163300</v>
      </c>
    </row>
    <row r="209" spans="1:19" s="10" customFormat="1" ht="26.45" customHeight="1" x14ac:dyDescent="0.2">
      <c r="A209" s="91"/>
      <c r="B209" s="91"/>
      <c r="C209" s="91"/>
      <c r="D209" s="91"/>
      <c r="E209" s="91"/>
      <c r="F209" s="91"/>
      <c r="G209" s="91"/>
      <c r="H209" s="91"/>
      <c r="I209" s="91"/>
      <c r="J209" s="44">
        <v>1</v>
      </c>
      <c r="K209" s="13">
        <v>851</v>
      </c>
      <c r="L209" s="40" t="s">
        <v>126</v>
      </c>
      <c r="M209" s="40" t="s">
        <v>353</v>
      </c>
      <c r="N209" s="40" t="s">
        <v>271</v>
      </c>
      <c r="O209" s="14">
        <v>367578.31</v>
      </c>
      <c r="P209" s="14">
        <v>367578.31</v>
      </c>
      <c r="Q209" s="14">
        <v>62576</v>
      </c>
      <c r="R209" s="14">
        <v>62576</v>
      </c>
      <c r="S209" s="14">
        <v>62576</v>
      </c>
    </row>
    <row r="210" spans="1:19" s="10" customFormat="1" ht="26.45" customHeight="1" x14ac:dyDescent="0.2">
      <c r="A210" s="91"/>
      <c r="B210" s="91"/>
      <c r="C210" s="91"/>
      <c r="D210" s="91"/>
      <c r="E210" s="91"/>
      <c r="F210" s="91"/>
      <c r="G210" s="91"/>
      <c r="H210" s="91"/>
      <c r="I210" s="91"/>
      <c r="J210" s="44">
        <v>1</v>
      </c>
      <c r="K210" s="13">
        <v>851</v>
      </c>
      <c r="L210" s="40" t="s">
        <v>126</v>
      </c>
      <c r="M210" s="40" t="s">
        <v>354</v>
      </c>
      <c r="N210" s="40" t="s">
        <v>271</v>
      </c>
      <c r="O210" s="14">
        <v>400</v>
      </c>
      <c r="P210" s="14">
        <v>200</v>
      </c>
      <c r="Q210" s="14">
        <v>400</v>
      </c>
      <c r="R210" s="14">
        <v>400</v>
      </c>
      <c r="S210" s="14">
        <v>400</v>
      </c>
    </row>
    <row r="211" spans="1:19" s="10" customFormat="1" ht="72.75" customHeight="1" x14ac:dyDescent="0.2">
      <c r="A211" s="91"/>
      <c r="B211" s="91"/>
      <c r="C211" s="91"/>
      <c r="D211" s="91"/>
      <c r="E211" s="91"/>
      <c r="F211" s="91" t="s">
        <v>475</v>
      </c>
      <c r="G211" s="91" t="s">
        <v>41</v>
      </c>
      <c r="H211" s="91"/>
      <c r="I211" s="91"/>
      <c r="J211" s="44">
        <v>1</v>
      </c>
      <c r="K211" s="13">
        <v>851</v>
      </c>
      <c r="L211" s="40" t="s">
        <v>126</v>
      </c>
      <c r="M211" s="40" t="s">
        <v>467</v>
      </c>
      <c r="N211" s="40" t="s">
        <v>293</v>
      </c>
      <c r="O211" s="14">
        <v>10000</v>
      </c>
      <c r="P211" s="14">
        <v>0</v>
      </c>
      <c r="Q211" s="14">
        <v>12722</v>
      </c>
      <c r="R211" s="14">
        <v>12722</v>
      </c>
      <c r="S211" s="14">
        <v>12722</v>
      </c>
    </row>
    <row r="212" spans="1:19" s="10" customFormat="1" ht="92.25" customHeight="1" x14ac:dyDescent="0.2">
      <c r="A212" s="91"/>
      <c r="B212" s="91"/>
      <c r="C212" s="91"/>
      <c r="D212" s="91"/>
      <c r="E212" s="91"/>
      <c r="F212" s="91"/>
      <c r="G212" s="91"/>
      <c r="H212" s="91"/>
      <c r="I212" s="91"/>
      <c r="J212" s="44">
        <v>1</v>
      </c>
      <c r="K212" s="13">
        <v>851</v>
      </c>
      <c r="L212" s="40" t="s">
        <v>126</v>
      </c>
      <c r="M212" s="40" t="s">
        <v>467</v>
      </c>
      <c r="N212" s="40" t="s">
        <v>271</v>
      </c>
      <c r="O212" s="14">
        <v>21231</v>
      </c>
      <c r="P212" s="14">
        <v>0</v>
      </c>
      <c r="Q212" s="14">
        <v>21818</v>
      </c>
      <c r="R212" s="14">
        <v>21818</v>
      </c>
      <c r="S212" s="14">
        <v>21818</v>
      </c>
    </row>
    <row r="213" spans="1:19" s="10" customFormat="1" ht="72.75" customHeight="1" x14ac:dyDescent="0.2">
      <c r="A213" s="91"/>
      <c r="B213" s="91"/>
      <c r="C213" s="91"/>
      <c r="D213" s="91"/>
      <c r="E213" s="91"/>
      <c r="F213" s="91" t="s">
        <v>405</v>
      </c>
      <c r="G213" s="91" t="s">
        <v>41</v>
      </c>
      <c r="H213" s="91"/>
      <c r="I213" s="91"/>
      <c r="J213" s="44">
        <v>1</v>
      </c>
      <c r="K213" s="13">
        <v>851</v>
      </c>
      <c r="L213" s="40" t="s">
        <v>126</v>
      </c>
      <c r="M213" s="40" t="s">
        <v>355</v>
      </c>
      <c r="N213" s="40" t="s">
        <v>293</v>
      </c>
      <c r="O213" s="14">
        <v>50654.02</v>
      </c>
      <c r="P213" s="14">
        <v>50654.02</v>
      </c>
      <c r="Q213" s="14">
        <v>66900</v>
      </c>
      <c r="R213" s="14">
        <v>66900</v>
      </c>
      <c r="S213" s="14">
        <v>66900</v>
      </c>
    </row>
    <row r="214" spans="1:19" s="10" customFormat="1" ht="72.75" customHeight="1" x14ac:dyDescent="0.2">
      <c r="A214" s="91"/>
      <c r="B214" s="91"/>
      <c r="C214" s="91"/>
      <c r="D214" s="91"/>
      <c r="E214" s="91"/>
      <c r="F214" s="91"/>
      <c r="G214" s="91"/>
      <c r="H214" s="91"/>
      <c r="I214" s="91"/>
      <c r="J214" s="44">
        <v>1</v>
      </c>
      <c r="K214" s="13">
        <v>851</v>
      </c>
      <c r="L214" s="40" t="s">
        <v>126</v>
      </c>
      <c r="M214" s="40" t="s">
        <v>355</v>
      </c>
      <c r="N214" s="40" t="s">
        <v>271</v>
      </c>
      <c r="O214" s="14">
        <v>99040.4</v>
      </c>
      <c r="P214" s="14">
        <v>99040.4</v>
      </c>
      <c r="Q214" s="14">
        <v>94838</v>
      </c>
      <c r="R214" s="14">
        <v>94838</v>
      </c>
      <c r="S214" s="14">
        <v>94838</v>
      </c>
    </row>
    <row r="215" spans="1:19" s="10" customFormat="1" ht="72.75" customHeight="1" x14ac:dyDescent="0.2">
      <c r="A215" s="91"/>
      <c r="B215" s="91"/>
      <c r="C215" s="91"/>
      <c r="D215" s="91"/>
      <c r="E215" s="91"/>
      <c r="F215" s="91" t="s">
        <v>406</v>
      </c>
      <c r="G215" s="91" t="s">
        <v>41</v>
      </c>
      <c r="H215" s="91"/>
      <c r="I215" s="91"/>
      <c r="J215" s="44">
        <v>1</v>
      </c>
      <c r="K215" s="13">
        <v>851</v>
      </c>
      <c r="L215" s="40" t="s">
        <v>126</v>
      </c>
      <c r="M215" s="40" t="s">
        <v>349</v>
      </c>
      <c r="N215" s="40" t="s">
        <v>293</v>
      </c>
      <c r="O215" s="14">
        <v>138128.97</v>
      </c>
      <c r="P215" s="14">
        <v>138128.97</v>
      </c>
      <c r="Q215" s="14">
        <v>173300</v>
      </c>
      <c r="R215" s="14">
        <v>173300</v>
      </c>
      <c r="S215" s="14">
        <v>173300</v>
      </c>
    </row>
    <row r="216" spans="1:19" s="10" customFormat="1" ht="72.75" customHeight="1" x14ac:dyDescent="0.2">
      <c r="A216" s="91"/>
      <c r="B216" s="91"/>
      <c r="C216" s="91"/>
      <c r="D216" s="91"/>
      <c r="E216" s="91"/>
      <c r="F216" s="91"/>
      <c r="G216" s="91"/>
      <c r="H216" s="91"/>
      <c r="I216" s="91"/>
      <c r="J216" s="44">
        <v>1</v>
      </c>
      <c r="K216" s="13">
        <v>851</v>
      </c>
      <c r="L216" s="40" t="s">
        <v>126</v>
      </c>
      <c r="M216" s="40" t="s">
        <v>349</v>
      </c>
      <c r="N216" s="40" t="s">
        <v>271</v>
      </c>
      <c r="O216" s="14">
        <v>35527.14</v>
      </c>
      <c r="P216" s="14">
        <v>35527.14</v>
      </c>
      <c r="Q216" s="14">
        <v>19276</v>
      </c>
      <c r="R216" s="14">
        <v>19276</v>
      </c>
      <c r="S216" s="14">
        <v>19276</v>
      </c>
    </row>
    <row r="217" spans="1:19" s="10" customFormat="1" ht="72.75" customHeight="1" x14ac:dyDescent="0.2">
      <c r="A217" s="91"/>
      <c r="B217" s="91"/>
      <c r="C217" s="91"/>
      <c r="D217" s="91"/>
      <c r="E217" s="91"/>
      <c r="F217" s="91" t="s">
        <v>404</v>
      </c>
      <c r="G217" s="91" t="s">
        <v>41</v>
      </c>
      <c r="H217" s="91" t="s">
        <v>415</v>
      </c>
      <c r="I217" s="91" t="s">
        <v>41</v>
      </c>
      <c r="J217" s="44">
        <v>1</v>
      </c>
      <c r="K217" s="40" t="s">
        <v>276</v>
      </c>
      <c r="L217" s="40" t="s">
        <v>65</v>
      </c>
      <c r="M217" s="40" t="s">
        <v>326</v>
      </c>
      <c r="N217" s="40" t="s">
        <v>293</v>
      </c>
      <c r="O217" s="14">
        <v>259300</v>
      </c>
      <c r="P217" s="14">
        <v>209353.63</v>
      </c>
      <c r="Q217" s="14">
        <v>332400</v>
      </c>
      <c r="R217" s="14">
        <v>332400</v>
      </c>
      <c r="S217" s="14">
        <v>332400</v>
      </c>
    </row>
    <row r="218" spans="1:19" s="10" customFormat="1" ht="72.75" customHeight="1" x14ac:dyDescent="0.2">
      <c r="A218" s="91"/>
      <c r="B218" s="91"/>
      <c r="C218" s="91"/>
      <c r="D218" s="91"/>
      <c r="E218" s="91"/>
      <c r="F218" s="91"/>
      <c r="G218" s="91"/>
      <c r="H218" s="91"/>
      <c r="I218" s="91"/>
      <c r="J218" s="44">
        <v>1</v>
      </c>
      <c r="K218" s="40" t="s">
        <v>276</v>
      </c>
      <c r="L218" s="40" t="s">
        <v>65</v>
      </c>
      <c r="M218" s="40" t="s">
        <v>326</v>
      </c>
      <c r="N218" s="40" t="s">
        <v>271</v>
      </c>
      <c r="O218" s="77">
        <v>164714</v>
      </c>
      <c r="P218" s="77">
        <v>152944.78</v>
      </c>
      <c r="Q218" s="77">
        <v>99952</v>
      </c>
      <c r="R218" s="77">
        <v>99952</v>
      </c>
      <c r="S218" s="77">
        <v>99952</v>
      </c>
    </row>
    <row r="219" spans="1:19" s="10" customFormat="1" ht="72.75" customHeight="1" x14ac:dyDescent="0.2">
      <c r="A219" s="91" t="s">
        <v>190</v>
      </c>
      <c r="B219" s="91" t="s">
        <v>191</v>
      </c>
      <c r="C219" s="91" t="s">
        <v>192</v>
      </c>
      <c r="D219" s="91" t="s">
        <v>257</v>
      </c>
      <c r="E219" s="91" t="s">
        <v>259</v>
      </c>
      <c r="F219" s="91" t="s">
        <v>407</v>
      </c>
      <c r="G219" s="91" t="s">
        <v>41</v>
      </c>
      <c r="H219" s="91" t="s">
        <v>416</v>
      </c>
      <c r="I219" s="91" t="s">
        <v>0</v>
      </c>
      <c r="J219" s="91" t="s">
        <v>15</v>
      </c>
      <c r="K219" s="103" t="s">
        <v>270</v>
      </c>
      <c r="L219" s="103" t="s">
        <v>101</v>
      </c>
      <c r="M219" s="103" t="s">
        <v>514</v>
      </c>
      <c r="N219" s="40" t="s">
        <v>502</v>
      </c>
      <c r="O219" s="77">
        <v>8438656.7599999998</v>
      </c>
      <c r="P219" s="77">
        <v>6221932</v>
      </c>
      <c r="Q219" s="77">
        <f>6243864+3146418</f>
        <v>9390282</v>
      </c>
      <c r="R219" s="77">
        <v>6243864</v>
      </c>
      <c r="S219" s="77">
        <v>6243864</v>
      </c>
    </row>
    <row r="220" spans="1:19" s="10" customFormat="1" ht="72.75" customHeight="1" x14ac:dyDescent="0.2">
      <c r="A220" s="91"/>
      <c r="B220" s="91"/>
      <c r="C220" s="91"/>
      <c r="D220" s="91"/>
      <c r="E220" s="91"/>
      <c r="F220" s="91"/>
      <c r="G220" s="91"/>
      <c r="H220" s="91"/>
      <c r="I220" s="91"/>
      <c r="J220" s="91"/>
      <c r="K220" s="103"/>
      <c r="L220" s="103"/>
      <c r="M220" s="103"/>
      <c r="N220" s="40" t="s">
        <v>278</v>
      </c>
      <c r="O220" s="77">
        <v>7129705.2400000002</v>
      </c>
      <c r="P220" s="77">
        <v>6200012</v>
      </c>
      <c r="Q220" s="77">
        <v>12987237.119999999</v>
      </c>
      <c r="R220" s="77">
        <v>19480855.68</v>
      </c>
      <c r="S220" s="77">
        <v>22727664.960000001</v>
      </c>
    </row>
    <row r="221" spans="1:19" s="10" customFormat="1" ht="228.75" customHeight="1" x14ac:dyDescent="0.2">
      <c r="A221" s="58" t="s">
        <v>193</v>
      </c>
      <c r="B221" s="44" t="s">
        <v>194</v>
      </c>
      <c r="C221" s="44" t="s">
        <v>195</v>
      </c>
      <c r="D221" s="44" t="s">
        <v>257</v>
      </c>
      <c r="E221" s="44" t="s">
        <v>258</v>
      </c>
      <c r="F221" s="44" t="s">
        <v>421</v>
      </c>
      <c r="G221" s="44" t="s">
        <v>41</v>
      </c>
      <c r="H221" s="44" t="s">
        <v>417</v>
      </c>
      <c r="I221" s="44" t="s">
        <v>41</v>
      </c>
      <c r="J221" s="44" t="s">
        <v>15</v>
      </c>
      <c r="K221" s="40" t="s">
        <v>276</v>
      </c>
      <c r="L221" s="40" t="s">
        <v>101</v>
      </c>
      <c r="M221" s="40" t="s">
        <v>310</v>
      </c>
      <c r="N221" s="40" t="s">
        <v>277</v>
      </c>
      <c r="O221" s="77">
        <v>119600</v>
      </c>
      <c r="P221" s="77">
        <v>43100</v>
      </c>
      <c r="Q221" s="77">
        <v>128000</v>
      </c>
      <c r="R221" s="77">
        <v>128000</v>
      </c>
      <c r="S221" s="77">
        <v>128000</v>
      </c>
    </row>
    <row r="222" spans="1:19" s="10" customFormat="1" ht="33" customHeight="1" x14ac:dyDescent="0.2">
      <c r="A222" s="91" t="s">
        <v>196</v>
      </c>
      <c r="B222" s="91" t="s">
        <v>197</v>
      </c>
      <c r="C222" s="91" t="s">
        <v>198</v>
      </c>
      <c r="D222" s="91" t="s">
        <v>257</v>
      </c>
      <c r="E222" s="91" t="s">
        <v>258</v>
      </c>
      <c r="F222" s="91" t="s">
        <v>418</v>
      </c>
      <c r="G222" s="91" t="s">
        <v>41</v>
      </c>
      <c r="H222" s="25" t="s">
        <v>422</v>
      </c>
      <c r="I222" s="44" t="s">
        <v>0</v>
      </c>
      <c r="J222" s="26" t="s">
        <v>15</v>
      </c>
      <c r="K222" s="12" t="s">
        <v>273</v>
      </c>
      <c r="L222" s="12" t="s">
        <v>285</v>
      </c>
      <c r="M222" s="12" t="s">
        <v>273</v>
      </c>
      <c r="N222" s="12" t="s">
        <v>273</v>
      </c>
      <c r="O222" s="16">
        <f>SUM(O223:O229)</f>
        <v>4487225</v>
      </c>
      <c r="P222" s="16">
        <f>SUM(P223:P229)</f>
        <v>4486325</v>
      </c>
      <c r="Q222" s="16">
        <f>SUM(Q223:Q229)</f>
        <v>4971478</v>
      </c>
      <c r="R222" s="16">
        <f>SUM(R223:R229)</f>
        <v>4971478</v>
      </c>
      <c r="S222" s="16">
        <f>SUM(S223:S229)</f>
        <v>4971478</v>
      </c>
    </row>
    <row r="223" spans="1:19" s="10" customFormat="1" ht="51" customHeight="1" x14ac:dyDescent="0.2">
      <c r="A223" s="91"/>
      <c r="B223" s="91"/>
      <c r="C223" s="91"/>
      <c r="D223" s="91"/>
      <c r="E223" s="91"/>
      <c r="F223" s="91"/>
      <c r="G223" s="91"/>
      <c r="H223" s="91" t="s">
        <v>416</v>
      </c>
      <c r="I223" s="91" t="s">
        <v>41</v>
      </c>
      <c r="J223" s="44"/>
      <c r="K223" s="103" t="s">
        <v>270</v>
      </c>
      <c r="L223" s="40" t="s">
        <v>58</v>
      </c>
      <c r="M223" s="40" t="s">
        <v>320</v>
      </c>
      <c r="N223" s="40" t="s">
        <v>280</v>
      </c>
      <c r="O223" s="77">
        <v>134000</v>
      </c>
      <c r="P223" s="77">
        <v>134000</v>
      </c>
      <c r="Q223" s="77">
        <v>132000</v>
      </c>
      <c r="R223" s="77">
        <v>132000</v>
      </c>
      <c r="S223" s="77">
        <v>132000</v>
      </c>
    </row>
    <row r="224" spans="1:19" s="10" customFormat="1" ht="100.5" customHeight="1" x14ac:dyDescent="0.2">
      <c r="A224" s="91"/>
      <c r="B224" s="91"/>
      <c r="C224" s="91"/>
      <c r="D224" s="91"/>
      <c r="E224" s="91"/>
      <c r="F224" s="91"/>
      <c r="G224" s="91" t="s">
        <v>41</v>
      </c>
      <c r="H224" s="91"/>
      <c r="I224" s="91"/>
      <c r="J224" s="44"/>
      <c r="K224" s="103"/>
      <c r="L224" s="40" t="s">
        <v>74</v>
      </c>
      <c r="M224" s="40" t="s">
        <v>322</v>
      </c>
      <c r="N224" s="40" t="s">
        <v>280</v>
      </c>
      <c r="O224" s="77">
        <v>101700</v>
      </c>
      <c r="P224" s="77">
        <v>100800</v>
      </c>
      <c r="Q224" s="77">
        <v>122400</v>
      </c>
      <c r="R224" s="77">
        <v>122400</v>
      </c>
      <c r="S224" s="77">
        <v>122400</v>
      </c>
    </row>
    <row r="225" spans="1:19" s="10" customFormat="1" ht="51" customHeight="1" x14ac:dyDescent="0.2">
      <c r="A225" s="91"/>
      <c r="B225" s="91"/>
      <c r="C225" s="91"/>
      <c r="D225" s="91"/>
      <c r="E225" s="91"/>
      <c r="F225" s="87" t="s">
        <v>419</v>
      </c>
      <c r="G225" s="91"/>
      <c r="H225" s="91" t="s">
        <v>417</v>
      </c>
      <c r="I225" s="91" t="s">
        <v>41</v>
      </c>
      <c r="J225" s="91"/>
      <c r="K225" s="103" t="s">
        <v>276</v>
      </c>
      <c r="L225" s="40" t="s">
        <v>46</v>
      </c>
      <c r="M225" s="40" t="s">
        <v>321</v>
      </c>
      <c r="N225" s="103" t="s">
        <v>280</v>
      </c>
      <c r="O225" s="77">
        <v>425000</v>
      </c>
      <c r="P225" s="77">
        <v>425000</v>
      </c>
      <c r="Q225" s="77">
        <v>432000</v>
      </c>
      <c r="R225" s="77">
        <v>432000</v>
      </c>
      <c r="S225" s="77">
        <v>432000</v>
      </c>
    </row>
    <row r="226" spans="1:19" s="10" customFormat="1" ht="114.75" customHeight="1" x14ac:dyDescent="0.2">
      <c r="A226" s="91"/>
      <c r="B226" s="91"/>
      <c r="C226" s="91"/>
      <c r="D226" s="91"/>
      <c r="E226" s="91"/>
      <c r="F226" s="87"/>
      <c r="G226" s="44" t="s">
        <v>41</v>
      </c>
      <c r="H226" s="91"/>
      <c r="I226" s="91"/>
      <c r="J226" s="91"/>
      <c r="K226" s="103"/>
      <c r="L226" s="40" t="s">
        <v>50</v>
      </c>
      <c r="M226" s="40" t="s">
        <v>321</v>
      </c>
      <c r="N226" s="103"/>
      <c r="O226" s="77">
        <v>1600600</v>
      </c>
      <c r="P226" s="77">
        <v>1600600</v>
      </c>
      <c r="Q226" s="77">
        <v>1623600</v>
      </c>
      <c r="R226" s="77">
        <v>1623600</v>
      </c>
      <c r="S226" s="77">
        <v>1623600</v>
      </c>
    </row>
    <row r="227" spans="1:19" s="10" customFormat="1" ht="51" customHeight="1" x14ac:dyDescent="0.2">
      <c r="A227" s="91"/>
      <c r="B227" s="91"/>
      <c r="C227" s="91"/>
      <c r="D227" s="91"/>
      <c r="E227" s="91"/>
      <c r="F227" s="45"/>
      <c r="G227" s="27" t="s">
        <v>41</v>
      </c>
      <c r="H227" s="91"/>
      <c r="I227" s="91"/>
      <c r="J227" s="91"/>
      <c r="K227" s="103"/>
      <c r="L227" s="40" t="s">
        <v>547</v>
      </c>
      <c r="M227" s="40" t="s">
        <v>321</v>
      </c>
      <c r="N227" s="40" t="s">
        <v>277</v>
      </c>
      <c r="O227" s="77">
        <v>1400000</v>
      </c>
      <c r="P227" s="77">
        <v>1400000</v>
      </c>
      <c r="Q227" s="77">
        <v>1411200</v>
      </c>
      <c r="R227" s="77">
        <v>1411200</v>
      </c>
      <c r="S227" s="77">
        <v>1411200</v>
      </c>
    </row>
    <row r="228" spans="1:19" s="10" customFormat="1" ht="51" customHeight="1" x14ac:dyDescent="0.2">
      <c r="A228" s="91"/>
      <c r="B228" s="91"/>
      <c r="C228" s="91"/>
      <c r="D228" s="91"/>
      <c r="E228" s="91"/>
      <c r="F228" s="91" t="s">
        <v>420</v>
      </c>
      <c r="G228" s="91" t="s">
        <v>41</v>
      </c>
      <c r="H228" s="91"/>
      <c r="I228" s="91"/>
      <c r="J228" s="91"/>
      <c r="K228" s="103"/>
      <c r="L228" s="40" t="s">
        <v>101</v>
      </c>
      <c r="M228" s="40" t="s">
        <v>308</v>
      </c>
      <c r="N228" s="40" t="s">
        <v>277</v>
      </c>
      <c r="O228" s="77">
        <v>754925</v>
      </c>
      <c r="P228" s="77">
        <v>754925</v>
      </c>
      <c r="Q228" s="77">
        <v>1178278</v>
      </c>
      <c r="R228" s="77">
        <v>1178278</v>
      </c>
      <c r="S228" s="77">
        <v>1178278</v>
      </c>
    </row>
    <row r="229" spans="1:19" s="10" customFormat="1" ht="91.5" customHeight="1" x14ac:dyDescent="0.2">
      <c r="A229" s="91"/>
      <c r="B229" s="91"/>
      <c r="C229" s="91"/>
      <c r="D229" s="91"/>
      <c r="E229" s="91"/>
      <c r="F229" s="91"/>
      <c r="G229" s="91"/>
      <c r="H229" s="91"/>
      <c r="I229" s="91"/>
      <c r="J229" s="91"/>
      <c r="K229" s="103"/>
      <c r="L229" s="40" t="s">
        <v>500</v>
      </c>
      <c r="M229" s="40" t="s">
        <v>321</v>
      </c>
      <c r="N229" s="40" t="s">
        <v>280</v>
      </c>
      <c r="O229" s="77">
        <v>71000</v>
      </c>
      <c r="P229" s="77">
        <v>71000</v>
      </c>
      <c r="Q229" s="77">
        <v>72000</v>
      </c>
      <c r="R229" s="77">
        <f t="shared" ref="R229:S229" si="31">87600-15600</f>
        <v>72000</v>
      </c>
      <c r="S229" s="77">
        <f t="shared" si="31"/>
        <v>72000</v>
      </c>
    </row>
    <row r="230" spans="1:19" s="10" customFormat="1" ht="150" customHeight="1" x14ac:dyDescent="0.2">
      <c r="A230" s="107" t="s">
        <v>199</v>
      </c>
      <c r="B230" s="91" t="s">
        <v>200</v>
      </c>
      <c r="C230" s="91" t="s">
        <v>201</v>
      </c>
      <c r="D230" s="91" t="s">
        <v>257</v>
      </c>
      <c r="E230" s="91" t="s">
        <v>258</v>
      </c>
      <c r="F230" s="44" t="s">
        <v>408</v>
      </c>
      <c r="G230" s="44" t="s">
        <v>41</v>
      </c>
      <c r="H230" s="91" t="s">
        <v>417</v>
      </c>
      <c r="I230" s="91" t="s">
        <v>41</v>
      </c>
      <c r="J230" s="91" t="s">
        <v>15</v>
      </c>
      <c r="K230" s="103" t="s">
        <v>276</v>
      </c>
      <c r="L230" s="103" t="s">
        <v>101</v>
      </c>
      <c r="M230" s="103" t="s">
        <v>309</v>
      </c>
      <c r="N230" s="40" t="s">
        <v>277</v>
      </c>
      <c r="O230" s="77">
        <v>5468625</v>
      </c>
      <c r="P230" s="77">
        <v>3709730.64</v>
      </c>
      <c r="Q230" s="77">
        <v>4781666</v>
      </c>
      <c r="R230" s="77">
        <v>4781666</v>
      </c>
      <c r="S230" s="77">
        <v>4781666</v>
      </c>
    </row>
    <row r="231" spans="1:19" s="10" customFormat="1" ht="190.5" customHeight="1" x14ac:dyDescent="0.2">
      <c r="A231" s="107"/>
      <c r="B231" s="91"/>
      <c r="C231" s="91"/>
      <c r="D231" s="91"/>
      <c r="E231" s="91"/>
      <c r="F231" s="44" t="s">
        <v>409</v>
      </c>
      <c r="G231" s="44" t="s">
        <v>41</v>
      </c>
      <c r="H231" s="91"/>
      <c r="I231" s="91"/>
      <c r="J231" s="91"/>
      <c r="K231" s="103"/>
      <c r="L231" s="103"/>
      <c r="M231" s="103"/>
      <c r="N231" s="40" t="s">
        <v>300</v>
      </c>
      <c r="O231" s="77">
        <f>2163161+590100</f>
        <v>2753261</v>
      </c>
      <c r="P231" s="77">
        <v>2369519.67</v>
      </c>
      <c r="Q231" s="77">
        <v>3979482</v>
      </c>
      <c r="R231" s="77">
        <v>3979482</v>
      </c>
      <c r="S231" s="77">
        <v>3979482</v>
      </c>
    </row>
    <row r="232" spans="1:19" s="1" customFormat="1" ht="34.5" customHeight="1" x14ac:dyDescent="0.2">
      <c r="A232" s="56" t="s">
        <v>202</v>
      </c>
      <c r="B232" s="45" t="s">
        <v>203</v>
      </c>
      <c r="C232" s="45" t="s">
        <v>204</v>
      </c>
      <c r="D232" s="45" t="s">
        <v>257</v>
      </c>
      <c r="E232" s="45" t="s">
        <v>258</v>
      </c>
      <c r="F232" s="45" t="s">
        <v>404</v>
      </c>
      <c r="G232" s="45" t="s">
        <v>41</v>
      </c>
      <c r="H232" s="45" t="s">
        <v>417</v>
      </c>
      <c r="I232" s="45" t="s">
        <v>41</v>
      </c>
      <c r="J232" s="45" t="s">
        <v>15</v>
      </c>
      <c r="K232" s="43" t="s">
        <v>276</v>
      </c>
      <c r="L232" s="43" t="s">
        <v>205</v>
      </c>
      <c r="M232" s="43" t="s">
        <v>305</v>
      </c>
      <c r="N232" s="43" t="s">
        <v>271</v>
      </c>
      <c r="O232" s="77">
        <v>68000</v>
      </c>
      <c r="P232" s="77">
        <v>0</v>
      </c>
      <c r="Q232" s="77">
        <v>54000</v>
      </c>
      <c r="R232" s="77">
        <v>54000</v>
      </c>
      <c r="S232" s="77">
        <v>54000</v>
      </c>
    </row>
    <row r="233" spans="1:19" s="1" customFormat="1" ht="123.75" customHeight="1" x14ac:dyDescent="0.2">
      <c r="A233" s="56" t="s">
        <v>206</v>
      </c>
      <c r="B233" s="45" t="s">
        <v>207</v>
      </c>
      <c r="C233" s="45" t="s">
        <v>208</v>
      </c>
      <c r="D233" s="45" t="s">
        <v>257</v>
      </c>
      <c r="E233" s="45" t="s">
        <v>258</v>
      </c>
      <c r="F233" s="45" t="s">
        <v>410</v>
      </c>
      <c r="G233" s="45" t="s">
        <v>41</v>
      </c>
      <c r="H233" s="45" t="s">
        <v>416</v>
      </c>
      <c r="I233" s="45" t="s">
        <v>41</v>
      </c>
      <c r="J233" s="45" t="s">
        <v>18</v>
      </c>
      <c r="K233" s="43" t="s">
        <v>270</v>
      </c>
      <c r="L233" s="43" t="s">
        <v>209</v>
      </c>
      <c r="M233" s="43" t="s">
        <v>345</v>
      </c>
      <c r="N233" s="43" t="s">
        <v>271</v>
      </c>
      <c r="O233" s="77">
        <v>255486.2</v>
      </c>
      <c r="P233" s="77">
        <v>248027.93</v>
      </c>
      <c r="Q233" s="77">
        <v>307240</v>
      </c>
      <c r="R233" s="77">
        <v>307240</v>
      </c>
      <c r="S233" s="77">
        <v>307240</v>
      </c>
    </row>
    <row r="234" spans="1:19" ht="26.45" customHeight="1" x14ac:dyDescent="0.2">
      <c r="A234" s="52" t="s">
        <v>210</v>
      </c>
      <c r="B234" s="48" t="s">
        <v>211</v>
      </c>
      <c r="C234" s="48" t="s">
        <v>212</v>
      </c>
      <c r="D234" s="48" t="s">
        <v>0</v>
      </c>
      <c r="E234" s="48" t="s">
        <v>0</v>
      </c>
      <c r="F234" s="48" t="s">
        <v>0</v>
      </c>
      <c r="G234" s="48" t="s">
        <v>0</v>
      </c>
      <c r="H234" s="48" t="s">
        <v>0</v>
      </c>
      <c r="I234" s="48" t="s">
        <v>0</v>
      </c>
      <c r="J234" s="48" t="s">
        <v>0</v>
      </c>
      <c r="K234" s="49"/>
      <c r="L234" s="49"/>
      <c r="M234" s="49"/>
      <c r="N234" s="49"/>
      <c r="O234" s="17">
        <f t="shared" ref="O234" si="32">O235+O237+O239</f>
        <v>157901027</v>
      </c>
      <c r="P234" s="17">
        <f t="shared" ref="P234:S234" si="33">P235+P237+P239</f>
        <v>157901027</v>
      </c>
      <c r="Q234" s="17">
        <f t="shared" si="33"/>
        <v>170336736</v>
      </c>
      <c r="R234" s="17">
        <f t="shared" si="33"/>
        <v>170336736</v>
      </c>
      <c r="S234" s="17">
        <f t="shared" si="33"/>
        <v>170336736</v>
      </c>
    </row>
    <row r="235" spans="1:19" s="1" customFormat="1" ht="58.5" customHeight="1" x14ac:dyDescent="0.2">
      <c r="A235" s="94" t="s">
        <v>213</v>
      </c>
      <c r="B235" s="45" t="s">
        <v>214</v>
      </c>
      <c r="C235" s="93" t="s">
        <v>215</v>
      </c>
      <c r="D235" s="45" t="s">
        <v>257</v>
      </c>
      <c r="E235" s="45" t="s">
        <v>258</v>
      </c>
      <c r="F235" s="45" t="s">
        <v>45</v>
      </c>
      <c r="G235" s="45" t="s">
        <v>41</v>
      </c>
      <c r="H235" s="87" t="s">
        <v>417</v>
      </c>
      <c r="I235" s="87" t="s">
        <v>41</v>
      </c>
      <c r="J235" s="87" t="s">
        <v>11</v>
      </c>
      <c r="K235" s="101" t="s">
        <v>276</v>
      </c>
      <c r="L235" s="101" t="s">
        <v>50</v>
      </c>
      <c r="M235" s="101" t="s">
        <v>367</v>
      </c>
      <c r="N235" s="101" t="s">
        <v>279</v>
      </c>
      <c r="O235" s="77">
        <v>66462102.5</v>
      </c>
      <c r="P235" s="108">
        <v>66462102.5</v>
      </c>
      <c r="Q235" s="77">
        <f>34488899+31690480</f>
        <v>66179379</v>
      </c>
      <c r="R235" s="77">
        <f>66179379</f>
        <v>66179379</v>
      </c>
      <c r="S235" s="77">
        <v>66179379</v>
      </c>
    </row>
    <row r="236" spans="1:19" ht="58.5" customHeight="1" x14ac:dyDescent="0.2">
      <c r="A236" s="94" t="s">
        <v>0</v>
      </c>
      <c r="B236" s="48" t="s">
        <v>214</v>
      </c>
      <c r="C236" s="93" t="s">
        <v>0</v>
      </c>
      <c r="D236" s="51" t="s">
        <v>423</v>
      </c>
      <c r="E236" s="48" t="s">
        <v>41</v>
      </c>
      <c r="F236" s="51" t="s">
        <v>424</v>
      </c>
      <c r="G236" s="51" t="s">
        <v>425</v>
      </c>
      <c r="H236" s="87"/>
      <c r="I236" s="87"/>
      <c r="J236" s="87"/>
      <c r="K236" s="101"/>
      <c r="L236" s="101"/>
      <c r="M236" s="101"/>
      <c r="N236" s="101"/>
      <c r="O236" s="77"/>
      <c r="P236" s="108"/>
      <c r="Q236" s="77"/>
      <c r="R236" s="77"/>
      <c r="S236" s="77"/>
    </row>
    <row r="237" spans="1:19" s="1" customFormat="1" ht="87" customHeight="1" x14ac:dyDescent="0.2">
      <c r="A237" s="94" t="s">
        <v>216</v>
      </c>
      <c r="B237" s="45" t="s">
        <v>217</v>
      </c>
      <c r="C237" s="93" t="s">
        <v>218</v>
      </c>
      <c r="D237" s="45" t="s">
        <v>257</v>
      </c>
      <c r="E237" s="45" t="s">
        <v>258</v>
      </c>
      <c r="F237" s="87" t="s">
        <v>45</v>
      </c>
      <c r="G237" s="87" t="s">
        <v>41</v>
      </c>
      <c r="H237" s="87" t="s">
        <v>417</v>
      </c>
      <c r="I237" s="87" t="s">
        <v>41</v>
      </c>
      <c r="J237" s="87" t="s">
        <v>11</v>
      </c>
      <c r="K237" s="101" t="s">
        <v>276</v>
      </c>
      <c r="L237" s="101" t="s">
        <v>50</v>
      </c>
      <c r="M237" s="101" t="s">
        <v>367</v>
      </c>
      <c r="N237" s="101" t="s">
        <v>279</v>
      </c>
      <c r="O237" s="77">
        <f>111536117-66462102.5</f>
        <v>45074014.5</v>
      </c>
      <c r="P237" s="77">
        <v>45074014.5</v>
      </c>
      <c r="Q237" s="77">
        <f>116366368-66179379</f>
        <v>50186989</v>
      </c>
      <c r="R237" s="77">
        <v>50186989</v>
      </c>
      <c r="S237" s="77">
        <v>50186989</v>
      </c>
    </row>
    <row r="238" spans="1:19" ht="87" customHeight="1" x14ac:dyDescent="0.2">
      <c r="A238" s="94" t="s">
        <v>0</v>
      </c>
      <c r="B238" s="48" t="s">
        <v>217</v>
      </c>
      <c r="C238" s="93" t="s">
        <v>0</v>
      </c>
      <c r="D238" s="51" t="s">
        <v>378</v>
      </c>
      <c r="E238" s="48" t="s">
        <v>41</v>
      </c>
      <c r="F238" s="87"/>
      <c r="G238" s="87"/>
      <c r="H238" s="87"/>
      <c r="I238" s="87"/>
      <c r="J238" s="87"/>
      <c r="K238" s="101"/>
      <c r="L238" s="101"/>
      <c r="M238" s="101"/>
      <c r="N238" s="101"/>
      <c r="O238" s="77"/>
      <c r="P238" s="66"/>
      <c r="Q238" s="77"/>
      <c r="R238" s="77"/>
      <c r="S238" s="77"/>
    </row>
    <row r="239" spans="1:19" s="1" customFormat="1" ht="87" customHeight="1" x14ac:dyDescent="0.2">
      <c r="A239" s="94" t="s">
        <v>219</v>
      </c>
      <c r="B239" s="45" t="s">
        <v>220</v>
      </c>
      <c r="C239" s="93" t="s">
        <v>221</v>
      </c>
      <c r="D239" s="45" t="s">
        <v>257</v>
      </c>
      <c r="E239" s="45" t="s">
        <v>258</v>
      </c>
      <c r="F239" s="87" t="s">
        <v>45</v>
      </c>
      <c r="G239" s="87" t="s">
        <v>41</v>
      </c>
      <c r="H239" s="87" t="s">
        <v>417</v>
      </c>
      <c r="I239" s="87" t="s">
        <v>0</v>
      </c>
      <c r="J239" s="87" t="s">
        <v>11</v>
      </c>
      <c r="K239" s="101" t="s">
        <v>276</v>
      </c>
      <c r="L239" s="101" t="s">
        <v>46</v>
      </c>
      <c r="M239" s="101" t="s">
        <v>323</v>
      </c>
      <c r="N239" s="101" t="s">
        <v>279</v>
      </c>
      <c r="O239" s="108">
        <v>46364910</v>
      </c>
      <c r="P239" s="108">
        <v>46364910</v>
      </c>
      <c r="Q239" s="108">
        <v>53970368</v>
      </c>
      <c r="R239" s="108">
        <v>53970368</v>
      </c>
      <c r="S239" s="108">
        <v>53970368</v>
      </c>
    </row>
    <row r="240" spans="1:19" ht="117" customHeight="1" x14ac:dyDescent="0.2">
      <c r="A240" s="94" t="s">
        <v>0</v>
      </c>
      <c r="B240" s="48" t="s">
        <v>220</v>
      </c>
      <c r="C240" s="93" t="s">
        <v>0</v>
      </c>
      <c r="D240" s="48" t="s">
        <v>51</v>
      </c>
      <c r="E240" s="48" t="s">
        <v>41</v>
      </c>
      <c r="F240" s="87"/>
      <c r="G240" s="87"/>
      <c r="H240" s="87"/>
      <c r="I240" s="87"/>
      <c r="J240" s="87"/>
      <c r="K240" s="101"/>
      <c r="L240" s="101"/>
      <c r="M240" s="101"/>
      <c r="N240" s="101"/>
      <c r="O240" s="108"/>
      <c r="P240" s="108"/>
      <c r="Q240" s="108"/>
      <c r="R240" s="108"/>
      <c r="S240" s="108"/>
    </row>
    <row r="241" spans="1:19" ht="26.45" customHeight="1" x14ac:dyDescent="0.2">
      <c r="A241" s="67" t="s">
        <v>222</v>
      </c>
      <c r="B241" s="48" t="s">
        <v>223</v>
      </c>
      <c r="C241" s="48" t="s">
        <v>224</v>
      </c>
      <c r="D241" s="48" t="s">
        <v>0</v>
      </c>
      <c r="E241" s="48" t="s">
        <v>0</v>
      </c>
      <c r="F241" s="48" t="s">
        <v>0</v>
      </c>
      <c r="G241" s="48" t="s">
        <v>0</v>
      </c>
      <c r="H241" s="48" t="s">
        <v>0</v>
      </c>
      <c r="I241" s="48" t="s">
        <v>0</v>
      </c>
      <c r="J241" s="48" t="s">
        <v>0</v>
      </c>
      <c r="K241" s="49"/>
      <c r="L241" s="49"/>
      <c r="M241" s="49"/>
      <c r="N241" s="49"/>
      <c r="O241" s="24">
        <f t="shared" ref="O241" si="34">O242+O243</f>
        <v>16477059.219999999</v>
      </c>
      <c r="P241" s="24">
        <f t="shared" ref="P241:S241" si="35">P242+P243</f>
        <v>15795924.129999999</v>
      </c>
      <c r="Q241" s="24">
        <f t="shared" si="35"/>
        <v>15688449.609999999</v>
      </c>
      <c r="R241" s="24">
        <f t="shared" si="35"/>
        <v>12009875.559999999</v>
      </c>
      <c r="S241" s="24">
        <f t="shared" si="35"/>
        <v>12145211.559999999</v>
      </c>
    </row>
    <row r="242" spans="1:19" s="1" customFormat="1" ht="51" customHeight="1" x14ac:dyDescent="0.2">
      <c r="A242" s="56" t="s">
        <v>225</v>
      </c>
      <c r="B242" s="45" t="s">
        <v>226</v>
      </c>
      <c r="C242" s="45" t="s">
        <v>227</v>
      </c>
      <c r="D242" s="45" t="s">
        <v>257</v>
      </c>
      <c r="E242" s="45" t="s">
        <v>41</v>
      </c>
      <c r="F242" s="45" t="s">
        <v>427</v>
      </c>
      <c r="G242" s="45" t="s">
        <v>41</v>
      </c>
      <c r="H242" s="45" t="s">
        <v>434</v>
      </c>
      <c r="I242" s="45" t="s">
        <v>0</v>
      </c>
      <c r="J242" s="45" t="s">
        <v>167</v>
      </c>
      <c r="K242" s="43">
        <v>853</v>
      </c>
      <c r="L242" s="43">
        <v>1401</v>
      </c>
      <c r="M242" s="43" t="s">
        <v>365</v>
      </c>
      <c r="N242" s="43">
        <v>511</v>
      </c>
      <c r="O242" s="77">
        <v>958500</v>
      </c>
      <c r="P242" s="77">
        <v>958500</v>
      </c>
      <c r="Q242" s="77">
        <v>995500</v>
      </c>
      <c r="R242" s="77">
        <v>995500</v>
      </c>
      <c r="S242" s="77">
        <v>995500</v>
      </c>
    </row>
    <row r="243" spans="1:19" ht="26.45" customHeight="1" x14ac:dyDescent="0.2">
      <c r="A243" s="52" t="s">
        <v>228</v>
      </c>
      <c r="B243" s="48" t="s">
        <v>229</v>
      </c>
      <c r="C243" s="48" t="s">
        <v>230</v>
      </c>
      <c r="D243" s="48" t="s">
        <v>0</v>
      </c>
      <c r="E243" s="48" t="s">
        <v>0</v>
      </c>
      <c r="F243" s="48" t="s">
        <v>0</v>
      </c>
      <c r="G243" s="48" t="s">
        <v>0</v>
      </c>
      <c r="H243" s="48" t="s">
        <v>0</v>
      </c>
      <c r="I243" s="48" t="s">
        <v>0</v>
      </c>
      <c r="J243" s="48" t="s">
        <v>167</v>
      </c>
      <c r="K243" s="49"/>
      <c r="L243" s="49"/>
      <c r="M243" s="49"/>
      <c r="N243" s="49"/>
      <c r="O243" s="17">
        <f t="shared" ref="O243" si="36">O244+O249</f>
        <v>15518559.219999999</v>
      </c>
      <c r="P243" s="17">
        <f t="shared" ref="P243:S243" si="37">P244+P249</f>
        <v>14837424.129999999</v>
      </c>
      <c r="Q243" s="17">
        <f t="shared" si="37"/>
        <v>14692949.609999999</v>
      </c>
      <c r="R243" s="17">
        <f t="shared" si="37"/>
        <v>11014375.559999999</v>
      </c>
      <c r="S243" s="17">
        <f t="shared" si="37"/>
        <v>11149711.559999999</v>
      </c>
    </row>
    <row r="244" spans="1:19" ht="26.45" customHeight="1" x14ac:dyDescent="0.2">
      <c r="A244" s="53" t="s">
        <v>231</v>
      </c>
      <c r="B244" s="48" t="s">
        <v>232</v>
      </c>
      <c r="C244" s="48" t="s">
        <v>233</v>
      </c>
      <c r="D244" s="48" t="s">
        <v>0</v>
      </c>
      <c r="E244" s="48" t="s">
        <v>0</v>
      </c>
      <c r="F244" s="48" t="s">
        <v>0</v>
      </c>
      <c r="G244" s="48" t="s">
        <v>0</v>
      </c>
      <c r="H244" s="48" t="s">
        <v>0</v>
      </c>
      <c r="I244" s="48" t="s">
        <v>0</v>
      </c>
      <c r="J244" s="48" t="s">
        <v>167</v>
      </c>
      <c r="K244" s="49"/>
      <c r="L244" s="49"/>
      <c r="M244" s="49"/>
      <c r="N244" s="49"/>
      <c r="O244" s="20">
        <f t="shared" ref="O244" si="38">O245+O246+O247+O248</f>
        <v>8086459.2199999997</v>
      </c>
      <c r="P244" s="20">
        <f t="shared" ref="P244:S244" si="39">P245+P246+P247+P248</f>
        <v>7405324.1299999999</v>
      </c>
      <c r="Q244" s="20">
        <f t="shared" si="39"/>
        <v>7192949.6099999994</v>
      </c>
      <c r="R244" s="20">
        <f t="shared" si="39"/>
        <v>8014375.5599999996</v>
      </c>
      <c r="S244" s="20">
        <f t="shared" si="39"/>
        <v>8149711.5599999996</v>
      </c>
    </row>
    <row r="245" spans="1:19" s="1" customFormat="1" ht="106.5" customHeight="1" x14ac:dyDescent="0.2">
      <c r="A245" s="56" t="s">
        <v>234</v>
      </c>
      <c r="B245" s="45" t="s">
        <v>235</v>
      </c>
      <c r="C245" s="45" t="s">
        <v>236</v>
      </c>
      <c r="D245" s="45" t="s">
        <v>257</v>
      </c>
      <c r="E245" s="45" t="s">
        <v>428</v>
      </c>
      <c r="F245" s="45" t="s">
        <v>0</v>
      </c>
      <c r="G245" s="45" t="s">
        <v>0</v>
      </c>
      <c r="H245" s="45" t="s">
        <v>430</v>
      </c>
      <c r="I245" s="45" t="s">
        <v>41</v>
      </c>
      <c r="J245" s="45" t="s">
        <v>0</v>
      </c>
      <c r="K245" s="43">
        <v>851</v>
      </c>
      <c r="L245" s="43" t="s">
        <v>137</v>
      </c>
      <c r="M245" s="43" t="s">
        <v>267</v>
      </c>
      <c r="N245" s="43" t="s">
        <v>269</v>
      </c>
      <c r="O245" s="77"/>
      <c r="P245" s="77"/>
      <c r="Q245" s="77"/>
      <c r="R245" s="77"/>
      <c r="S245" s="77"/>
    </row>
    <row r="246" spans="1:19" s="1" customFormat="1" ht="217.5" customHeight="1" x14ac:dyDescent="0.2">
      <c r="A246" s="56" t="s">
        <v>237</v>
      </c>
      <c r="B246" s="45" t="s">
        <v>238</v>
      </c>
      <c r="C246" s="45" t="s">
        <v>239</v>
      </c>
      <c r="D246" s="45" t="s">
        <v>257</v>
      </c>
      <c r="E246" s="45" t="s">
        <v>428</v>
      </c>
      <c r="F246" s="45" t="s">
        <v>476</v>
      </c>
      <c r="G246" s="45" t="s">
        <v>41</v>
      </c>
      <c r="H246" s="41" t="s">
        <v>429</v>
      </c>
      <c r="I246" s="45" t="s">
        <v>41</v>
      </c>
      <c r="J246" s="45" t="s">
        <v>0</v>
      </c>
      <c r="K246" s="43">
        <v>851</v>
      </c>
      <c r="L246" s="43" t="s">
        <v>240</v>
      </c>
      <c r="M246" s="43" t="s">
        <v>558</v>
      </c>
      <c r="N246" s="43" t="s">
        <v>269</v>
      </c>
      <c r="O246" s="77">
        <v>7999274.6600000001</v>
      </c>
      <c r="P246" s="77">
        <v>7318139.5700000003</v>
      </c>
      <c r="Q246" s="77">
        <f>6600630+478970.81</f>
        <v>7079600.8099999996</v>
      </c>
      <c r="R246" s="77">
        <v>7927191</v>
      </c>
      <c r="S246" s="77">
        <v>8062527</v>
      </c>
    </row>
    <row r="247" spans="1:19" s="1" customFormat="1" ht="237" customHeight="1" x14ac:dyDescent="0.2">
      <c r="A247" s="56" t="s">
        <v>241</v>
      </c>
      <c r="B247" s="45" t="s">
        <v>242</v>
      </c>
      <c r="C247" s="45" t="s">
        <v>243</v>
      </c>
      <c r="D247" s="45" t="s">
        <v>257</v>
      </c>
      <c r="E247" s="45" t="s">
        <v>428</v>
      </c>
      <c r="F247" s="45" t="s">
        <v>433</v>
      </c>
      <c r="G247" s="45" t="s">
        <v>0</v>
      </c>
      <c r="H247" s="45" t="s">
        <v>432</v>
      </c>
      <c r="I247" s="45" t="s">
        <v>41</v>
      </c>
      <c r="J247" s="45" t="s">
        <v>0</v>
      </c>
      <c r="K247" s="43">
        <v>851</v>
      </c>
      <c r="L247" s="43" t="s">
        <v>93</v>
      </c>
      <c r="M247" s="43" t="s">
        <v>268</v>
      </c>
      <c r="N247" s="43">
        <v>540</v>
      </c>
      <c r="O247" s="77">
        <v>0</v>
      </c>
      <c r="P247" s="77"/>
      <c r="Q247" s="77">
        <v>0</v>
      </c>
      <c r="R247" s="77"/>
      <c r="S247" s="77"/>
    </row>
    <row r="248" spans="1:19" s="1" customFormat="1" ht="161.25" customHeight="1" x14ac:dyDescent="0.2">
      <c r="A248" s="56" t="s">
        <v>98</v>
      </c>
      <c r="B248" s="45" t="s">
        <v>244</v>
      </c>
      <c r="C248" s="45" t="s">
        <v>245</v>
      </c>
      <c r="D248" s="45" t="s">
        <v>257</v>
      </c>
      <c r="E248" s="45" t="s">
        <v>428</v>
      </c>
      <c r="F248" s="45" t="s">
        <v>0</v>
      </c>
      <c r="G248" s="45" t="s">
        <v>0</v>
      </c>
      <c r="H248" s="45" t="s">
        <v>431</v>
      </c>
      <c r="I248" s="45" t="s">
        <v>41</v>
      </c>
      <c r="J248" s="45" t="s">
        <v>0</v>
      </c>
      <c r="K248" s="43">
        <v>851</v>
      </c>
      <c r="L248" s="43" t="s">
        <v>246</v>
      </c>
      <c r="M248" s="43" t="s">
        <v>343</v>
      </c>
      <c r="N248" s="43">
        <v>540</v>
      </c>
      <c r="O248" s="77">
        <f>75831.66+11352.9</f>
        <v>87184.56</v>
      </c>
      <c r="P248" s="77">
        <v>87184.56</v>
      </c>
      <c r="Q248" s="77">
        <f>75831.66+11352.9+26164.24</f>
        <v>113348.8</v>
      </c>
      <c r="R248" s="77">
        <v>87184.56</v>
      </c>
      <c r="S248" s="77">
        <v>87184.56</v>
      </c>
    </row>
    <row r="249" spans="1:19" ht="26.45" customHeight="1" x14ac:dyDescent="0.2">
      <c r="A249" s="53" t="s">
        <v>247</v>
      </c>
      <c r="B249" s="48" t="s">
        <v>248</v>
      </c>
      <c r="C249" s="48" t="s">
        <v>249</v>
      </c>
      <c r="D249" s="48" t="s">
        <v>0</v>
      </c>
      <c r="E249" s="48" t="s">
        <v>0</v>
      </c>
      <c r="F249" s="48" t="s">
        <v>0</v>
      </c>
      <c r="G249" s="48" t="s">
        <v>0</v>
      </c>
      <c r="H249" s="48" t="s">
        <v>0</v>
      </c>
      <c r="I249" s="48" t="s">
        <v>0</v>
      </c>
      <c r="J249" s="48" t="s">
        <v>167</v>
      </c>
      <c r="K249" s="49"/>
      <c r="L249" s="49"/>
      <c r="M249" s="49"/>
      <c r="N249" s="49"/>
      <c r="O249" s="20">
        <f t="shared" ref="O249:S249" si="40">O250</f>
        <v>7432100</v>
      </c>
      <c r="P249" s="20">
        <f t="shared" si="40"/>
        <v>7432100</v>
      </c>
      <c r="Q249" s="20">
        <f t="shared" si="40"/>
        <v>7500000</v>
      </c>
      <c r="R249" s="20">
        <f t="shared" si="40"/>
        <v>3000000</v>
      </c>
      <c r="S249" s="20">
        <f t="shared" si="40"/>
        <v>3000000</v>
      </c>
    </row>
    <row r="250" spans="1:19" s="1" customFormat="1" ht="40.5" customHeight="1" x14ac:dyDescent="0.2">
      <c r="A250" s="56" t="s">
        <v>250</v>
      </c>
      <c r="B250" s="45" t="s">
        <v>251</v>
      </c>
      <c r="C250" s="45" t="s">
        <v>252</v>
      </c>
      <c r="D250" s="45" t="s">
        <v>257</v>
      </c>
      <c r="E250" s="45" t="s">
        <v>41</v>
      </c>
      <c r="F250" s="45" t="s">
        <v>427</v>
      </c>
      <c r="G250" s="45" t="s">
        <v>0</v>
      </c>
      <c r="H250" s="45" t="s">
        <v>426</v>
      </c>
      <c r="I250" s="45" t="s">
        <v>41</v>
      </c>
      <c r="J250" s="45" t="s">
        <v>0</v>
      </c>
      <c r="K250" s="43">
        <v>853</v>
      </c>
      <c r="L250" s="43">
        <v>1402</v>
      </c>
      <c r="M250" s="43" t="s">
        <v>366</v>
      </c>
      <c r="N250" s="43" t="s">
        <v>269</v>
      </c>
      <c r="O250" s="77">
        <v>7432100</v>
      </c>
      <c r="P250" s="77">
        <v>7432100</v>
      </c>
      <c r="Q250" s="77">
        <v>7500000</v>
      </c>
      <c r="R250" s="77">
        <f>3000000</f>
        <v>3000000</v>
      </c>
      <c r="S250" s="77">
        <f>3000000</f>
        <v>3000000</v>
      </c>
    </row>
    <row r="251" spans="1:19" ht="24.75" customHeight="1" x14ac:dyDescent="0.2">
      <c r="A251" s="52" t="s">
        <v>253</v>
      </c>
      <c r="B251" s="48" t="s">
        <v>14</v>
      </c>
      <c r="C251" s="48" t="s">
        <v>254</v>
      </c>
      <c r="D251" s="48" t="s">
        <v>0</v>
      </c>
      <c r="E251" s="48" t="s">
        <v>0</v>
      </c>
      <c r="F251" s="48" t="s">
        <v>0</v>
      </c>
      <c r="G251" s="48" t="s">
        <v>0</v>
      </c>
      <c r="H251" s="48" t="s">
        <v>0</v>
      </c>
      <c r="I251" s="48" t="s">
        <v>0</v>
      </c>
      <c r="J251" s="48" t="s">
        <v>0</v>
      </c>
      <c r="K251" s="49"/>
      <c r="L251" s="49"/>
      <c r="M251" s="49"/>
      <c r="N251" s="49"/>
      <c r="O251" s="17">
        <f>O10+O145+O192+O234</f>
        <v>827229489.80000007</v>
      </c>
      <c r="P251" s="17">
        <f>P10+P145+P192+P234</f>
        <v>693703050.75999999</v>
      </c>
      <c r="Q251" s="17">
        <f>Q10+Q145+Q192+Q234</f>
        <v>743129543.32999992</v>
      </c>
      <c r="R251" s="17">
        <f>R10+R145+R192+R234</f>
        <v>472090174.25999999</v>
      </c>
      <c r="S251" s="17">
        <f>S10+S145+S192+S234</f>
        <v>444651970.43000001</v>
      </c>
    </row>
    <row r="252" spans="1:19" ht="24.75" customHeight="1" x14ac:dyDescent="0.2">
      <c r="A252" s="50" t="s">
        <v>255</v>
      </c>
      <c r="B252" s="48" t="s">
        <v>14</v>
      </c>
      <c r="C252" s="48" t="s">
        <v>256</v>
      </c>
      <c r="D252" s="48" t="s">
        <v>0</v>
      </c>
      <c r="E252" s="48" t="s">
        <v>0</v>
      </c>
      <c r="F252" s="48" t="s">
        <v>0</v>
      </c>
      <c r="G252" s="48" t="s">
        <v>0</v>
      </c>
      <c r="H252" s="48" t="s">
        <v>0</v>
      </c>
      <c r="I252" s="48" t="s">
        <v>0</v>
      </c>
      <c r="J252" s="48" t="s">
        <v>0</v>
      </c>
      <c r="K252" s="49"/>
      <c r="L252" s="49"/>
      <c r="M252" s="49"/>
      <c r="N252" s="49"/>
      <c r="O252" s="18">
        <f>O251+O241</f>
        <v>843706549.0200001</v>
      </c>
      <c r="P252" s="18">
        <f>P251+P241</f>
        <v>709498974.88999999</v>
      </c>
      <c r="Q252" s="18">
        <f>Q251+Q241</f>
        <v>758817992.93999994</v>
      </c>
      <c r="R252" s="18">
        <f>R251+R241</f>
        <v>484100049.81999999</v>
      </c>
      <c r="S252" s="18">
        <f>S251+S241</f>
        <v>456797181.99000001</v>
      </c>
    </row>
    <row r="253" spans="1:19" s="32" customFormat="1" x14ac:dyDescent="0.2">
      <c r="K253" s="33"/>
      <c r="L253" s="33"/>
      <c r="M253" s="33"/>
      <c r="N253" s="33"/>
      <c r="R253" s="34">
        <f>568230054.46-R252</f>
        <v>84130004.640000045</v>
      </c>
      <c r="S253" s="34">
        <f>439496494.95-S252</f>
        <v>-17300687.040000021</v>
      </c>
    </row>
    <row r="254" spans="1:19" s="32" customFormat="1" x14ac:dyDescent="0.2">
      <c r="K254" s="33"/>
      <c r="L254" s="33"/>
      <c r="M254" s="33" t="s">
        <v>538</v>
      </c>
      <c r="N254" s="33"/>
      <c r="O254" s="79">
        <v>843706549.01999998</v>
      </c>
      <c r="P254" s="32">
        <v>709498974.88999999</v>
      </c>
      <c r="Q254" s="79">
        <v>634634957.46000004</v>
      </c>
      <c r="R254" s="32">
        <v>484100049.81999999</v>
      </c>
      <c r="S254" s="32">
        <v>456797181.99000001</v>
      </c>
    </row>
    <row r="255" spans="1:19" s="32" customFormat="1" x14ac:dyDescent="0.2">
      <c r="O255" s="39">
        <f>O254-O252</f>
        <v>0</v>
      </c>
      <c r="P255" s="39">
        <f t="shared" ref="P255" si="41">P254-P252</f>
        <v>0</v>
      </c>
      <c r="Q255" s="39">
        <f>Q254-Q252</f>
        <v>-124183035.4799999</v>
      </c>
      <c r="R255" s="39">
        <f t="shared" ref="R255:S255" si="42">R254-R252</f>
        <v>0</v>
      </c>
      <c r="S255" s="39">
        <f t="shared" si="42"/>
        <v>0</v>
      </c>
    </row>
    <row r="256" spans="1:19" s="32" customFormat="1" x14ac:dyDescent="0.2">
      <c r="N256" s="80">
        <v>857</v>
      </c>
      <c r="O256" s="39">
        <f>O184+O167+O166+O165+O140</f>
        <v>1090243</v>
      </c>
      <c r="P256" s="39">
        <f>P184+P167+P166+P165+P140</f>
        <v>1090242.57</v>
      </c>
      <c r="Q256" s="39">
        <f>Q184+Q167+Q166+Q165+Q140</f>
        <v>1294200</v>
      </c>
      <c r="R256" s="39">
        <f>R184+R167+R166+R165+R140</f>
        <v>1294200</v>
      </c>
      <c r="S256" s="39">
        <f>S184+S167+S166+S165+S140</f>
        <v>1294200</v>
      </c>
    </row>
    <row r="257" spans="11:20" s="32" customFormat="1" x14ac:dyDescent="0.2">
      <c r="K257" s="33"/>
      <c r="L257" s="33"/>
      <c r="M257" s="33"/>
      <c r="N257" s="33" t="s">
        <v>290</v>
      </c>
      <c r="O257" s="34"/>
      <c r="P257" s="34"/>
      <c r="Q257" s="34"/>
      <c r="R257" s="34"/>
      <c r="S257" s="34"/>
    </row>
    <row r="258" spans="11:20" s="32" customFormat="1" x14ac:dyDescent="0.2">
      <c r="K258" s="33"/>
      <c r="L258" s="33"/>
      <c r="M258" s="33"/>
      <c r="N258" s="33" t="s">
        <v>274</v>
      </c>
      <c r="O258" s="34"/>
      <c r="P258" s="34"/>
      <c r="Q258" s="34"/>
      <c r="R258" s="34"/>
      <c r="S258" s="34"/>
    </row>
    <row r="259" spans="11:20" s="32" customFormat="1" x14ac:dyDescent="0.2">
      <c r="K259" s="33"/>
      <c r="L259" s="33"/>
      <c r="M259" s="33"/>
      <c r="N259" s="33" t="s">
        <v>276</v>
      </c>
      <c r="O259" s="34"/>
      <c r="P259" s="34"/>
      <c r="Q259" s="34"/>
      <c r="R259" s="34"/>
      <c r="S259" s="34"/>
    </row>
    <row r="260" spans="11:20" s="32" customFormat="1" ht="51" customHeight="1" x14ac:dyDescent="0.2">
      <c r="K260" s="33"/>
      <c r="L260" s="33"/>
      <c r="M260" s="33"/>
      <c r="N260" s="33" t="s">
        <v>270</v>
      </c>
      <c r="O260" s="34"/>
      <c r="P260" s="34"/>
      <c r="Q260" s="34"/>
      <c r="R260" s="34"/>
      <c r="S260" s="34"/>
      <c r="T260" s="36"/>
    </row>
    <row r="261" spans="11:20" s="32" customFormat="1" x14ac:dyDescent="0.2">
      <c r="K261" s="33"/>
      <c r="L261" s="33"/>
      <c r="M261" s="33"/>
      <c r="N261" s="33"/>
      <c r="O261" s="34"/>
      <c r="P261" s="34"/>
      <c r="Q261" s="34"/>
      <c r="R261" s="34"/>
      <c r="S261" s="34"/>
      <c r="T261" s="36"/>
    </row>
    <row r="262" spans="11:20" s="32" customFormat="1" hidden="1" x14ac:dyDescent="0.2">
      <c r="K262" s="33"/>
      <c r="L262" s="33"/>
      <c r="M262" s="33"/>
      <c r="N262" s="33"/>
      <c r="T262" s="36"/>
    </row>
    <row r="263" spans="11:20" s="32" customFormat="1" hidden="1" x14ac:dyDescent="0.2">
      <c r="K263" s="33"/>
      <c r="L263" s="33"/>
      <c r="M263" s="33"/>
      <c r="N263" s="32" t="s">
        <v>519</v>
      </c>
      <c r="T263" s="36"/>
    </row>
    <row r="264" spans="11:20" s="32" customFormat="1" hidden="1" x14ac:dyDescent="0.2">
      <c r="K264" s="33"/>
      <c r="L264" s="33"/>
      <c r="M264" s="33"/>
      <c r="N264" s="33"/>
      <c r="T264" s="36"/>
    </row>
    <row r="265" spans="11:20" s="36" customFormat="1" hidden="1" x14ac:dyDescent="0.2">
      <c r="K265" s="37"/>
      <c r="L265" s="37"/>
      <c r="M265" s="33"/>
      <c r="N265" s="33"/>
      <c r="O265" s="32"/>
      <c r="P265" s="32"/>
      <c r="Q265" s="34"/>
      <c r="R265" s="34"/>
      <c r="S265" s="34"/>
    </row>
    <row r="266" spans="11:20" s="36" customFormat="1" ht="18" customHeight="1" x14ac:dyDescent="0.2">
      <c r="K266" s="37"/>
      <c r="L266" s="37"/>
      <c r="M266" s="33"/>
      <c r="N266" s="33"/>
      <c r="O266" s="32"/>
      <c r="P266" s="32"/>
      <c r="Q266" s="32"/>
      <c r="R266" s="32"/>
      <c r="S266" s="32"/>
    </row>
    <row r="267" spans="11:20" s="36" customFormat="1" x14ac:dyDescent="0.2">
      <c r="K267" s="37"/>
      <c r="L267" s="37"/>
      <c r="M267" s="33"/>
      <c r="N267" s="33"/>
      <c r="O267" s="32"/>
      <c r="P267" s="32"/>
      <c r="Q267" s="34"/>
      <c r="R267" s="34"/>
      <c r="S267" s="34"/>
    </row>
    <row r="268" spans="11:20" s="32" customFormat="1" x14ac:dyDescent="0.2">
      <c r="K268" s="33"/>
      <c r="L268" s="33"/>
      <c r="M268" s="33"/>
      <c r="N268" s="33"/>
      <c r="Q268" s="34"/>
      <c r="R268" s="34"/>
      <c r="S268" s="34"/>
      <c r="T268" s="36"/>
    </row>
    <row r="269" spans="11:20" s="32" customFormat="1" x14ac:dyDescent="0.2">
      <c r="K269" s="33"/>
      <c r="L269" s="33"/>
      <c r="M269" s="33"/>
      <c r="N269" s="33"/>
      <c r="Q269" s="34"/>
      <c r="T269" s="36"/>
    </row>
    <row r="270" spans="11:20" s="32" customFormat="1" x14ac:dyDescent="0.2">
      <c r="K270" s="33"/>
      <c r="L270" s="33"/>
      <c r="M270" s="33"/>
      <c r="N270" s="33"/>
      <c r="T270" s="36"/>
    </row>
    <row r="271" spans="11:20" s="32" customFormat="1" x14ac:dyDescent="0.2">
      <c r="K271" s="33"/>
      <c r="L271" s="33"/>
      <c r="M271" s="33"/>
      <c r="N271" s="33"/>
      <c r="T271" s="36"/>
    </row>
    <row r="272" spans="11:20" s="32" customFormat="1" x14ac:dyDescent="0.2">
      <c r="K272" s="33"/>
      <c r="L272" s="33"/>
      <c r="M272" s="33"/>
      <c r="N272" s="33"/>
      <c r="T272" s="36"/>
    </row>
    <row r="273" spans="11:20" s="32" customFormat="1" x14ac:dyDescent="0.2">
      <c r="K273" s="33"/>
      <c r="L273" s="33"/>
      <c r="M273" s="33"/>
      <c r="N273" s="33"/>
      <c r="T273" s="36"/>
    </row>
    <row r="274" spans="11:20" s="32" customFormat="1" x14ac:dyDescent="0.2">
      <c r="K274" s="33"/>
      <c r="L274" s="33"/>
      <c r="M274" s="33"/>
      <c r="N274" s="33"/>
      <c r="Q274" s="34"/>
      <c r="R274" s="34"/>
      <c r="S274" s="34"/>
      <c r="T274" s="36"/>
    </row>
    <row r="275" spans="11:20" s="32" customFormat="1" x14ac:dyDescent="0.2">
      <c r="K275" s="33"/>
      <c r="L275" s="33"/>
      <c r="M275" s="33"/>
      <c r="N275" s="33" t="s">
        <v>270</v>
      </c>
      <c r="O275" s="34">
        <f>O13+O14+O15+O16+O17+O18+O19+O20+O21+O23+O30+O32+O61+O109+O111+O112+O113+O121+O141+O142+O143+O144+O147+O168+O169+O170+O171+O172+O174+O175+O176+O177+O185+O186+O190+O191+O194+O196+O197+O198+O199+O202+O203+O204+O205+O208+O209+O210+O211+O212+O213+O214+O215+O216+O219+O223+O233+O245+O246+O247+O248</f>
        <v>66180062.620000005</v>
      </c>
      <c r="P275" s="34">
        <f>P13+P14+P15+P16+P17+P18+P19+P20+P21+P23+P30+P32+P61+P109+P111+P112+P113+P121+P141+P142+P143+P144+P147+P168+P169+P170+P171+P172+P174+P175+P176+P177+P185+P186+P190+P191+P194+P196+P197+P198+P199+P202+P203+P204+P205+P208+P209+P210+P211+P212+P213+P214+P215+P216+P219+P223+P233+P245+P246+P247+P248</f>
        <v>62777857.020000003</v>
      </c>
      <c r="Q275" s="34">
        <f>Q13+Q14+Q15+Q16+Q17+Q18+Q19+Q20+Q21+Q23+Q30+Q32+Q61+Q109+Q111+Q112+Q113+Q121+Q141+Q142+Q143+Q144+Q147+Q168+Q169+Q170+Q171+Q172+Q174+Q175+Q176+Q177+Q185+Q186+Q190+Q191+Q194+Q196+Q197+Q198+Q199+Q202+Q203+Q204+Q205+Q208+Q209+Q210+Q211+Q212+Q213+Q214+Q215+Q216+Q219+Q223+Q233+Q245+Q246+Q247+Q248</f>
        <v>73456079.829999998</v>
      </c>
      <c r="R275" s="34">
        <f>R13+R14+R15+R16+R17+R18+R19+R20+R21+R23+R30+R32+R61+R109+R111+R112+R113+R121+R141+R142+R143+R144+R147+R168+R169+R170+R171+R172+R174+R175+R176+R177+R185+R186+R190+R191+R194+R196+R197+R198+R199+R202+R203+R204+R205+R208+R209+R210+R211+R212+R213+R214+R215+R216+R219+R223+R233+R245+R246+R247+R248</f>
        <v>68725742.560000002</v>
      </c>
      <c r="S275" s="34">
        <f>S13+S14+S15+S16+S17+S18+S19+S20+S21+S23+S30+S32+S61+S109+S111+S112+S113+S121+S141+S142+S143+S144+S147+S168+S169+S170+S171+S172+S174+S175+S176+S177+S185+S186+S190+S191+S194+S196+S197+S198+S199+S202+S203+S204+S205+S208+S209+S210+S211+S212+S213+S214+S215+S216+S219+S223+S233+S245+S246+S247+S248</f>
        <v>69245835.560000002</v>
      </c>
      <c r="T275" s="36"/>
    </row>
    <row r="276" spans="11:20" s="32" customFormat="1" x14ac:dyDescent="0.2">
      <c r="K276" s="33"/>
      <c r="L276" s="33"/>
      <c r="M276" s="33"/>
      <c r="N276" s="33"/>
      <c r="T276" s="36"/>
    </row>
    <row r="277" spans="11:20" s="32" customFormat="1" x14ac:dyDescent="0.2">
      <c r="K277" s="33"/>
      <c r="L277" s="33"/>
      <c r="M277" s="33"/>
      <c r="N277" s="33" t="s">
        <v>276</v>
      </c>
      <c r="O277" s="34">
        <f>O33+O38+O50+O65+O69+O70+O107+O110+O156+O178+O188+O206+O217+O218+O221+O225+O230+O232+O235+O237+O239</f>
        <v>312212352.13</v>
      </c>
      <c r="P277" s="34">
        <f>P33+P38+P50+P65+P69+P70+P107+P110+P156+P178+P188+P206+P217+P218+P221+P225+P230+P232+P235+P237+P239</f>
        <v>300106669.58000004</v>
      </c>
      <c r="Q277" s="34">
        <f>Q33+Q38+Q50+Q65+Q69+Q70+Q107+Q110+Q156+Q178+Q188+Q206+Q217+Q218+Q221+Q225+Q230+Q232+Q235+Q237+Q239</f>
        <v>291183353.98000002</v>
      </c>
      <c r="R277" s="34">
        <f>R33+R38+R50+R65+R69+R70+R107+R110+R156+R178+R188+R206+R217+R218+R221+R225+R230+R232+R235+R237+R239</f>
        <v>274616252.19999999</v>
      </c>
      <c r="S277" s="34">
        <f>S33+S38+S50+S65+S69+S70+S107+S110+S156+S178+S188+S206+S217+S218+S221+S225+S230+S232+S235+S237+S239</f>
        <v>273730090.88</v>
      </c>
      <c r="T277" s="36"/>
    </row>
    <row r="278" spans="11:20" s="32" customFormat="1" x14ac:dyDescent="0.2">
      <c r="K278" s="33"/>
      <c r="L278" s="33"/>
      <c r="M278" s="33"/>
      <c r="N278" s="33"/>
      <c r="T278" s="36"/>
    </row>
    <row r="279" spans="11:20" s="32" customFormat="1" x14ac:dyDescent="0.2">
      <c r="K279" s="33"/>
      <c r="L279" s="33"/>
      <c r="M279" s="33"/>
      <c r="N279" s="33" t="s">
        <v>274</v>
      </c>
      <c r="O279" s="34">
        <f>O31+O139+O158+O180+O181+O182+O242+O250</f>
        <v>16348879.199999999</v>
      </c>
      <c r="P279" s="34">
        <f>P31+P139+P158+P180+P181+P182+P242+P250</f>
        <v>15449867.42</v>
      </c>
      <c r="Q279" s="34">
        <f>Q31+Q139+Q158+Q180+Q181+Q182+Q242+Q250</f>
        <v>17144100</v>
      </c>
      <c r="R279" s="34">
        <f>R31+R139+R158+R180+R181+R182+R242+R250</f>
        <v>11203900</v>
      </c>
      <c r="S279" s="34">
        <f>S31+S139+S158+S180+S181+S182+S242+S250</f>
        <v>11203900</v>
      </c>
    </row>
    <row r="280" spans="11:20" s="32" customFormat="1" x14ac:dyDescent="0.2">
      <c r="K280" s="33"/>
      <c r="L280" s="33"/>
      <c r="M280" s="33"/>
      <c r="N280" s="33"/>
    </row>
    <row r="281" spans="11:20" s="32" customFormat="1" x14ac:dyDescent="0.2">
      <c r="K281" s="33"/>
      <c r="L281" s="33"/>
      <c r="M281" s="33"/>
      <c r="N281" s="33"/>
    </row>
    <row r="282" spans="11:20" s="32" customFormat="1" x14ac:dyDescent="0.2">
      <c r="K282" s="33"/>
      <c r="L282" s="33"/>
      <c r="M282" s="33"/>
      <c r="N282" s="33"/>
    </row>
    <row r="283" spans="11:20" s="32" customFormat="1" x14ac:dyDescent="0.2">
      <c r="K283" s="33"/>
      <c r="L283" s="33"/>
      <c r="M283" s="33"/>
      <c r="N283" s="37"/>
      <c r="O283" s="36"/>
      <c r="P283" s="36"/>
      <c r="Q283" s="36"/>
      <c r="R283" s="36"/>
      <c r="S283" s="36"/>
    </row>
    <row r="284" spans="11:20" s="32" customFormat="1" x14ac:dyDescent="0.2">
      <c r="K284" s="33"/>
      <c r="L284" s="33"/>
      <c r="M284" s="33"/>
      <c r="N284" s="37"/>
      <c r="O284" s="36"/>
      <c r="P284" s="36"/>
      <c r="Q284" s="36"/>
      <c r="R284" s="36"/>
      <c r="S284" s="36"/>
    </row>
    <row r="285" spans="11:20" s="32" customFormat="1" x14ac:dyDescent="0.2">
      <c r="K285" s="33"/>
      <c r="L285" s="33"/>
      <c r="M285" s="33"/>
      <c r="N285" s="37"/>
      <c r="O285" s="36"/>
      <c r="P285" s="36"/>
      <c r="Q285" s="36"/>
      <c r="R285" s="36"/>
      <c r="S285" s="36"/>
    </row>
    <row r="286" spans="11:20" s="32" customFormat="1" x14ac:dyDescent="0.2">
      <c r="K286" s="33"/>
      <c r="L286" s="33"/>
      <c r="M286" s="33"/>
      <c r="N286" s="37"/>
      <c r="O286" s="36"/>
      <c r="P286" s="36"/>
      <c r="Q286" s="35"/>
      <c r="R286" s="36"/>
      <c r="S286" s="36"/>
    </row>
    <row r="287" spans="11:20" s="32" customFormat="1" x14ac:dyDescent="0.2">
      <c r="K287" s="33"/>
      <c r="L287" s="33"/>
      <c r="M287" s="33"/>
      <c r="N287" s="37"/>
      <c r="O287" s="36"/>
      <c r="P287" s="36"/>
      <c r="Q287" s="36"/>
      <c r="R287" s="36"/>
      <c r="S287" s="36"/>
    </row>
    <row r="288" spans="11:20" s="32" customFormat="1" x14ac:dyDescent="0.2">
      <c r="K288" s="33"/>
      <c r="L288" s="33"/>
      <c r="M288" s="33"/>
      <c r="N288" s="37"/>
      <c r="O288" s="36"/>
      <c r="P288" s="36"/>
      <c r="Q288" s="36"/>
      <c r="R288" s="36"/>
      <c r="S288" s="36"/>
    </row>
    <row r="289" spans="10:19" s="32" customFormat="1" x14ac:dyDescent="0.2">
      <c r="K289" s="33"/>
      <c r="L289" s="33"/>
      <c r="M289" s="33"/>
      <c r="N289" s="37"/>
      <c r="O289" s="36"/>
      <c r="P289" s="36"/>
      <c r="Q289" s="36"/>
      <c r="R289" s="36"/>
      <c r="S289" s="36"/>
    </row>
    <row r="290" spans="10:19" s="32" customFormat="1" x14ac:dyDescent="0.2">
      <c r="K290" s="33"/>
      <c r="L290" s="33"/>
      <c r="M290" s="33"/>
      <c r="N290" s="37"/>
      <c r="O290" s="36"/>
      <c r="P290" s="36"/>
      <c r="Q290" s="36"/>
      <c r="R290" s="36"/>
      <c r="S290" s="36"/>
    </row>
    <row r="291" spans="10:19" s="32" customFormat="1" x14ac:dyDescent="0.2">
      <c r="K291" s="33"/>
      <c r="L291" s="33"/>
      <c r="M291" s="33"/>
      <c r="N291" s="37"/>
      <c r="O291" s="36"/>
      <c r="P291" s="36"/>
      <c r="Q291" s="36"/>
      <c r="R291" s="36"/>
      <c r="S291" s="36"/>
    </row>
    <row r="292" spans="10:19" s="32" customFormat="1" x14ac:dyDescent="0.2">
      <c r="K292" s="33"/>
      <c r="L292" s="33"/>
      <c r="M292" s="33"/>
      <c r="N292" s="37"/>
      <c r="O292" s="36"/>
      <c r="P292" s="36"/>
      <c r="Q292" s="36"/>
      <c r="R292" s="36"/>
      <c r="S292" s="36"/>
    </row>
    <row r="293" spans="10:19" s="32" customFormat="1" x14ac:dyDescent="0.2">
      <c r="K293" s="33"/>
      <c r="L293" s="33"/>
      <c r="M293" s="33"/>
      <c r="N293" s="37"/>
      <c r="O293" s="36"/>
      <c r="P293" s="36"/>
      <c r="Q293" s="36"/>
      <c r="R293" s="36"/>
      <c r="S293" s="36"/>
    </row>
    <row r="294" spans="10:19" s="32" customFormat="1" x14ac:dyDescent="0.2">
      <c r="K294" s="33"/>
      <c r="L294" s="33"/>
      <c r="M294" s="33"/>
      <c r="N294" s="37"/>
      <c r="O294" s="36"/>
      <c r="P294" s="36"/>
      <c r="Q294" s="36"/>
      <c r="R294" s="36"/>
      <c r="S294" s="36"/>
    </row>
    <row r="295" spans="10:19" s="32" customFormat="1" x14ac:dyDescent="0.2">
      <c r="K295" s="33"/>
      <c r="L295" s="33"/>
      <c r="M295" s="33"/>
      <c r="N295" s="33"/>
    </row>
    <row r="296" spans="10:19" s="32" customFormat="1" x14ac:dyDescent="0.2">
      <c r="K296" s="33"/>
      <c r="L296" s="33"/>
      <c r="M296" s="33"/>
      <c r="N296" s="33"/>
    </row>
    <row r="297" spans="10:19" s="32" customFormat="1" x14ac:dyDescent="0.2">
      <c r="K297" s="33"/>
      <c r="L297" s="33"/>
      <c r="M297" s="33"/>
      <c r="N297" s="33"/>
    </row>
    <row r="298" spans="10:19" s="32" customFormat="1" x14ac:dyDescent="0.2">
      <c r="K298" s="33"/>
      <c r="L298" s="33"/>
      <c r="M298" s="33"/>
      <c r="N298" s="33"/>
    </row>
    <row r="299" spans="10:19" s="32" customFormat="1" x14ac:dyDescent="0.2">
      <c r="J299" s="36"/>
      <c r="K299" s="37"/>
      <c r="L299" s="37"/>
      <c r="M299" s="37"/>
      <c r="N299" s="37"/>
      <c r="O299" s="36"/>
      <c r="P299" s="36"/>
      <c r="Q299" s="36"/>
      <c r="R299" s="36"/>
      <c r="S299" s="36"/>
    </row>
    <row r="300" spans="10:19" s="32" customFormat="1" x14ac:dyDescent="0.2">
      <c r="J300" s="36"/>
      <c r="K300" s="37"/>
      <c r="L300" s="37"/>
      <c r="M300" s="37"/>
      <c r="N300" s="37"/>
      <c r="O300" s="36"/>
      <c r="P300" s="36"/>
      <c r="Q300" s="36"/>
      <c r="R300" s="36"/>
      <c r="S300" s="36"/>
    </row>
    <row r="301" spans="10:19" s="32" customFormat="1" x14ac:dyDescent="0.2">
      <c r="J301" s="36"/>
      <c r="K301" s="37"/>
      <c r="L301" s="37"/>
      <c r="M301" s="37"/>
      <c r="N301" s="37"/>
      <c r="O301" s="36"/>
      <c r="P301" s="36"/>
      <c r="Q301" s="36"/>
      <c r="R301" s="36"/>
      <c r="S301" s="36"/>
    </row>
    <row r="302" spans="10:19" s="32" customFormat="1" x14ac:dyDescent="0.2">
      <c r="J302" s="36"/>
      <c r="K302" s="37"/>
      <c r="L302" s="37"/>
      <c r="M302" s="37"/>
      <c r="N302" s="37"/>
      <c r="O302" s="36"/>
      <c r="P302" s="36"/>
      <c r="Q302" s="36"/>
      <c r="R302" s="36"/>
      <c r="S302" s="36"/>
    </row>
    <row r="303" spans="10:19" s="32" customFormat="1" x14ac:dyDescent="0.2">
      <c r="J303" s="36"/>
      <c r="K303" s="37"/>
      <c r="L303" s="37"/>
      <c r="M303" s="37"/>
      <c r="N303" s="37"/>
      <c r="O303" s="36"/>
      <c r="P303" s="36"/>
      <c r="Q303" s="36"/>
      <c r="R303" s="36"/>
      <c r="S303" s="36"/>
    </row>
    <row r="304" spans="10:19" s="32" customFormat="1" x14ac:dyDescent="0.2">
      <c r="J304" s="36"/>
      <c r="K304" s="37"/>
      <c r="L304" s="37"/>
      <c r="M304" s="37"/>
      <c r="N304" s="37"/>
      <c r="O304" s="36"/>
      <c r="P304" s="36"/>
      <c r="Q304" s="36"/>
      <c r="R304" s="36"/>
      <c r="S304" s="36"/>
    </row>
    <row r="305" spans="10:19" s="32" customFormat="1" x14ac:dyDescent="0.2">
      <c r="J305" s="36"/>
      <c r="K305" s="37"/>
      <c r="L305" s="37"/>
      <c r="M305" s="37"/>
      <c r="N305" s="37"/>
      <c r="O305" s="36"/>
      <c r="P305" s="36"/>
      <c r="Q305" s="36"/>
      <c r="R305" s="36"/>
      <c r="S305" s="36"/>
    </row>
    <row r="306" spans="10:19" s="32" customFormat="1" x14ac:dyDescent="0.2">
      <c r="J306" s="36"/>
      <c r="K306" s="37"/>
      <c r="L306" s="37"/>
      <c r="M306" s="37"/>
      <c r="N306" s="37"/>
      <c r="O306" s="36"/>
      <c r="P306" s="36"/>
      <c r="Q306" s="36"/>
      <c r="R306" s="36"/>
      <c r="S306" s="36"/>
    </row>
    <row r="307" spans="10:19" s="32" customFormat="1" x14ac:dyDescent="0.2">
      <c r="K307" s="33"/>
      <c r="L307" s="33"/>
      <c r="M307" s="33"/>
      <c r="N307" s="33"/>
    </row>
    <row r="308" spans="10:19" s="32" customFormat="1" x14ac:dyDescent="0.2">
      <c r="K308" s="33"/>
      <c r="L308" s="33"/>
      <c r="M308" s="33"/>
      <c r="N308" s="33"/>
    </row>
    <row r="309" spans="10:19" s="32" customFormat="1" x14ac:dyDescent="0.2">
      <c r="K309" s="33"/>
      <c r="L309" s="33"/>
      <c r="M309" s="33"/>
      <c r="N309" s="33"/>
    </row>
    <row r="310" spans="10:19" s="32" customFormat="1" x14ac:dyDescent="0.2">
      <c r="K310" s="33"/>
      <c r="L310" s="33"/>
      <c r="M310" s="33"/>
      <c r="N310" s="33"/>
    </row>
    <row r="311" spans="10:19" s="32" customFormat="1" x14ac:dyDescent="0.2">
      <c r="K311" s="33"/>
      <c r="L311" s="33"/>
      <c r="M311" s="33"/>
      <c r="N311" s="33"/>
    </row>
    <row r="312" spans="10:19" s="32" customFormat="1" x14ac:dyDescent="0.2">
      <c r="K312" s="33"/>
      <c r="L312" s="33"/>
      <c r="M312" s="33"/>
      <c r="N312" s="33"/>
    </row>
    <row r="313" spans="10:19" s="32" customFormat="1" x14ac:dyDescent="0.2">
      <c r="K313" s="33"/>
      <c r="L313" s="33"/>
      <c r="M313" s="33"/>
      <c r="N313" s="33"/>
    </row>
    <row r="314" spans="10:19" s="32" customFormat="1" x14ac:dyDescent="0.2">
      <c r="K314" s="33"/>
      <c r="L314" s="33"/>
      <c r="M314" s="33"/>
      <c r="N314" s="33"/>
    </row>
    <row r="315" spans="10:19" s="32" customFormat="1" x14ac:dyDescent="0.2">
      <c r="K315" s="33"/>
      <c r="L315" s="33"/>
      <c r="M315" s="33"/>
      <c r="N315" s="33"/>
    </row>
    <row r="316" spans="10:19" s="32" customFormat="1" x14ac:dyDescent="0.2">
      <c r="K316" s="33"/>
      <c r="L316" s="33"/>
      <c r="M316" s="33"/>
      <c r="N316" s="33"/>
    </row>
    <row r="317" spans="10:19" s="32" customFormat="1" x14ac:dyDescent="0.2">
      <c r="K317" s="33"/>
      <c r="L317" s="33"/>
      <c r="M317" s="33"/>
      <c r="N317" s="33"/>
    </row>
    <row r="318" spans="10:19" s="32" customFormat="1" x14ac:dyDescent="0.2">
      <c r="K318" s="33"/>
      <c r="L318" s="33"/>
      <c r="M318" s="33"/>
      <c r="N318" s="33"/>
    </row>
    <row r="319" spans="10:19" s="32" customFormat="1" x14ac:dyDescent="0.2">
      <c r="K319" s="33"/>
      <c r="L319" s="33"/>
      <c r="M319" s="33"/>
      <c r="N319" s="33"/>
    </row>
    <row r="320" spans="10:19" s="32" customFormat="1" x14ac:dyDescent="0.2">
      <c r="K320" s="33"/>
      <c r="L320" s="33"/>
      <c r="M320" s="33"/>
      <c r="N320" s="33"/>
    </row>
    <row r="321" spans="11:14" s="32" customFormat="1" x14ac:dyDescent="0.2">
      <c r="K321" s="33"/>
      <c r="L321" s="33"/>
      <c r="M321" s="33"/>
      <c r="N321" s="33"/>
    </row>
    <row r="322" spans="11:14" s="32" customFormat="1" x14ac:dyDescent="0.2">
      <c r="K322" s="33"/>
      <c r="L322" s="33"/>
      <c r="M322" s="33"/>
      <c r="N322" s="33"/>
    </row>
    <row r="323" spans="11:14" s="32" customFormat="1" x14ac:dyDescent="0.2">
      <c r="K323" s="33"/>
      <c r="L323" s="33"/>
      <c r="M323" s="33"/>
      <c r="N323" s="33"/>
    </row>
    <row r="324" spans="11:14" s="32" customFormat="1" x14ac:dyDescent="0.2">
      <c r="K324" s="33"/>
      <c r="L324" s="33"/>
      <c r="M324" s="33"/>
      <c r="N324" s="33"/>
    </row>
    <row r="325" spans="11:14" s="32" customFormat="1" x14ac:dyDescent="0.2">
      <c r="K325" s="33"/>
      <c r="L325" s="33"/>
      <c r="M325" s="33"/>
      <c r="N325" s="33"/>
    </row>
    <row r="326" spans="11:14" s="32" customFormat="1" x14ac:dyDescent="0.2">
      <c r="K326" s="33"/>
      <c r="L326" s="33"/>
      <c r="M326" s="33"/>
      <c r="N326" s="33"/>
    </row>
    <row r="327" spans="11:14" s="32" customFormat="1" x14ac:dyDescent="0.2">
      <c r="K327" s="33"/>
      <c r="L327" s="33"/>
      <c r="M327" s="33"/>
      <c r="N327" s="33"/>
    </row>
    <row r="328" spans="11:14" s="32" customFormat="1" x14ac:dyDescent="0.2">
      <c r="K328" s="33"/>
      <c r="L328" s="33"/>
      <c r="M328" s="33"/>
      <c r="N328" s="33"/>
    </row>
    <row r="329" spans="11:14" s="32" customFormat="1" x14ac:dyDescent="0.2">
      <c r="K329" s="33"/>
      <c r="L329" s="33"/>
      <c r="M329" s="33"/>
      <c r="N329" s="33"/>
    </row>
    <row r="330" spans="11:14" s="32" customFormat="1" x14ac:dyDescent="0.2">
      <c r="K330" s="33"/>
      <c r="L330" s="33"/>
      <c r="M330" s="33"/>
      <c r="N330" s="33"/>
    </row>
    <row r="331" spans="11:14" s="32" customFormat="1" x14ac:dyDescent="0.2">
      <c r="K331" s="33"/>
      <c r="L331" s="33"/>
      <c r="M331" s="33"/>
      <c r="N331" s="33"/>
    </row>
    <row r="332" spans="11:14" s="32" customFormat="1" x14ac:dyDescent="0.2">
      <c r="K332" s="33"/>
      <c r="L332" s="33"/>
      <c r="M332" s="33"/>
      <c r="N332" s="33"/>
    </row>
    <row r="333" spans="11:14" s="32" customFormat="1" x14ac:dyDescent="0.2">
      <c r="K333" s="33"/>
      <c r="L333" s="33"/>
      <c r="M333" s="33"/>
      <c r="N333" s="33"/>
    </row>
    <row r="334" spans="11:14" s="32" customFormat="1" x14ac:dyDescent="0.2">
      <c r="K334" s="33"/>
      <c r="L334" s="33"/>
      <c r="M334" s="33"/>
      <c r="N334" s="33"/>
    </row>
    <row r="335" spans="11:14" s="32" customFormat="1" x14ac:dyDescent="0.2">
      <c r="K335" s="33"/>
      <c r="L335" s="33"/>
      <c r="M335" s="33"/>
      <c r="N335" s="33"/>
    </row>
    <row r="336" spans="11:14" s="32" customFormat="1" x14ac:dyDescent="0.2">
      <c r="K336" s="33"/>
      <c r="L336" s="33"/>
      <c r="M336" s="33"/>
      <c r="N336" s="33"/>
    </row>
    <row r="337" spans="11:14" s="32" customFormat="1" x14ac:dyDescent="0.2">
      <c r="K337" s="33"/>
      <c r="L337" s="33"/>
      <c r="M337" s="33"/>
      <c r="N337" s="33"/>
    </row>
    <row r="338" spans="11:14" s="32" customFormat="1" x14ac:dyDescent="0.2">
      <c r="K338" s="33"/>
      <c r="L338" s="33"/>
      <c r="M338" s="33"/>
      <c r="N338" s="33"/>
    </row>
    <row r="339" spans="11:14" s="32" customFormat="1" x14ac:dyDescent="0.2">
      <c r="K339" s="33"/>
      <c r="L339" s="33"/>
      <c r="M339" s="33"/>
      <c r="N339" s="33"/>
    </row>
    <row r="340" spans="11:14" s="32" customFormat="1" x14ac:dyDescent="0.2">
      <c r="K340" s="33"/>
      <c r="L340" s="33"/>
      <c r="M340" s="33"/>
      <c r="N340" s="33"/>
    </row>
    <row r="341" spans="11:14" s="32" customFormat="1" x14ac:dyDescent="0.2">
      <c r="K341" s="33"/>
      <c r="L341" s="33"/>
      <c r="M341" s="33"/>
      <c r="N341" s="33"/>
    </row>
    <row r="342" spans="11:14" s="32" customFormat="1" x14ac:dyDescent="0.2">
      <c r="K342" s="33"/>
      <c r="L342" s="33"/>
      <c r="M342" s="33"/>
      <c r="N342" s="33"/>
    </row>
    <row r="343" spans="11:14" s="32" customFormat="1" x14ac:dyDescent="0.2">
      <c r="K343" s="33"/>
      <c r="L343" s="33"/>
      <c r="M343" s="33"/>
      <c r="N343" s="33"/>
    </row>
    <row r="344" spans="11:14" s="32" customFormat="1" x14ac:dyDescent="0.2">
      <c r="K344" s="33"/>
      <c r="L344" s="33"/>
      <c r="M344" s="33"/>
      <c r="N344" s="33"/>
    </row>
    <row r="345" spans="11:14" s="32" customFormat="1" x14ac:dyDescent="0.2">
      <c r="K345" s="33"/>
      <c r="L345" s="33"/>
      <c r="M345" s="33"/>
      <c r="N345" s="33"/>
    </row>
    <row r="346" spans="11:14" s="32" customFormat="1" x14ac:dyDescent="0.2">
      <c r="K346" s="33"/>
      <c r="L346" s="33"/>
      <c r="M346" s="33"/>
      <c r="N346" s="33"/>
    </row>
    <row r="347" spans="11:14" s="32" customFormat="1" x14ac:dyDescent="0.2">
      <c r="K347" s="33"/>
      <c r="L347" s="33"/>
      <c r="M347" s="33"/>
      <c r="N347" s="33"/>
    </row>
    <row r="348" spans="11:14" s="32" customFormat="1" x14ac:dyDescent="0.2">
      <c r="K348" s="33"/>
      <c r="L348" s="33"/>
      <c r="M348" s="33"/>
      <c r="N348" s="33"/>
    </row>
    <row r="349" spans="11:14" s="32" customFormat="1" x14ac:dyDescent="0.2">
      <c r="K349" s="33"/>
      <c r="L349" s="33"/>
      <c r="M349" s="33"/>
      <c r="N349" s="33"/>
    </row>
    <row r="350" spans="11:14" s="32" customFormat="1" x14ac:dyDescent="0.2">
      <c r="K350" s="33"/>
      <c r="L350" s="33"/>
      <c r="M350" s="33"/>
      <c r="N350" s="33"/>
    </row>
    <row r="351" spans="11:14" s="32" customFormat="1" x14ac:dyDescent="0.2">
      <c r="K351" s="33"/>
      <c r="L351" s="33"/>
      <c r="M351" s="33"/>
      <c r="N351" s="33"/>
    </row>
    <row r="352" spans="11:14" s="32" customFormat="1" x14ac:dyDescent="0.2">
      <c r="K352" s="33"/>
      <c r="L352" s="33"/>
      <c r="M352" s="33"/>
      <c r="N352" s="33"/>
    </row>
    <row r="353" spans="11:14" s="32" customFormat="1" x14ac:dyDescent="0.2">
      <c r="K353" s="33"/>
      <c r="L353" s="33"/>
      <c r="M353" s="33"/>
      <c r="N353" s="33"/>
    </row>
    <row r="354" spans="11:14" s="32" customFormat="1" x14ac:dyDescent="0.2">
      <c r="K354" s="33"/>
      <c r="L354" s="33"/>
      <c r="M354" s="33"/>
      <c r="N354" s="33"/>
    </row>
    <row r="355" spans="11:14" s="32" customFormat="1" x14ac:dyDescent="0.2">
      <c r="K355" s="33"/>
      <c r="L355" s="33"/>
      <c r="M355" s="33"/>
      <c r="N355" s="33"/>
    </row>
    <row r="356" spans="11:14" s="32" customFormat="1" x14ac:dyDescent="0.2">
      <c r="K356" s="33"/>
      <c r="L356" s="33"/>
      <c r="M356" s="33"/>
      <c r="N356" s="33"/>
    </row>
    <row r="357" spans="11:14" s="32" customFormat="1" x14ac:dyDescent="0.2">
      <c r="K357" s="33"/>
      <c r="L357" s="33"/>
      <c r="M357" s="33"/>
      <c r="N357" s="33"/>
    </row>
    <row r="358" spans="11:14" s="32" customFormat="1" x14ac:dyDescent="0.2">
      <c r="K358" s="33"/>
      <c r="L358" s="33"/>
      <c r="M358" s="33"/>
      <c r="N358" s="33"/>
    </row>
    <row r="359" spans="11:14" s="32" customFormat="1" x14ac:dyDescent="0.2">
      <c r="K359" s="33"/>
      <c r="L359" s="33"/>
      <c r="M359" s="33"/>
      <c r="N359" s="33"/>
    </row>
    <row r="360" spans="11:14" s="32" customFormat="1" x14ac:dyDescent="0.2">
      <c r="K360" s="33"/>
      <c r="L360" s="33"/>
      <c r="M360" s="33"/>
      <c r="N360" s="33"/>
    </row>
    <row r="361" spans="11:14" s="32" customFormat="1" x14ac:dyDescent="0.2">
      <c r="K361" s="33"/>
      <c r="L361" s="33"/>
      <c r="M361" s="33"/>
      <c r="N361" s="33"/>
    </row>
    <row r="362" spans="11:14" s="32" customFormat="1" x14ac:dyDescent="0.2">
      <c r="K362" s="33"/>
      <c r="L362" s="33"/>
      <c r="M362" s="33"/>
      <c r="N362" s="33"/>
    </row>
    <row r="363" spans="11:14" s="32" customFormat="1" x14ac:dyDescent="0.2">
      <c r="K363" s="33"/>
      <c r="L363" s="33"/>
      <c r="M363" s="33"/>
      <c r="N363" s="33"/>
    </row>
    <row r="364" spans="11:14" s="32" customFormat="1" x14ac:dyDescent="0.2">
      <c r="K364" s="33"/>
      <c r="L364" s="33"/>
      <c r="M364" s="33"/>
      <c r="N364" s="33"/>
    </row>
    <row r="365" spans="11:14" s="32" customFormat="1" x14ac:dyDescent="0.2">
      <c r="K365" s="33"/>
      <c r="L365" s="33"/>
      <c r="M365" s="33"/>
      <c r="N365" s="33"/>
    </row>
    <row r="366" spans="11:14" s="32" customFormat="1" x14ac:dyDescent="0.2">
      <c r="K366" s="33"/>
      <c r="L366" s="33"/>
      <c r="M366" s="33"/>
      <c r="N366" s="33"/>
    </row>
    <row r="367" spans="11:14" s="32" customFormat="1" x14ac:dyDescent="0.2">
      <c r="K367" s="33"/>
      <c r="L367" s="33"/>
      <c r="M367" s="33"/>
      <c r="N367" s="33"/>
    </row>
    <row r="368" spans="11:14" s="32" customFormat="1" x14ac:dyDescent="0.2">
      <c r="K368" s="33"/>
      <c r="L368" s="33"/>
      <c r="M368" s="33"/>
      <c r="N368" s="33"/>
    </row>
    <row r="369" spans="11:14" s="32" customFormat="1" x14ac:dyDescent="0.2">
      <c r="K369" s="33"/>
      <c r="L369" s="33"/>
      <c r="M369" s="33"/>
      <c r="N369" s="33"/>
    </row>
    <row r="370" spans="11:14" s="32" customFormat="1" x14ac:dyDescent="0.2">
      <c r="K370" s="33"/>
      <c r="L370" s="33"/>
      <c r="M370" s="33"/>
      <c r="N370" s="33"/>
    </row>
    <row r="371" spans="11:14" s="32" customFormat="1" x14ac:dyDescent="0.2">
      <c r="K371" s="33"/>
      <c r="L371" s="33"/>
      <c r="M371" s="33"/>
      <c r="N371" s="33"/>
    </row>
    <row r="372" spans="11:14" s="32" customFormat="1" x14ac:dyDescent="0.2">
      <c r="K372" s="33"/>
      <c r="L372" s="33"/>
      <c r="M372" s="33"/>
      <c r="N372" s="33"/>
    </row>
    <row r="373" spans="11:14" s="32" customFormat="1" x14ac:dyDescent="0.2">
      <c r="K373" s="33"/>
      <c r="L373" s="33"/>
      <c r="M373" s="33"/>
      <c r="N373" s="33"/>
    </row>
    <row r="374" spans="11:14" s="32" customFormat="1" x14ac:dyDescent="0.2">
      <c r="K374" s="33"/>
      <c r="L374" s="33"/>
      <c r="M374" s="33"/>
      <c r="N374" s="33"/>
    </row>
    <row r="375" spans="11:14" s="32" customFormat="1" x14ac:dyDescent="0.2">
      <c r="K375" s="33"/>
      <c r="L375" s="33"/>
      <c r="M375" s="33"/>
      <c r="N375" s="33"/>
    </row>
    <row r="376" spans="11:14" s="32" customFormat="1" x14ac:dyDescent="0.2">
      <c r="K376" s="33"/>
      <c r="L376" s="33"/>
      <c r="M376" s="33"/>
      <c r="N376" s="33"/>
    </row>
    <row r="377" spans="11:14" s="32" customFormat="1" x14ac:dyDescent="0.2">
      <c r="K377" s="33"/>
      <c r="L377" s="33"/>
      <c r="M377" s="33"/>
      <c r="N377" s="33"/>
    </row>
    <row r="378" spans="11:14" s="32" customFormat="1" x14ac:dyDescent="0.2">
      <c r="K378" s="33"/>
      <c r="L378" s="33"/>
      <c r="M378" s="33"/>
      <c r="N378" s="33"/>
    </row>
    <row r="379" spans="11:14" s="32" customFormat="1" x14ac:dyDescent="0.2">
      <c r="K379" s="33"/>
      <c r="L379" s="33"/>
      <c r="M379" s="33"/>
      <c r="N379" s="33"/>
    </row>
    <row r="380" spans="11:14" s="32" customFormat="1" x14ac:dyDescent="0.2">
      <c r="K380" s="33"/>
      <c r="L380" s="33"/>
      <c r="M380" s="33"/>
      <c r="N380" s="33"/>
    </row>
    <row r="381" spans="11:14" s="32" customFormat="1" x14ac:dyDescent="0.2">
      <c r="K381" s="33"/>
      <c r="L381" s="33"/>
      <c r="M381" s="33"/>
      <c r="N381" s="33"/>
    </row>
    <row r="382" spans="11:14" s="32" customFormat="1" x14ac:dyDescent="0.2">
      <c r="K382" s="33"/>
      <c r="L382" s="33"/>
      <c r="M382" s="33"/>
      <c r="N382" s="33"/>
    </row>
    <row r="383" spans="11:14" s="32" customFormat="1" x14ac:dyDescent="0.2">
      <c r="K383" s="33"/>
      <c r="L383" s="33"/>
      <c r="M383" s="33"/>
      <c r="N383" s="33"/>
    </row>
    <row r="384" spans="11:14" s="32" customFormat="1" x14ac:dyDescent="0.2">
      <c r="K384" s="33"/>
      <c r="L384" s="33"/>
      <c r="M384" s="33"/>
      <c r="N384" s="33"/>
    </row>
    <row r="385" spans="11:14" s="32" customFormat="1" x14ac:dyDescent="0.2">
      <c r="K385" s="33"/>
      <c r="L385" s="33"/>
      <c r="M385" s="33"/>
      <c r="N385" s="33"/>
    </row>
    <row r="386" spans="11:14" s="32" customFormat="1" x14ac:dyDescent="0.2">
      <c r="K386" s="33"/>
      <c r="L386" s="33"/>
      <c r="M386" s="33"/>
      <c r="N386" s="33"/>
    </row>
    <row r="387" spans="11:14" s="32" customFormat="1" x14ac:dyDescent="0.2">
      <c r="K387" s="33"/>
      <c r="L387" s="33"/>
      <c r="M387" s="33"/>
      <c r="N387" s="33"/>
    </row>
    <row r="388" spans="11:14" s="32" customFormat="1" x14ac:dyDescent="0.2">
      <c r="K388" s="33"/>
      <c r="L388" s="33"/>
      <c r="M388" s="33"/>
      <c r="N388" s="33"/>
    </row>
    <row r="389" spans="11:14" s="32" customFormat="1" x14ac:dyDescent="0.2">
      <c r="K389" s="33"/>
      <c r="L389" s="33"/>
      <c r="M389" s="33"/>
      <c r="N389" s="33"/>
    </row>
    <row r="390" spans="11:14" s="32" customFormat="1" x14ac:dyDescent="0.2">
      <c r="K390" s="33"/>
      <c r="L390" s="33"/>
      <c r="M390" s="33"/>
      <c r="N390" s="33"/>
    </row>
    <row r="391" spans="11:14" s="32" customFormat="1" x14ac:dyDescent="0.2">
      <c r="K391" s="33"/>
      <c r="L391" s="33"/>
      <c r="M391" s="33"/>
      <c r="N391" s="33"/>
    </row>
    <row r="392" spans="11:14" s="32" customFormat="1" x14ac:dyDescent="0.2">
      <c r="K392" s="33"/>
      <c r="L392" s="33"/>
      <c r="M392" s="33"/>
      <c r="N392" s="33"/>
    </row>
    <row r="393" spans="11:14" s="32" customFormat="1" x14ac:dyDescent="0.2">
      <c r="K393" s="33"/>
      <c r="L393" s="33"/>
      <c r="M393" s="33"/>
      <c r="N393" s="33"/>
    </row>
    <row r="394" spans="11:14" s="32" customFormat="1" x14ac:dyDescent="0.2">
      <c r="K394" s="33"/>
      <c r="L394" s="33"/>
      <c r="M394" s="33"/>
      <c r="N394" s="33"/>
    </row>
    <row r="395" spans="11:14" s="32" customFormat="1" x14ac:dyDescent="0.2">
      <c r="K395" s="33"/>
      <c r="L395" s="33"/>
      <c r="M395" s="33"/>
      <c r="N395" s="33"/>
    </row>
    <row r="396" spans="11:14" s="32" customFormat="1" x14ac:dyDescent="0.2">
      <c r="K396" s="33"/>
      <c r="L396" s="33"/>
      <c r="M396" s="33"/>
      <c r="N396" s="33"/>
    </row>
    <row r="397" spans="11:14" s="32" customFormat="1" x14ac:dyDescent="0.2">
      <c r="K397" s="33"/>
      <c r="L397" s="33"/>
      <c r="M397" s="33"/>
      <c r="N397" s="33"/>
    </row>
    <row r="398" spans="11:14" s="32" customFormat="1" x14ac:dyDescent="0.2">
      <c r="K398" s="33"/>
      <c r="L398" s="33"/>
      <c r="M398" s="33"/>
      <c r="N398" s="33"/>
    </row>
    <row r="399" spans="11:14" s="32" customFormat="1" x14ac:dyDescent="0.2">
      <c r="K399" s="33"/>
      <c r="L399" s="33"/>
      <c r="M399" s="33"/>
      <c r="N399" s="33"/>
    </row>
    <row r="400" spans="11:14" s="32" customFormat="1" x14ac:dyDescent="0.2">
      <c r="K400" s="33"/>
      <c r="L400" s="33"/>
      <c r="M400" s="33"/>
      <c r="N400" s="33"/>
    </row>
    <row r="401" spans="11:14" s="32" customFormat="1" x14ac:dyDescent="0.2">
      <c r="K401" s="33"/>
      <c r="L401" s="33"/>
      <c r="M401" s="33"/>
      <c r="N401" s="33"/>
    </row>
    <row r="402" spans="11:14" s="32" customFormat="1" x14ac:dyDescent="0.2">
      <c r="K402" s="33"/>
      <c r="L402" s="33"/>
      <c r="M402" s="33"/>
      <c r="N402" s="33"/>
    </row>
    <row r="403" spans="11:14" s="32" customFormat="1" x14ac:dyDescent="0.2">
      <c r="K403" s="33"/>
      <c r="L403" s="33"/>
      <c r="M403" s="33"/>
      <c r="N403" s="33"/>
    </row>
    <row r="404" spans="11:14" s="32" customFormat="1" x14ac:dyDescent="0.2">
      <c r="K404" s="33"/>
      <c r="L404" s="33"/>
      <c r="M404" s="33"/>
      <c r="N404" s="33"/>
    </row>
    <row r="405" spans="11:14" s="32" customFormat="1" x14ac:dyDescent="0.2">
      <c r="K405" s="33"/>
      <c r="L405" s="33"/>
      <c r="M405" s="33"/>
      <c r="N405" s="33"/>
    </row>
    <row r="406" spans="11:14" s="32" customFormat="1" x14ac:dyDescent="0.2">
      <c r="K406" s="33"/>
      <c r="L406" s="33"/>
      <c r="M406" s="33"/>
      <c r="N406" s="33"/>
    </row>
    <row r="407" spans="11:14" s="32" customFormat="1" x14ac:dyDescent="0.2">
      <c r="K407" s="33"/>
      <c r="L407" s="33"/>
      <c r="M407" s="33"/>
      <c r="N407" s="33"/>
    </row>
    <row r="408" spans="11:14" s="32" customFormat="1" x14ac:dyDescent="0.2">
      <c r="K408" s="33"/>
      <c r="L408" s="33"/>
      <c r="M408" s="33"/>
      <c r="N408" s="33"/>
    </row>
    <row r="409" spans="11:14" s="32" customFormat="1" x14ac:dyDescent="0.2">
      <c r="K409" s="33"/>
      <c r="L409" s="33"/>
      <c r="M409" s="33"/>
      <c r="N409" s="33"/>
    </row>
    <row r="410" spans="11:14" s="32" customFormat="1" x14ac:dyDescent="0.2">
      <c r="K410" s="33"/>
      <c r="L410" s="33"/>
      <c r="M410" s="33"/>
      <c r="N410" s="33"/>
    </row>
    <row r="411" spans="11:14" s="32" customFormat="1" x14ac:dyDescent="0.2">
      <c r="K411" s="33"/>
      <c r="L411" s="33"/>
      <c r="M411" s="33"/>
      <c r="N411" s="33"/>
    </row>
    <row r="412" spans="11:14" s="32" customFormat="1" x14ac:dyDescent="0.2">
      <c r="K412" s="33"/>
      <c r="L412" s="33"/>
      <c r="M412" s="33"/>
      <c r="N412" s="33"/>
    </row>
    <row r="413" spans="11:14" s="32" customFormat="1" x14ac:dyDescent="0.2">
      <c r="K413" s="33"/>
      <c r="L413" s="33"/>
      <c r="M413" s="33"/>
      <c r="N413" s="33"/>
    </row>
    <row r="414" spans="11:14" s="32" customFormat="1" x14ac:dyDescent="0.2">
      <c r="K414" s="33"/>
      <c r="L414" s="33"/>
      <c r="M414" s="33"/>
      <c r="N414" s="33"/>
    </row>
    <row r="415" spans="11:14" s="32" customFormat="1" x14ac:dyDescent="0.2">
      <c r="K415" s="33"/>
      <c r="L415" s="33"/>
      <c r="M415" s="33"/>
      <c r="N415" s="33"/>
    </row>
    <row r="416" spans="11:14" s="32" customFormat="1" x14ac:dyDescent="0.2">
      <c r="K416" s="33"/>
      <c r="L416" s="33"/>
      <c r="M416" s="33"/>
      <c r="N416" s="33"/>
    </row>
    <row r="417" spans="11:14" s="32" customFormat="1" x14ac:dyDescent="0.2">
      <c r="K417" s="33"/>
      <c r="L417" s="33"/>
      <c r="M417" s="33"/>
      <c r="N417" s="33"/>
    </row>
    <row r="418" spans="11:14" s="32" customFormat="1" x14ac:dyDescent="0.2">
      <c r="K418" s="33"/>
      <c r="L418" s="33"/>
      <c r="M418" s="33"/>
      <c r="N418" s="33"/>
    </row>
    <row r="419" spans="11:14" s="32" customFormat="1" x14ac:dyDescent="0.2">
      <c r="K419" s="33"/>
      <c r="L419" s="33"/>
      <c r="M419" s="33"/>
      <c r="N419" s="33"/>
    </row>
    <row r="420" spans="11:14" s="32" customFormat="1" x14ac:dyDescent="0.2">
      <c r="K420" s="33"/>
      <c r="L420" s="33"/>
      <c r="M420" s="33"/>
      <c r="N420" s="33"/>
    </row>
    <row r="421" spans="11:14" s="32" customFormat="1" x14ac:dyDescent="0.2">
      <c r="K421" s="33"/>
      <c r="L421" s="33"/>
      <c r="M421" s="33"/>
      <c r="N421" s="33"/>
    </row>
    <row r="422" spans="11:14" s="32" customFormat="1" x14ac:dyDescent="0.2">
      <c r="K422" s="33"/>
      <c r="L422" s="33"/>
      <c r="M422" s="33"/>
      <c r="N422" s="33"/>
    </row>
    <row r="423" spans="11:14" s="32" customFormat="1" x14ac:dyDescent="0.2">
      <c r="K423" s="33"/>
      <c r="L423" s="33"/>
      <c r="M423" s="33"/>
      <c r="N423" s="33"/>
    </row>
    <row r="424" spans="11:14" s="32" customFormat="1" x14ac:dyDescent="0.2">
      <c r="K424" s="33"/>
      <c r="L424" s="33"/>
      <c r="M424" s="33"/>
      <c r="N424" s="33"/>
    </row>
    <row r="425" spans="11:14" s="32" customFormat="1" x14ac:dyDescent="0.2">
      <c r="K425" s="33"/>
      <c r="L425" s="33"/>
      <c r="M425" s="33"/>
      <c r="N425" s="33"/>
    </row>
    <row r="426" spans="11:14" s="32" customFormat="1" x14ac:dyDescent="0.2">
      <c r="K426" s="33"/>
      <c r="L426" s="33"/>
      <c r="M426" s="33"/>
      <c r="N426" s="33"/>
    </row>
    <row r="427" spans="11:14" s="32" customFormat="1" x14ac:dyDescent="0.2">
      <c r="K427" s="33"/>
      <c r="L427" s="33"/>
      <c r="M427" s="33"/>
      <c r="N427" s="33"/>
    </row>
    <row r="428" spans="11:14" s="32" customFormat="1" x14ac:dyDescent="0.2">
      <c r="K428" s="33"/>
      <c r="L428" s="33"/>
      <c r="M428" s="33"/>
      <c r="N428" s="33"/>
    </row>
    <row r="429" spans="11:14" s="32" customFormat="1" x14ac:dyDescent="0.2">
      <c r="K429" s="33"/>
      <c r="L429" s="33"/>
      <c r="M429" s="33"/>
      <c r="N429" s="33"/>
    </row>
    <row r="430" spans="11:14" s="32" customFormat="1" x14ac:dyDescent="0.2">
      <c r="K430" s="33"/>
      <c r="L430" s="33"/>
      <c r="M430" s="33"/>
      <c r="N430" s="33"/>
    </row>
    <row r="431" spans="11:14" s="32" customFormat="1" x14ac:dyDescent="0.2">
      <c r="K431" s="33"/>
      <c r="L431" s="33"/>
      <c r="M431" s="33"/>
      <c r="N431" s="33"/>
    </row>
    <row r="432" spans="11:14" s="32" customFormat="1" x14ac:dyDescent="0.2">
      <c r="K432" s="33"/>
      <c r="L432" s="33"/>
      <c r="M432" s="33"/>
      <c r="N432" s="33"/>
    </row>
    <row r="433" spans="11:14" s="32" customFormat="1" x14ac:dyDescent="0.2">
      <c r="K433" s="33"/>
      <c r="L433" s="33"/>
      <c r="M433" s="33"/>
      <c r="N433" s="33"/>
    </row>
    <row r="434" spans="11:14" s="32" customFormat="1" x14ac:dyDescent="0.2">
      <c r="K434" s="33"/>
      <c r="L434" s="33"/>
      <c r="M434" s="33"/>
      <c r="N434" s="33"/>
    </row>
    <row r="435" spans="11:14" s="32" customFormat="1" x14ac:dyDescent="0.2">
      <c r="K435" s="33"/>
      <c r="L435" s="33"/>
      <c r="M435" s="33"/>
      <c r="N435" s="33"/>
    </row>
    <row r="436" spans="11:14" s="32" customFormat="1" x14ac:dyDescent="0.2">
      <c r="K436" s="33"/>
      <c r="L436" s="33"/>
      <c r="M436" s="33"/>
      <c r="N436" s="33"/>
    </row>
    <row r="437" spans="11:14" s="32" customFormat="1" x14ac:dyDescent="0.2">
      <c r="K437" s="33"/>
      <c r="L437" s="33"/>
      <c r="M437" s="33"/>
      <c r="N437" s="33"/>
    </row>
    <row r="438" spans="11:14" s="32" customFormat="1" x14ac:dyDescent="0.2">
      <c r="K438" s="33"/>
      <c r="L438" s="33"/>
      <c r="M438" s="33"/>
      <c r="N438" s="33"/>
    </row>
    <row r="439" spans="11:14" s="32" customFormat="1" x14ac:dyDescent="0.2">
      <c r="K439" s="33"/>
      <c r="L439" s="33"/>
      <c r="M439" s="33"/>
      <c r="N439" s="33"/>
    </row>
    <row r="440" spans="11:14" s="32" customFormat="1" x14ac:dyDescent="0.2">
      <c r="K440" s="33"/>
      <c r="L440" s="33"/>
      <c r="M440" s="33"/>
      <c r="N440" s="33"/>
    </row>
    <row r="441" spans="11:14" s="32" customFormat="1" x14ac:dyDescent="0.2">
      <c r="K441" s="33"/>
      <c r="L441" s="33"/>
      <c r="M441" s="33"/>
      <c r="N441" s="33"/>
    </row>
    <row r="442" spans="11:14" s="32" customFormat="1" x14ac:dyDescent="0.2">
      <c r="K442" s="33"/>
      <c r="L442" s="33"/>
      <c r="M442" s="33"/>
      <c r="N442" s="33"/>
    </row>
    <row r="443" spans="11:14" s="32" customFormat="1" x14ac:dyDescent="0.2">
      <c r="K443" s="33"/>
      <c r="L443" s="33"/>
      <c r="M443" s="33"/>
      <c r="N443" s="33"/>
    </row>
    <row r="444" spans="11:14" s="32" customFormat="1" x14ac:dyDescent="0.2">
      <c r="K444" s="33"/>
      <c r="L444" s="33"/>
      <c r="M444" s="33"/>
      <c r="N444" s="33"/>
    </row>
    <row r="445" spans="11:14" s="32" customFormat="1" x14ac:dyDescent="0.2">
      <c r="K445" s="33"/>
      <c r="L445" s="33"/>
      <c r="M445" s="33"/>
      <c r="N445" s="33"/>
    </row>
    <row r="446" spans="11:14" s="32" customFormat="1" x14ac:dyDescent="0.2">
      <c r="K446" s="33"/>
      <c r="L446" s="33"/>
      <c r="M446" s="33"/>
      <c r="N446" s="33"/>
    </row>
    <row r="447" spans="11:14" s="32" customFormat="1" x14ac:dyDescent="0.2">
      <c r="K447" s="33"/>
      <c r="L447" s="33"/>
      <c r="M447" s="33"/>
      <c r="N447" s="33"/>
    </row>
    <row r="448" spans="11:14" s="32" customFormat="1" x14ac:dyDescent="0.2">
      <c r="K448" s="33"/>
      <c r="L448" s="33"/>
      <c r="M448" s="33"/>
      <c r="N448" s="33"/>
    </row>
    <row r="449" spans="11:14" s="32" customFormat="1" x14ac:dyDescent="0.2">
      <c r="K449" s="33"/>
      <c r="L449" s="33"/>
      <c r="M449" s="33"/>
      <c r="N449" s="33"/>
    </row>
    <row r="450" spans="11:14" s="32" customFormat="1" x14ac:dyDescent="0.2">
      <c r="K450" s="33"/>
      <c r="L450" s="33"/>
      <c r="M450" s="33"/>
      <c r="N450" s="33"/>
    </row>
    <row r="451" spans="11:14" s="32" customFormat="1" x14ac:dyDescent="0.2">
      <c r="K451" s="33"/>
      <c r="L451" s="33"/>
      <c r="M451" s="33"/>
      <c r="N451" s="33"/>
    </row>
    <row r="452" spans="11:14" s="32" customFormat="1" x14ac:dyDescent="0.2">
      <c r="K452" s="33"/>
      <c r="L452" s="33"/>
      <c r="M452" s="33"/>
      <c r="N452" s="33"/>
    </row>
    <row r="453" spans="11:14" s="32" customFormat="1" x14ac:dyDescent="0.2">
      <c r="K453" s="33"/>
      <c r="L453" s="33"/>
      <c r="M453" s="33"/>
      <c r="N453" s="33"/>
    </row>
    <row r="454" spans="11:14" s="32" customFormat="1" x14ac:dyDescent="0.2">
      <c r="K454" s="33"/>
      <c r="L454" s="33"/>
      <c r="M454" s="33"/>
      <c r="N454" s="33"/>
    </row>
    <row r="455" spans="11:14" s="32" customFormat="1" x14ac:dyDescent="0.2">
      <c r="K455" s="33"/>
      <c r="L455" s="33"/>
      <c r="M455" s="33"/>
      <c r="N455" s="33"/>
    </row>
    <row r="456" spans="11:14" s="32" customFormat="1" x14ac:dyDescent="0.2">
      <c r="K456" s="33"/>
      <c r="L456" s="33"/>
      <c r="M456" s="33"/>
      <c r="N456" s="33"/>
    </row>
    <row r="457" spans="11:14" s="32" customFormat="1" x14ac:dyDescent="0.2">
      <c r="K457" s="33"/>
      <c r="L457" s="33"/>
      <c r="M457" s="33"/>
      <c r="N457" s="33"/>
    </row>
    <row r="458" spans="11:14" s="32" customFormat="1" x14ac:dyDescent="0.2">
      <c r="K458" s="33"/>
      <c r="L458" s="33"/>
      <c r="M458" s="33"/>
      <c r="N458" s="33"/>
    </row>
    <row r="459" spans="11:14" s="32" customFormat="1" x14ac:dyDescent="0.2">
      <c r="K459" s="33"/>
      <c r="L459" s="33"/>
      <c r="M459" s="33"/>
      <c r="N459" s="33"/>
    </row>
    <row r="460" spans="11:14" s="32" customFormat="1" x14ac:dyDescent="0.2">
      <c r="K460" s="33"/>
      <c r="L460" s="33"/>
      <c r="M460" s="33"/>
      <c r="N460" s="33"/>
    </row>
    <row r="461" spans="11:14" s="32" customFormat="1" x14ac:dyDescent="0.2">
      <c r="K461" s="33"/>
      <c r="L461" s="33"/>
      <c r="M461" s="33"/>
      <c r="N461" s="33"/>
    </row>
    <row r="462" spans="11:14" s="32" customFormat="1" x14ac:dyDescent="0.2">
      <c r="K462" s="33"/>
      <c r="L462" s="33"/>
      <c r="M462" s="33"/>
      <c r="N462" s="33"/>
    </row>
    <row r="463" spans="11:14" s="32" customFormat="1" x14ac:dyDescent="0.2">
      <c r="K463" s="33"/>
      <c r="L463" s="33"/>
      <c r="M463" s="33"/>
      <c r="N463" s="33"/>
    </row>
    <row r="464" spans="11:14" s="32" customFormat="1" x14ac:dyDescent="0.2">
      <c r="K464" s="33"/>
      <c r="L464" s="33"/>
      <c r="M464" s="33"/>
      <c r="N464" s="33"/>
    </row>
    <row r="465" spans="11:14" s="32" customFormat="1" x14ac:dyDescent="0.2">
      <c r="K465" s="33"/>
      <c r="L465" s="33"/>
      <c r="M465" s="33"/>
      <c r="N465" s="33"/>
    </row>
    <row r="466" spans="11:14" s="32" customFormat="1" x14ac:dyDescent="0.2">
      <c r="K466" s="33"/>
      <c r="L466" s="33"/>
      <c r="M466" s="33"/>
      <c r="N466" s="33"/>
    </row>
    <row r="467" spans="11:14" s="32" customFormat="1" x14ac:dyDescent="0.2">
      <c r="K467" s="33"/>
      <c r="L467" s="33"/>
      <c r="M467" s="33"/>
      <c r="N467" s="33"/>
    </row>
    <row r="468" spans="11:14" s="32" customFormat="1" x14ac:dyDescent="0.2">
      <c r="K468" s="33"/>
      <c r="L468" s="33"/>
      <c r="M468" s="33"/>
      <c r="N468" s="33"/>
    </row>
    <row r="469" spans="11:14" s="32" customFormat="1" x14ac:dyDescent="0.2">
      <c r="K469" s="33"/>
      <c r="L469" s="33"/>
      <c r="M469" s="33"/>
      <c r="N469" s="33"/>
    </row>
    <row r="470" spans="11:14" s="32" customFormat="1" x14ac:dyDescent="0.2">
      <c r="K470" s="33"/>
      <c r="L470" s="33"/>
      <c r="M470" s="33"/>
      <c r="N470" s="33"/>
    </row>
    <row r="471" spans="11:14" s="32" customFormat="1" x14ac:dyDescent="0.2">
      <c r="K471" s="33"/>
      <c r="L471" s="33"/>
      <c r="M471" s="33"/>
      <c r="N471" s="33"/>
    </row>
    <row r="472" spans="11:14" s="32" customFormat="1" x14ac:dyDescent="0.2">
      <c r="K472" s="33"/>
      <c r="L472" s="33"/>
      <c r="M472" s="33"/>
      <c r="N472" s="33"/>
    </row>
    <row r="473" spans="11:14" s="32" customFormat="1" x14ac:dyDescent="0.2">
      <c r="K473" s="33"/>
      <c r="L473" s="33"/>
      <c r="M473" s="33"/>
      <c r="N473" s="33"/>
    </row>
    <row r="474" spans="11:14" s="32" customFormat="1" x14ac:dyDescent="0.2">
      <c r="K474" s="33"/>
      <c r="L474" s="33"/>
      <c r="M474" s="33"/>
      <c r="N474" s="33"/>
    </row>
    <row r="475" spans="11:14" s="32" customFormat="1" x14ac:dyDescent="0.2">
      <c r="K475" s="33"/>
      <c r="L475" s="33"/>
      <c r="M475" s="33"/>
      <c r="N475" s="33"/>
    </row>
    <row r="476" spans="11:14" s="32" customFormat="1" x14ac:dyDescent="0.2">
      <c r="K476" s="33"/>
      <c r="L476" s="33"/>
      <c r="M476" s="33"/>
      <c r="N476" s="33"/>
    </row>
    <row r="477" spans="11:14" s="32" customFormat="1" x14ac:dyDescent="0.2">
      <c r="K477" s="33"/>
      <c r="L477" s="33"/>
      <c r="M477" s="33"/>
      <c r="N477" s="33"/>
    </row>
    <row r="478" spans="11:14" s="32" customFormat="1" x14ac:dyDescent="0.2">
      <c r="K478" s="33"/>
      <c r="L478" s="33"/>
      <c r="M478" s="33"/>
      <c r="N478" s="33"/>
    </row>
    <row r="479" spans="11:14" s="32" customFormat="1" x14ac:dyDescent="0.2">
      <c r="K479" s="33"/>
      <c r="L479" s="33"/>
      <c r="M479" s="33"/>
      <c r="N479" s="33"/>
    </row>
    <row r="512" spans="14:14" x14ac:dyDescent="0.2">
      <c r="N512" s="9"/>
    </row>
  </sheetData>
  <autoFilter ref="A9:T260"/>
  <mergeCells count="468">
    <mergeCell ref="M120:M121"/>
    <mergeCell ref="Q5:Q7"/>
    <mergeCell ref="K24:K29"/>
    <mergeCell ref="M78:M79"/>
    <mergeCell ref="K61:K64"/>
    <mergeCell ref="L61:L64"/>
    <mergeCell ref="L65:L68"/>
    <mergeCell ref="P5:P7"/>
    <mergeCell ref="K65:K68"/>
    <mergeCell ref="M85:M86"/>
    <mergeCell ref="K83:K92"/>
    <mergeCell ref="L83:L92"/>
    <mergeCell ref="L77:L82"/>
    <mergeCell ref="L24:L29"/>
    <mergeCell ref="K33:K37"/>
    <mergeCell ref="J219:J220"/>
    <mergeCell ref="S186:S187"/>
    <mergeCell ref="J195:J198"/>
    <mergeCell ref="M186:M187"/>
    <mergeCell ref="N186:N187"/>
    <mergeCell ref="M219:M220"/>
    <mergeCell ref="L219:L220"/>
    <mergeCell ref="A119:A121"/>
    <mergeCell ref="B119:B121"/>
    <mergeCell ref="C119:C121"/>
    <mergeCell ref="I119:I121"/>
    <mergeCell ref="J119:J121"/>
    <mergeCell ref="K119:K121"/>
    <mergeCell ref="L119:L121"/>
    <mergeCell ref="K219:K220"/>
    <mergeCell ref="L134:L137"/>
    <mergeCell ref="L127:L132"/>
    <mergeCell ref="M128:M131"/>
    <mergeCell ref="J127:J132"/>
    <mergeCell ref="K127:K132"/>
    <mergeCell ref="D188:D189"/>
    <mergeCell ref="E188:E189"/>
    <mergeCell ref="F188:F189"/>
    <mergeCell ref="I186:I187"/>
    <mergeCell ref="J24:J29"/>
    <mergeCell ref="M28:M29"/>
    <mergeCell ref="K93:K95"/>
    <mergeCell ref="P186:P187"/>
    <mergeCell ref="Q186:Q187"/>
    <mergeCell ref="J70:J76"/>
    <mergeCell ref="K71:K76"/>
    <mergeCell ref="L71:L76"/>
    <mergeCell ref="K50:K59"/>
    <mergeCell ref="L50:L59"/>
    <mergeCell ref="L38:L49"/>
    <mergeCell ref="K38:K49"/>
    <mergeCell ref="K122:K126"/>
    <mergeCell ref="J108:J110"/>
    <mergeCell ref="J83:J92"/>
    <mergeCell ref="K77:K82"/>
    <mergeCell ref="L33:L37"/>
    <mergeCell ref="M165:M167"/>
    <mergeCell ref="L148:L155"/>
    <mergeCell ref="J186:J187"/>
    <mergeCell ref="K186:K187"/>
    <mergeCell ref="M134:M137"/>
    <mergeCell ref="L139:L140"/>
    <mergeCell ref="M99:M102"/>
    <mergeCell ref="J12:J21"/>
    <mergeCell ref="M71:M76"/>
    <mergeCell ref="P4:S4"/>
    <mergeCell ref="L96:L107"/>
    <mergeCell ref="A219:A220"/>
    <mergeCell ref="H219:H220"/>
    <mergeCell ref="G219:G220"/>
    <mergeCell ref="F219:F220"/>
    <mergeCell ref="E219:E220"/>
    <mergeCell ref="D219:D220"/>
    <mergeCell ref="C219:C220"/>
    <mergeCell ref="B219:B220"/>
    <mergeCell ref="J96:J107"/>
    <mergeCell ref="I96:I107"/>
    <mergeCell ref="H96:H107"/>
    <mergeCell ref="G96:G107"/>
    <mergeCell ref="F96:F107"/>
    <mergeCell ref="E96:E107"/>
    <mergeCell ref="D96:D107"/>
    <mergeCell ref="C96:C107"/>
    <mergeCell ref="K97:K106"/>
    <mergeCell ref="G208:G210"/>
    <mergeCell ref="H208:H216"/>
    <mergeCell ref="I208:I216"/>
    <mergeCell ref="P235:P236"/>
    <mergeCell ref="F213:F214"/>
    <mergeCell ref="G215:G216"/>
    <mergeCell ref="A207:A218"/>
    <mergeCell ref="L158:L162"/>
    <mergeCell ref="M158:M160"/>
    <mergeCell ref="H161:H167"/>
    <mergeCell ref="I161:I167"/>
    <mergeCell ref="K163:K164"/>
    <mergeCell ref="L163:L164"/>
    <mergeCell ref="M163:M164"/>
    <mergeCell ref="B207:B218"/>
    <mergeCell ref="C207:C218"/>
    <mergeCell ref="D207:D218"/>
    <mergeCell ref="E207:E218"/>
    <mergeCell ref="F207:F210"/>
    <mergeCell ref="F217:F218"/>
    <mergeCell ref="G217:G218"/>
    <mergeCell ref="H217:H218"/>
    <mergeCell ref="I217:I218"/>
    <mergeCell ref="F211:F212"/>
    <mergeCell ref="G211:G212"/>
    <mergeCell ref="G213:G214"/>
    <mergeCell ref="F215:F216"/>
    <mergeCell ref="Q239:Q240"/>
    <mergeCell ref="R239:R240"/>
    <mergeCell ref="S239:S240"/>
    <mergeCell ref="L239:L240"/>
    <mergeCell ref="M239:M240"/>
    <mergeCell ref="N239:N240"/>
    <mergeCell ref="P239:P240"/>
    <mergeCell ref="O239:O240"/>
    <mergeCell ref="M237:M238"/>
    <mergeCell ref="N237:N238"/>
    <mergeCell ref="J239:J240"/>
    <mergeCell ref="K239:K240"/>
    <mergeCell ref="A239:A240"/>
    <mergeCell ref="C239:C240"/>
    <mergeCell ref="F239:F240"/>
    <mergeCell ref="G239:G240"/>
    <mergeCell ref="H239:H240"/>
    <mergeCell ref="I239:I240"/>
    <mergeCell ref="I219:I220"/>
    <mergeCell ref="H223:H224"/>
    <mergeCell ref="I223:I224"/>
    <mergeCell ref="K223:K224"/>
    <mergeCell ref="A230:A231"/>
    <mergeCell ref="B230:B231"/>
    <mergeCell ref="C230:C231"/>
    <mergeCell ref="D230:D231"/>
    <mergeCell ref="E230:E231"/>
    <mergeCell ref="A237:A238"/>
    <mergeCell ref="C237:C238"/>
    <mergeCell ref="F237:F238"/>
    <mergeCell ref="G237:G238"/>
    <mergeCell ref="H237:H238"/>
    <mergeCell ref="I237:I238"/>
    <mergeCell ref="J237:J238"/>
    <mergeCell ref="K237:K238"/>
    <mergeCell ref="L237:L238"/>
    <mergeCell ref="L235:L236"/>
    <mergeCell ref="M235:M236"/>
    <mergeCell ref="N235:N236"/>
    <mergeCell ref="A235:A236"/>
    <mergeCell ref="C235:C236"/>
    <mergeCell ref="H235:H236"/>
    <mergeCell ref="I235:I236"/>
    <mergeCell ref="J235:J236"/>
    <mergeCell ref="K235:K236"/>
    <mergeCell ref="M230:M231"/>
    <mergeCell ref="N225:N226"/>
    <mergeCell ref="F228:F229"/>
    <mergeCell ref="L230:L231"/>
    <mergeCell ref="K225:K229"/>
    <mergeCell ref="J225:J229"/>
    <mergeCell ref="I225:I229"/>
    <mergeCell ref="H225:H229"/>
    <mergeCell ref="H230:H231"/>
    <mergeCell ref="I230:I231"/>
    <mergeCell ref="J230:J231"/>
    <mergeCell ref="K230:K231"/>
    <mergeCell ref="G228:G229"/>
    <mergeCell ref="G224:G225"/>
    <mergeCell ref="A186:A187"/>
    <mergeCell ref="A201:A206"/>
    <mergeCell ref="B201:B206"/>
    <mergeCell ref="C201:C206"/>
    <mergeCell ref="D201:D206"/>
    <mergeCell ref="E201:E206"/>
    <mergeCell ref="H201:H206"/>
    <mergeCell ref="I201:I206"/>
    <mergeCell ref="A195:A198"/>
    <mergeCell ref="B195:B198"/>
    <mergeCell ref="C195:C198"/>
    <mergeCell ref="D195:D196"/>
    <mergeCell ref="E195:E196"/>
    <mergeCell ref="F195:F198"/>
    <mergeCell ref="G195:G198"/>
    <mergeCell ref="H195:H198"/>
    <mergeCell ref="I195:I198"/>
    <mergeCell ref="F190:F191"/>
    <mergeCell ref="G190:G191"/>
    <mergeCell ref="R186:R187"/>
    <mergeCell ref="E178:E184"/>
    <mergeCell ref="H178:H184"/>
    <mergeCell ref="G188:G189"/>
    <mergeCell ref="H188:H189"/>
    <mergeCell ref="I188:I189"/>
    <mergeCell ref="J188:J189"/>
    <mergeCell ref="O186:O187"/>
    <mergeCell ref="J173:J184"/>
    <mergeCell ref="H186:H187"/>
    <mergeCell ref="L186:L187"/>
    <mergeCell ref="E173:E177"/>
    <mergeCell ref="F173:F184"/>
    <mergeCell ref="G173:G184"/>
    <mergeCell ref="H173:H177"/>
    <mergeCell ref="I173:I184"/>
    <mergeCell ref="F186:F187"/>
    <mergeCell ref="G186:G187"/>
    <mergeCell ref="M148:M153"/>
    <mergeCell ref="H154:H155"/>
    <mergeCell ref="I154:I155"/>
    <mergeCell ref="K156:K157"/>
    <mergeCell ref="L156:L157"/>
    <mergeCell ref="H156:H160"/>
    <mergeCell ref="I156:I160"/>
    <mergeCell ref="K158:K162"/>
    <mergeCell ref="K165:K167"/>
    <mergeCell ref="L165:L167"/>
    <mergeCell ref="J146:J167"/>
    <mergeCell ref="H147:H153"/>
    <mergeCell ref="I147:I153"/>
    <mergeCell ref="K147:K155"/>
    <mergeCell ref="A146:A167"/>
    <mergeCell ref="B146:B167"/>
    <mergeCell ref="C146:C167"/>
    <mergeCell ref="D146:D155"/>
    <mergeCell ref="E146:E155"/>
    <mergeCell ref="F146:F167"/>
    <mergeCell ref="D156:D167"/>
    <mergeCell ref="E156:E167"/>
    <mergeCell ref="D178:D184"/>
    <mergeCell ref="B173:B184"/>
    <mergeCell ref="C173:C184"/>
    <mergeCell ref="B171:B172"/>
    <mergeCell ref="C171:C172"/>
    <mergeCell ref="D171:D172"/>
    <mergeCell ref="E171:E172"/>
    <mergeCell ref="A171:A172"/>
    <mergeCell ref="A108:A110"/>
    <mergeCell ref="B108:B110"/>
    <mergeCell ref="C108:C110"/>
    <mergeCell ref="D108:D110"/>
    <mergeCell ref="E108:E110"/>
    <mergeCell ref="A138:A140"/>
    <mergeCell ref="A38:A49"/>
    <mergeCell ref="B38:B49"/>
    <mergeCell ref="C38:C49"/>
    <mergeCell ref="A60:A68"/>
    <mergeCell ref="A70:A76"/>
    <mergeCell ref="A50:A59"/>
    <mergeCell ref="D111:D112"/>
    <mergeCell ref="A83:A92"/>
    <mergeCell ref="D70:D73"/>
    <mergeCell ref="E70:E73"/>
    <mergeCell ref="E138:E140"/>
    <mergeCell ref="C60:C68"/>
    <mergeCell ref="B60:B68"/>
    <mergeCell ref="D60:D64"/>
    <mergeCell ref="B70:B76"/>
    <mergeCell ref="C70:C76"/>
    <mergeCell ref="D74:D76"/>
    <mergeCell ref="D50:D59"/>
    <mergeCell ref="C50:C59"/>
    <mergeCell ref="E65:E68"/>
    <mergeCell ref="B50:B59"/>
    <mergeCell ref="F60:F64"/>
    <mergeCell ref="G60:G64"/>
    <mergeCell ref="I60:I64"/>
    <mergeCell ref="A127:A132"/>
    <mergeCell ref="H134:H137"/>
    <mergeCell ref="D138:D140"/>
    <mergeCell ref="C138:C140"/>
    <mergeCell ref="B138:B140"/>
    <mergeCell ref="I114:I118"/>
    <mergeCell ref="I134:I137"/>
    <mergeCell ref="G83:G92"/>
    <mergeCell ref="H83:H92"/>
    <mergeCell ref="I83:I92"/>
    <mergeCell ref="F77:F82"/>
    <mergeCell ref="H108:H110"/>
    <mergeCell ref="I122:I126"/>
    <mergeCell ref="E111:E112"/>
    <mergeCell ref="I108:I110"/>
    <mergeCell ref="A114:A118"/>
    <mergeCell ref="B114:B118"/>
    <mergeCell ref="C114:C118"/>
    <mergeCell ref="J114:J118"/>
    <mergeCell ref="K114:K118"/>
    <mergeCell ref="B127:B132"/>
    <mergeCell ref="C127:C132"/>
    <mergeCell ref="D127:D132"/>
    <mergeCell ref="E127:E132"/>
    <mergeCell ref="F122:F126"/>
    <mergeCell ref="J122:J126"/>
    <mergeCell ref="B122:B126"/>
    <mergeCell ref="C122:C126"/>
    <mergeCell ref="D122:D126"/>
    <mergeCell ref="E122:E126"/>
    <mergeCell ref="D114:D118"/>
    <mergeCell ref="E114:E118"/>
    <mergeCell ref="F127:F132"/>
    <mergeCell ref="G127:G132"/>
    <mergeCell ref="J134:J137"/>
    <mergeCell ref="K134:K137"/>
    <mergeCell ref="D134:D137"/>
    <mergeCell ref="H138:H140"/>
    <mergeCell ref="F138:F140"/>
    <mergeCell ref="E24:E29"/>
    <mergeCell ref="F24:F29"/>
    <mergeCell ref="H114:H118"/>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I24:I29"/>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D65:D68"/>
    <mergeCell ref="D24:D29"/>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R5:S5"/>
    <mergeCell ref="A222:A229"/>
    <mergeCell ref="A77:A82"/>
    <mergeCell ref="A93:A95"/>
    <mergeCell ref="B93:B95"/>
    <mergeCell ref="C93:C95"/>
    <mergeCell ref="B83:B92"/>
    <mergeCell ref="C83:C92"/>
    <mergeCell ref="A122:A126"/>
    <mergeCell ref="A134:A137"/>
    <mergeCell ref="B134:B137"/>
    <mergeCell ref="C134:C137"/>
    <mergeCell ref="A173:A184"/>
    <mergeCell ref="B96:B107"/>
    <mergeCell ref="A96:A107"/>
    <mergeCell ref="C111:C112"/>
    <mergeCell ref="B111:B112"/>
    <mergeCell ref="A111:A112"/>
    <mergeCell ref="A190:A191"/>
    <mergeCell ref="B190:B191"/>
    <mergeCell ref="C190:C191"/>
    <mergeCell ref="A188:A189"/>
    <mergeCell ref="B188:B189"/>
    <mergeCell ref="C188:C189"/>
    <mergeCell ref="D222:D229"/>
    <mergeCell ref="C222:C229"/>
    <mergeCell ref="B222:B229"/>
    <mergeCell ref="B77:B82"/>
    <mergeCell ref="C77:C82"/>
    <mergeCell ref="B186:B187"/>
    <mergeCell ref="C186:C187"/>
    <mergeCell ref="D173:D177"/>
    <mergeCell ref="I70:I76"/>
    <mergeCell ref="G122:G126"/>
    <mergeCell ref="H122:H126"/>
    <mergeCell ref="G70:G76"/>
    <mergeCell ref="H70:H76"/>
    <mergeCell ref="I127:I132"/>
    <mergeCell ref="E74:E76"/>
    <mergeCell ref="G171:G172"/>
    <mergeCell ref="F171:F172"/>
    <mergeCell ref="I171:I172"/>
    <mergeCell ref="G146:G167"/>
    <mergeCell ref="H171:H172"/>
    <mergeCell ref="G138:G140"/>
    <mergeCell ref="F134:F137"/>
    <mergeCell ref="G134:G137"/>
    <mergeCell ref="J60:J64"/>
    <mergeCell ref="I65:I68"/>
    <mergeCell ref="G65:G68"/>
    <mergeCell ref="F65:F68"/>
    <mergeCell ref="H60:H68"/>
    <mergeCell ref="I30:I31"/>
    <mergeCell ref="E222:E229"/>
    <mergeCell ref="F225:F226"/>
    <mergeCell ref="F222:F224"/>
    <mergeCell ref="G222:G223"/>
    <mergeCell ref="G114:G118"/>
    <mergeCell ref="E134:E137"/>
    <mergeCell ref="E60:E64"/>
    <mergeCell ref="E33:E37"/>
    <mergeCell ref="F70:F76"/>
    <mergeCell ref="F108:F110"/>
    <mergeCell ref="G108:G110"/>
    <mergeCell ref="E94:E95"/>
    <mergeCell ref="F50:F59"/>
    <mergeCell ref="G50:G59"/>
    <mergeCell ref="E50:E59"/>
    <mergeCell ref="F83:F92"/>
    <mergeCell ref="H127:H132"/>
    <mergeCell ref="F114:F118"/>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01.08.2026</vt:lpstr>
      <vt:lpstr>'01.08.2026'!Заголовки_для_печати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2026-08-05T10:21:03Z</dcterms:modified>
</cp:coreProperties>
</file>