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12.24" sheetId="4" r:id="rId1"/>
  </sheets>
  <definedNames>
    <definedName name="_xlnm.Print_Titles" localSheetId="0">'01.12.24'!$6:$7</definedName>
  </definedNames>
  <calcPr calcId="145621" iterate="1"/>
</workbook>
</file>

<file path=xl/calcChain.xml><?xml version="1.0" encoding="utf-8"?>
<calcChain xmlns="http://schemas.openxmlformats.org/spreadsheetml/2006/main">
  <c r="Q118" i="4" l="1"/>
  <c r="Q25" i="4" l="1"/>
  <c r="Q207" i="4"/>
  <c r="Q205" i="4"/>
  <c r="Q239" i="4"/>
  <c r="Q242" i="4"/>
  <c r="Q241" i="4"/>
  <c r="Q240" i="4"/>
  <c r="Q238" i="4"/>
  <c r="Q236" i="4"/>
  <c r="Q235" i="4"/>
  <c r="Q233" i="4"/>
  <c r="Q248" i="4"/>
  <c r="Q246" i="4"/>
  <c r="Y247" i="4"/>
  <c r="Y246" i="4"/>
  <c r="X246" i="4"/>
  <c r="Q250" i="4"/>
  <c r="Q234" i="4"/>
  <c r="Q57" i="4"/>
  <c r="Q41" i="4" l="1"/>
  <c r="Q29" i="4"/>
  <c r="Q28" i="4"/>
  <c r="Q92" i="4"/>
  <c r="Q12" i="4" l="1"/>
  <c r="Q13" i="4"/>
  <c r="W34" i="4" l="1"/>
  <c r="P275" i="4" l="1"/>
  <c r="R275" i="4"/>
  <c r="S275" i="4"/>
  <c r="O275" i="4"/>
  <c r="O202" i="4" l="1"/>
  <c r="O201" i="4" s="1"/>
  <c r="S132" i="4" l="1"/>
  <c r="R132" i="4"/>
  <c r="U268" i="4"/>
  <c r="T268" i="4"/>
  <c r="Q44" i="4" l="1"/>
  <c r="Q98" i="4"/>
  <c r="Q97" i="4" s="1"/>
  <c r="S197" i="4"/>
  <c r="R197" i="4"/>
  <c r="Q197" i="4"/>
  <c r="Q287" i="4"/>
  <c r="R98" i="4"/>
  <c r="S98" i="4"/>
  <c r="Q75" i="4"/>
  <c r="P113" i="4" l="1"/>
  <c r="Q113" i="4"/>
  <c r="R113" i="4"/>
  <c r="S113" i="4"/>
  <c r="P119" i="4"/>
  <c r="Q119" i="4"/>
  <c r="R119" i="4"/>
  <c r="S119" i="4"/>
  <c r="P124" i="4"/>
  <c r="Q124" i="4"/>
  <c r="R124" i="4"/>
  <c r="S124" i="4"/>
  <c r="P130" i="4"/>
  <c r="Q130" i="4"/>
  <c r="R130" i="4"/>
  <c r="S130" i="4"/>
  <c r="P137" i="4"/>
  <c r="Q137" i="4"/>
  <c r="R137" i="4"/>
  <c r="S137" i="4"/>
  <c r="P150" i="4"/>
  <c r="Q150" i="4"/>
  <c r="R150" i="4"/>
  <c r="S150" i="4"/>
  <c r="P181" i="4"/>
  <c r="Q181" i="4"/>
  <c r="R181" i="4"/>
  <c r="S181" i="4"/>
  <c r="P211" i="4"/>
  <c r="Q211" i="4"/>
  <c r="R211" i="4"/>
  <c r="S211" i="4"/>
  <c r="P217" i="4"/>
  <c r="Q217" i="4"/>
  <c r="R217" i="4"/>
  <c r="S217" i="4"/>
  <c r="Q232" i="4"/>
  <c r="R232" i="4"/>
  <c r="S232" i="4"/>
  <c r="Q245" i="4"/>
  <c r="R245" i="4"/>
  <c r="S245" i="4"/>
  <c r="Q259" i="4"/>
  <c r="R259" i="4"/>
  <c r="S259" i="4"/>
  <c r="Q264" i="4"/>
  <c r="R264" i="4"/>
  <c r="S264" i="4"/>
  <c r="S149" i="4" l="1"/>
  <c r="Q149" i="4"/>
  <c r="P149" i="4"/>
  <c r="R149" i="4"/>
  <c r="S258" i="4"/>
  <c r="S210" i="4"/>
  <c r="R258" i="4"/>
  <c r="R210" i="4"/>
  <c r="Q258" i="4"/>
  <c r="Q210" i="4"/>
  <c r="R44" i="4"/>
  <c r="S44" i="4"/>
  <c r="Q271" i="4"/>
  <c r="R271" i="4"/>
  <c r="S271" i="4"/>
  <c r="Q272" i="4"/>
  <c r="R272" i="4"/>
  <c r="S272" i="4"/>
  <c r="Q273" i="4"/>
  <c r="R273" i="4"/>
  <c r="S273" i="4"/>
  <c r="S207" i="4"/>
  <c r="R207" i="4"/>
  <c r="P98" i="4"/>
  <c r="P97" i="4" s="1"/>
  <c r="R97" i="4"/>
  <c r="S97" i="4"/>
  <c r="S35" i="4" l="1"/>
  <c r="R35" i="4"/>
  <c r="Q35" i="4"/>
  <c r="S34" i="4"/>
  <c r="R34" i="4"/>
  <c r="P106" i="4" l="1"/>
  <c r="Q106" i="4"/>
  <c r="R106" i="4"/>
  <c r="S106" i="4"/>
  <c r="P68" i="4"/>
  <c r="Q68" i="4"/>
  <c r="S68" i="4"/>
  <c r="P94" i="4"/>
  <c r="Q94" i="4"/>
  <c r="S94" i="4"/>
  <c r="P271" i="4" l="1"/>
  <c r="O271" i="4"/>
  <c r="P272" i="4"/>
  <c r="O272" i="4"/>
  <c r="Q85" i="4"/>
  <c r="P85" i="4"/>
  <c r="P265" i="4"/>
  <c r="P263" i="4"/>
  <c r="P259" i="4" s="1"/>
  <c r="P257" i="4"/>
  <c r="P255" i="4"/>
  <c r="P248" i="4"/>
  <c r="P246" i="4"/>
  <c r="P237" i="4"/>
  <c r="P232" i="4" s="1"/>
  <c r="P210" i="4" s="1"/>
  <c r="P84" i="4"/>
  <c r="P273" i="4" l="1"/>
  <c r="P264" i="4"/>
  <c r="P258" i="4" s="1"/>
  <c r="P245" i="4"/>
  <c r="P50" i="4"/>
  <c r="P51" i="4"/>
  <c r="P45" i="4"/>
  <c r="P42" i="4"/>
  <c r="P43" i="4"/>
  <c r="P30" i="4"/>
  <c r="P27" i="4"/>
  <c r="O265" i="4"/>
  <c r="O264" i="4" s="1"/>
  <c r="O263" i="4"/>
  <c r="O261" i="4"/>
  <c r="O257" i="4"/>
  <c r="O255" i="4"/>
  <c r="O248" i="4"/>
  <c r="O246" i="4"/>
  <c r="O237" i="4"/>
  <c r="O232" i="4" s="1"/>
  <c r="O217" i="4"/>
  <c r="O211" i="4"/>
  <c r="O204" i="4"/>
  <c r="O197" i="4"/>
  <c r="O181" i="4"/>
  <c r="O150" i="4"/>
  <c r="O141" i="4"/>
  <c r="O137" i="4"/>
  <c r="O130" i="4"/>
  <c r="O124" i="4"/>
  <c r="O119" i="4"/>
  <c r="O113" i="4"/>
  <c r="O112" i="4"/>
  <c r="O106" i="4"/>
  <c r="O98" i="4"/>
  <c r="O97" i="4" s="1"/>
  <c r="O94" i="4"/>
  <c r="O85" i="4"/>
  <c r="O84" i="4"/>
  <c r="O68" i="4"/>
  <c r="O58" i="4"/>
  <c r="O51" i="4"/>
  <c r="O50" i="4"/>
  <c r="O45" i="4"/>
  <c r="O43" i="4"/>
  <c r="O42" i="4"/>
  <c r="O30" i="4"/>
  <c r="O27" i="4"/>
  <c r="O15" i="4"/>
  <c r="O13" i="4"/>
  <c r="O149" i="4" l="1"/>
  <c r="P44" i="4"/>
  <c r="O44" i="4"/>
  <c r="O210" i="4"/>
  <c r="O254" i="4"/>
  <c r="O31" i="4"/>
  <c r="O274" i="4" s="1"/>
  <c r="O273" i="4"/>
  <c r="O20" i="4"/>
  <c r="O136" i="4"/>
  <c r="O245" i="4"/>
  <c r="O259" i="4"/>
  <c r="O78" i="4"/>
  <c r="O11" i="4" l="1"/>
  <c r="O10" i="4" s="1"/>
  <c r="O266" i="4" s="1"/>
  <c r="O258" i="4"/>
  <c r="O252" i="4" l="1"/>
  <c r="O267" i="4" s="1"/>
  <c r="O276" i="4" s="1"/>
  <c r="O9" i="4" l="1"/>
  <c r="O270" i="4"/>
  <c r="S85" i="4" l="1"/>
  <c r="R85" i="4"/>
  <c r="R68" i="4"/>
  <c r="R94" i="4"/>
  <c r="Q141" i="4"/>
  <c r="Q136" i="4" s="1"/>
  <c r="P20" i="4" l="1"/>
  <c r="P254" i="4" l="1"/>
  <c r="P252" i="4" s="1"/>
  <c r="P204" i="4"/>
  <c r="P202" i="4" s="1"/>
  <c r="P141" i="4"/>
  <c r="P136" i="4" s="1"/>
  <c r="P78" i="4"/>
  <c r="P58" i="4"/>
  <c r="P31" i="4"/>
  <c r="P274" i="4" s="1"/>
  <c r="P15" i="4"/>
  <c r="P11" i="4" l="1"/>
  <c r="Q20" i="4"/>
  <c r="Q254" i="4"/>
  <c r="Q204" i="4"/>
  <c r="Q202" i="4" s="1"/>
  <c r="Q78" i="4"/>
  <c r="Q275" i="4" s="1"/>
  <c r="Q58" i="4"/>
  <c r="Q31" i="4"/>
  <c r="Q15" i="4"/>
  <c r="Q274" i="4" l="1"/>
  <c r="Q252" i="4"/>
  <c r="Q11" i="4"/>
  <c r="P201" i="4"/>
  <c r="P10" i="4"/>
  <c r="Q201" i="4"/>
  <c r="Q279" i="4" l="1"/>
  <c r="Q286" i="4"/>
  <c r="P266" i="4"/>
  <c r="P267" i="4" s="1"/>
  <c r="Q10" i="4"/>
  <c r="Q266" i="4" l="1"/>
  <c r="Q267" i="4" s="1"/>
  <c r="P276" i="4"/>
  <c r="Q293" i="4" l="1"/>
  <c r="Q305" i="4" s="1"/>
  <c r="Q307" i="4"/>
  <c r="Q276" i="4"/>
  <c r="Q270" i="4"/>
  <c r="Q8" i="4" s="1"/>
  <c r="P9" i="4"/>
  <c r="P270" i="4"/>
  <c r="P8" i="4" s="1"/>
  <c r="R15" i="4"/>
  <c r="R31" i="4"/>
  <c r="R274" i="4" s="1"/>
  <c r="R58" i="4"/>
  <c r="R78" i="4"/>
  <c r="R141" i="4"/>
  <c r="R136" i="4" s="1"/>
  <c r="R204" i="4"/>
  <c r="R202" i="4" s="1"/>
  <c r="R254" i="4"/>
  <c r="R252" i="4" s="1"/>
  <c r="Q9" i="4" l="1"/>
  <c r="R20" i="4"/>
  <c r="R11" i="4" s="1"/>
  <c r="R201" i="4"/>
  <c r="R279" i="4" l="1"/>
  <c r="R286" i="4"/>
  <c r="R10" i="4"/>
  <c r="R266" i="4" s="1"/>
  <c r="R267" i="4" s="1"/>
  <c r="S254" i="4"/>
  <c r="S252" i="4" s="1"/>
  <c r="S204" i="4"/>
  <c r="S202" i="4" s="1"/>
  <c r="S141" i="4"/>
  <c r="S136" i="4" s="1"/>
  <c r="S78" i="4"/>
  <c r="S58" i="4"/>
  <c r="S15" i="4"/>
  <c r="S279" i="4" l="1"/>
  <c r="R270" i="4"/>
  <c r="R276" i="4"/>
  <c r="R9" i="4"/>
  <c r="S20" i="4"/>
  <c r="S31" i="4"/>
  <c r="S274" i="4" l="1"/>
  <c r="R8" i="4"/>
  <c r="S286" i="4"/>
  <c r="S11" i="4"/>
  <c r="S10" i="4" s="1"/>
  <c r="S201" i="4"/>
  <c r="S266" i="4" l="1"/>
  <c r="S267" i="4" s="1"/>
  <c r="S270" i="4" s="1"/>
  <c r="S8" i="4" l="1"/>
  <c r="S9" i="4"/>
  <c r="S276" i="4"/>
</calcChain>
</file>

<file path=xl/sharedStrings.xml><?xml version="1.0" encoding="utf-8"?>
<sst xmlns="http://schemas.openxmlformats.org/spreadsheetml/2006/main" count="1531" uniqueCount="572">
  <si>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</si>
  <si>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</si>
  <si>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</si>
  <si>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</si>
  <si>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</si>
  <si>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</si>
  <si>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</si>
  <si>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</si>
  <si>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</si>
  <si>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</si>
  <si>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</si>
  <si>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</si>
  <si>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</si>
  <si>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</si>
  <si>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</si>
  <si>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</si>
  <si>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</si>
  <si>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</si>
  <si>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</si>
  <si>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</si>
  <si>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</si>
  <si>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</si>
  <si>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</si>
  <si>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</si>
  <si>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</si>
  <si>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</si>
  <si>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</si>
  <si>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</si>
  <si>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</si>
  <si>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</si>
  <si>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</si>
  <si>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</si>
  <si>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</si>
  <si>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</si>
  <si>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</si>
  <si>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</si>
  <si>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</si>
  <si>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</si>
  <si>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</si>
  <si>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</si>
  <si>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</si>
  <si>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</si>
  <si>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</si>
  <si>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</si>
  <si>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</si>
  <si>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</si>
  <si>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</si>
  <si>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</si>
  <si>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</si>
  <si>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</si>
  <si>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</si>
  <si>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</si>
  <si>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</si>
  <si>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</si>
  <si>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</si>
  <si>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</si>
  <si>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</si>
  <si>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</si>
  <si>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</si>
  <si>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</si>
  <si>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</si>
  <si>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</si>
  <si>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</si>
  <si>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</si>
  <si>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</si>
  <si>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</si>
  <si>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</si>
  <si>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</si>
  <si>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</si>
  <si>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</si>
  <si>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</si>
  <si>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</si>
  <si>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</si>
  <si>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</si>
  <si>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</si>
  <si>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</si>
  <si>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</si>
  <si>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</si>
  <si>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</si>
  <si>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</si>
  <si>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</si>
  <si>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</si>
  <si>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</si>
  <si>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</si>
  <si>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</si>
  <si>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</si>
  <si>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</si>
  <si>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</si>
  <si>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</si>
  <si>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</si>
  <si>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</si>
  <si>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</si>
  <si>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</si>
  <si>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</si>
  <si>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</si>
  <si>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</si>
  <si>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</si>
  <si>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</si>
  <si>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</si>
  <si>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</si>
  <si>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</si>
  <si>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</si>
  <si>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</si>
  <si>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</si>
  <si>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</si>
  <si>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</si>
  <si>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</si>
  <si>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</si>
  <si>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</si>
  <si>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</si>
  <si>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</si>
  <si>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</si>
  <si>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</si>
  <si>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</si>
  <si>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</si>
  <si>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</si>
  <si>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</si>
  <si>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</si>
  <si>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</si>
  <si>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</si>
  <si>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</si>
  <si>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</si>
  <si>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</si>
  <si>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</si>
  <si>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</si>
  <si>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</si>
  <si>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</si>
  <si>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</si>
  <si>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</si>
  <si>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</si>
  <si>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</si>
  <si>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</si>
  <si>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</si>
  <si>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</si>
  <si>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</si>
  <si>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</si>
  <si>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</si>
  <si>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</si>
  <si>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</si>
  <si>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</si>
  <si>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</si>
  <si>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</si>
  <si>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</si>
  <si>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</si>
  <si>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</si>
  <si>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</si>
  <si>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</si>
  <si>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</si>
  <si>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</si>
  <si>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</si>
  <si>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</si>
  <si>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</si>
  <si>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</si>
  <si>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</si>
  <si>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</si>
  <si>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</si>
  <si>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</si>
  <si>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</si>
  <si>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</si>
  <si>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</si>
  <si>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</si>
  <si>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</si>
  <si>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</si>
  <si>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</si>
  <si>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</si>
  <si>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</si>
  <si>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</si>
  <si>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</si>
  <si>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</si>
  <si>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</si>
  <si>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</si>
  <si>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</si>
  <si>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</si>
  <si>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</si>
  <si>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</si>
  <si>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</si>
  <si>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</si>
  <si>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</si>
  <si>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</si>
  <si>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</si>
  <si>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</si>
  <si>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</si>
  <si>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</si>
  <si>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</si>
  <si>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</si>
  <si>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</si>
  <si>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</si>
  <si>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</si>
  <si>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</si>
  <si>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</si>
  <si>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</si>
  <si>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</si>
  <si>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</si>
  <si>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</si>
  <si>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</si>
  <si>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</si>
  <si>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</si>
  <si>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</si>
  <si>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</si>
  <si>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</si>
  <si>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</si>
  <si>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</si>
  <si>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</si>
  <si>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</si>
  <si>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</si>
  <si>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</si>
  <si>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</si>
  <si>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</si>
  <si>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</si>
  <si>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</si>
  <si>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</si>
  <si>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</si>
  <si>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</si>
  <si>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</si>
  <si>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</si>
  <si>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</si>
  <si>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</si>
  <si>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</si>
  <si>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</si>
  <si>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</si>
  <si>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</si>
  <si>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</si>
  <si>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</si>
  <si>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</si>
  <si>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</si>
  <si>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</si>
  <si>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</si>
  <si>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</si>
  <si>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</si>
  <si>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</si>
  <si>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</si>
  <si>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</si>
  <si>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</si>
  <si>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</si>
  <si>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</si>
  <si>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</si>
  <si>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</si>
  <si>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</si>
  <si>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</si>
  <si>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</si>
  <si>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</si>
  <si>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</si>
  <si>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</si>
  <si>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</si>
  <si>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</si>
  <si>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</si>
  <si>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</si>
  <si>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</si>
  <si>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</si>
  <si>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</si>
  <si>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</si>
  <si>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</si>
  <si>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</si>
  <si>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</si>
  <si>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</si>
  <si>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</si>
  <si>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</si>
  <si>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</si>
  <si>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</si>
  <si>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</si>
  <si>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</si>
  <si>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</si>
  <si>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</si>
  <si>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</si>
  <si>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</si>
  <si>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</si>
  <si>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</si>
  <si>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</si>
  <si>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</si>
  <si>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</si>
  <si>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</si>
  <si>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</si>
  <si>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</si>
  <si>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</si>
  <si>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</si>
  <si>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</si>
  <si>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</si>
  <si>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</si>
  <si>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</si>
  <si>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</si>
  <si>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530</t>
  </si>
  <si>
    <t>851</t>
  </si>
  <si>
    <t>244</t>
  </si>
  <si>
    <t>514Р5 52280</t>
  </si>
  <si>
    <t>*****</t>
  </si>
  <si>
    <t>***</t>
  </si>
  <si>
    <t>853</t>
  </si>
  <si>
    <t>70000 83030</t>
  </si>
  <si>
    <t>321</t>
  </si>
  <si>
    <t>852</t>
  </si>
  <si>
    <t>313</t>
  </si>
  <si>
    <t>412</t>
  </si>
  <si>
    <t>611</t>
  </si>
  <si>
    <t>612</t>
  </si>
  <si>
    <t>0111</t>
  </si>
  <si>
    <t>870</t>
  </si>
  <si>
    <t>52012 S4860</t>
  </si>
  <si>
    <t>52012 S4850</t>
  </si>
  <si>
    <t>512A2 55190</t>
  </si>
  <si>
    <t>51211 S4240</t>
  </si>
  <si>
    <t>0503</t>
  </si>
  <si>
    <t>****</t>
  </si>
  <si>
    <t>0804</t>
  </si>
  <si>
    <t>0707</t>
  </si>
  <si>
    <t>414</t>
  </si>
  <si>
    <t>811</t>
  </si>
  <si>
    <t>70000 84200</t>
  </si>
  <si>
    <t>857</t>
  </si>
  <si>
    <t>854</t>
  </si>
  <si>
    <t>0103</t>
  </si>
  <si>
    <t>70000 80040</t>
  </si>
  <si>
    <t>129</t>
  </si>
  <si>
    <t>53011 83420</t>
  </si>
  <si>
    <t>70000 55490</t>
  </si>
  <si>
    <t>51011 83420</t>
  </si>
  <si>
    <t>247</t>
  </si>
  <si>
    <t>51011 54690</t>
  </si>
  <si>
    <t>70000 80050</t>
  </si>
  <si>
    <t>52011 83420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</si>
  <si>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</si>
  <si>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</si>
  <si>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</si>
  <si>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</si>
  <si>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</si>
  <si>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</si>
  <si>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</si>
  <si>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</si>
  <si>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</si>
  <si>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</si>
  <si>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</si>
  <si>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</si>
  <si>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</si>
  <si>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</si>
  <si>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</si>
  <si>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</si>
  <si>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</si>
  <si>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</si>
  <si>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</si>
  <si>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</si>
  <si>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</si>
  <si>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</si>
  <si>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</si>
  <si>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</si>
  <si>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</si>
  <si>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</si>
  <si>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</si>
  <si>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</si>
  <si>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52407 82360</t>
  </si>
  <si>
    <t>52401 16721</t>
  </si>
  <si>
    <t xml:space="preserve"> 52401 80720</t>
  </si>
  <si>
    <t>52406 S4790</t>
  </si>
  <si>
    <t>52402 80300</t>
  </si>
  <si>
    <t>52402 82330</t>
  </si>
  <si>
    <t>52402 82430</t>
  </si>
  <si>
    <t>521Е2 50970</t>
  </si>
  <si>
    <t>52402 80310</t>
  </si>
  <si>
    <t>52402 S4770</t>
  </si>
  <si>
    <t>52402 S4900</t>
  </si>
  <si>
    <t>52405 S4860</t>
  </si>
  <si>
    <t>52402 S4910</t>
  </si>
  <si>
    <t>511А1 55190</t>
  </si>
  <si>
    <t>51411 80320</t>
  </si>
  <si>
    <t>51411 82330</t>
  </si>
  <si>
    <t>51411 82430</t>
  </si>
  <si>
    <t>52402 80320</t>
  </si>
  <si>
    <t>52402 S7670</t>
  </si>
  <si>
    <t>51402 81830</t>
  </si>
  <si>
    <t>51409 81740</t>
  </si>
  <si>
    <t>51409 S1270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</si>
  <si>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</si>
  <si>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</si>
  <si>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</si>
  <si>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</si>
  <si>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</si>
  <si>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</si>
  <si>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</si>
  <si>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</si>
  <si>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</si>
  <si>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</si>
  <si>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</si>
  <si>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</si>
  <si>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</si>
  <si>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</si>
  <si>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</si>
  <si>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</si>
  <si>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</si>
  <si>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</si>
  <si>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</si>
  <si>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</si>
  <si>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</si>
  <si>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</si>
  <si>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</si>
  <si>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</si>
  <si>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</si>
  <si>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</si>
  <si>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</si>
  <si>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</si>
  <si>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</si>
  <si>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</si>
  <si>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</si>
  <si>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</si>
  <si>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</si>
  <si>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</si>
  <si>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</si>
  <si>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</si>
  <si>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</si>
  <si>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</si>
  <si>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</si>
  <si>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</si>
  <si>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</si>
  <si>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</si>
  <si>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</si>
  <si>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</si>
  <si>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</si>
  <si>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</si>
  <si>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</si>
  <si>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</si>
  <si>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</si>
  <si>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</si>
  <si>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 xml:space="preserve">Примерное положение
об оплате труда работников муниципальных учреждений культуры
 Клетнянского района,  утвержденное Постановлением администрации Клетнянского района №245 от 11.04.2017 
</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</si>
  <si>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</si>
  <si>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</si>
  <si>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</si>
  <si>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Указы Президента Российской Федерации № 1609 Указ Президента Российской Федерации от 7 декабря 2012 г. № 1609 «Об утверждении положения о военных комиссариатах»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</si>
  <si>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</si>
  <si>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</si>
  <si>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</si>
  <si>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</si>
  <si>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</si>
  <si>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</si>
  <si>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</si>
  <si>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</si>
  <si>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</si>
  <si>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</si>
  <si>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</si>
  <si>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</si>
  <si>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</si>
  <si>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</si>
  <si>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</si>
  <si>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</si>
  <si>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</si>
  <si>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</si>
  <si>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</si>
  <si>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</si>
  <si>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</si>
  <si>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</si>
  <si>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</si>
  <si>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</si>
  <si>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</si>
  <si>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</si>
  <si>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</si>
  <si>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</si>
  <si>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 xml:space="preserve">Указ Губернатора Брянской области от 03.04.2014 N 107 "Об установлении размера, утверждении Порядка и условий денежной выплаты компенсационного характера на оплату жилья и коммунальных услуг отдельным категориям граждан, работающих в сельской местности или поселках городского типа на территории Брянской области"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</si>
  <si>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</si>
  <si>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</si>
  <si>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</si>
  <si>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</si>
  <si>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</si>
  <si>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</si>
  <si>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</si>
  <si>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</si>
  <si>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</si>
  <si>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</si>
  <si>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</si>
  <si>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</si>
  <si>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</si>
  <si>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</si>
  <si>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</si>
  <si>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</si>
  <si>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Указ Президента Российской Федерации от 7 декабря 2012 г. № 1609 «Об утверждении положения о военных комиссариатах» </t>
  </si>
  <si>
    <t>Постановление Правительства Российской Федерации  от 29.04.2006 № 258 "О субвенциях на осуществление полномочий по первичному воинскому учету на территориях, где отсутствуют военные комиссариаты"</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</si>
  <si>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</si>
  <si>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</si>
  <si>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</si>
  <si>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</si>
  <si>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</si>
  <si>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</si>
  <si>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</si>
  <si>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</si>
  <si>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</si>
  <si>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</si>
  <si>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</si>
  <si>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</si>
  <si>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</si>
  <si>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</si>
  <si>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</si>
  <si>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</si>
  <si>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</si>
  <si>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</si>
  <si>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</si>
  <si>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</si>
  <si>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</si>
  <si>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</si>
  <si>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</si>
  <si>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</si>
  <si>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</si>
  <si>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</si>
  <si>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51414 82430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</si>
  <si>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</si>
  <si>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</si>
  <si>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</si>
  <si>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</si>
  <si>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</si>
  <si>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</si>
  <si>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</si>
  <si>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2025 год</t>
  </si>
  <si>
    <t>51401 17390</t>
  </si>
  <si>
    <t>51402 L5110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</si>
  <si>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</si>
  <si>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</si>
  <si>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</si>
  <si>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</si>
  <si>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</si>
  <si>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</si>
  <si>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</si>
  <si>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</si>
  <si>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</si>
  <si>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</si>
  <si>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</si>
  <si>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</si>
  <si>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</si>
  <si>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</si>
  <si>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</si>
  <si>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</si>
  <si>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</si>
  <si>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</si>
  <si>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</si>
  <si>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</si>
  <si>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</si>
  <si>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</si>
  <si>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</si>
  <si>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</si>
  <si>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</si>
  <si>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</si>
  <si>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</si>
  <si>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</si>
  <si>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</si>
  <si>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</si>
  <si>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</si>
  <si>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511F5 11270</t>
  </si>
  <si>
    <t xml:space="preserve">Федеральный закон от 04.12.2007 N 329-ФЗ
"О физической культуре и спорте в Российской Федерации"
</t>
  </si>
  <si>
    <t>1103</t>
  </si>
  <si>
    <t>51407 81650</t>
  </si>
  <si>
    <t>План 2023</t>
  </si>
  <si>
    <t>Отчетный финансовый год (2023)</t>
  </si>
  <si>
    <t>Текущий
2024 год</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</si>
  <si>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</si>
  <si>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</si>
  <si>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</si>
  <si>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</si>
  <si>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</si>
  <si>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</si>
  <si>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</si>
  <si>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</si>
  <si>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</si>
  <si>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</si>
  <si>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</si>
  <si>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</si>
  <si>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</si>
  <si>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</si>
  <si>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</si>
  <si>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511Р5 Д1390</t>
  </si>
  <si>
    <t>51420 81680</t>
  </si>
  <si>
    <t>521Е4 14900</t>
  </si>
  <si>
    <t>521Е1 14910</t>
  </si>
  <si>
    <t>52405 S4820</t>
  </si>
  <si>
    <t>52404 L3030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</si>
  <si>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</si>
  <si>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</si>
  <si>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52404 53030</t>
  </si>
  <si>
    <t>52405 S4840</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</si>
  <si>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декабря 2024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</si>
</sst>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s>
  <fills count="6">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rgb="FF000000"/>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bottom style="thin">
        <color rgb="FF000000"/>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top style="thin">
        <color indexed="64"/>
      </top>
      <bottom/>
      <diagonal/>
    </border>
    <border>
      <left style="thin">
        <color indexed="64"/>
      </left>
      <right/>
      <top/>
      <bottom/>
      <diagonal/>
    </border>
  </borders>
  <cellStyleXfs count="2">
    <xf numFmtId="0" fontId="0" fillId="0" borderId="0">
      <alignment vertical="top" wrapText="1"/>
    </xf>
    <xf numFmtId="0" fontId="13" fillId="0" borderId="7">
      <alignment horizontal="center" vertical="top" wrapText="1"/>
    </xf>
  </cellStyleXfs>
  <cellXfs count="394">
    <xf numFmtId="0" fontId="0" fillId="0" borderId="0" xfId="0" applyFont="1" applyFill="1" applyAlignment="1">
      <alignment vertical="top" wrapText="1"/>
    </xf>
    <xf numFmtId="0" fontId="6" fillId="0" borderId="0" xfId="0" applyFont="1" applyFill="1" applyAlignment="1">
      <alignment vertical="top" wrapText="1"/>
    </xf>
    <xf numFmtId="0" fontId="7" fillId="0"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9" fillId="0" borderId="0" xfId="0" applyFont="1" applyFill="1" applyAlignment="1">
      <alignment vertical="top" wrapText="1"/>
    </xf>
    <xf numFmtId="4" fontId="0" fillId="0" borderId="0" xfId="0" applyNumberFormat="1" applyFont="1" applyFill="1" applyAlignment="1">
      <alignment vertical="top" wrapText="1"/>
    </xf>
    <xf numFmtId="49" fontId="7"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49" fontId="0" fillId="0" borderId="0" xfId="0" applyNumberFormat="1" applyFont="1" applyFill="1" applyAlignment="1">
      <alignment vertical="top" wrapText="1"/>
    </xf>
    <xf numFmtId="0" fontId="5" fillId="0" borderId="2" xfId="0"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center" wrapText="1"/>
    </xf>
    <xf numFmtId="4" fontId="3" fillId="0" borderId="10" xfId="0" applyNumberFormat="1" applyFont="1" applyFill="1" applyBorder="1" applyAlignment="1">
      <alignment horizontal="center" vertical="top" wrapText="1"/>
    </xf>
    <xf numFmtId="49" fontId="7" fillId="0" borderId="10"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10" xfId="0" applyNumberFormat="1" applyFont="1" applyFill="1" applyBorder="1" applyAlignment="1">
      <alignment horizontal="center" vertical="top" wrapText="1"/>
    </xf>
    <xf numFmtId="4" fontId="4" fillId="0" borderId="10" xfId="0" applyNumberFormat="1" applyFont="1" applyFill="1" applyBorder="1" applyAlignment="1">
      <alignment horizontal="center" vertical="top" wrapText="1"/>
    </xf>
    <xf numFmtId="49" fontId="5" fillId="0" borderId="21"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49" fontId="5" fillId="0" borderId="30"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top" wrapText="1"/>
    </xf>
    <xf numFmtId="49" fontId="10" fillId="0" borderId="0" xfId="0" applyNumberFormat="1" applyFont="1" applyFill="1" applyAlignment="1">
      <alignment vertical="top" wrapText="1"/>
    </xf>
    <xf numFmtId="49" fontId="5" fillId="0" borderId="19" xfId="0" applyNumberFormat="1" applyFont="1" applyFill="1" applyBorder="1" applyAlignment="1">
      <alignment horizontal="center" vertical="center" wrapText="1"/>
    </xf>
    <xf numFmtId="49" fontId="5" fillId="0" borderId="29" xfId="0" applyNumberFormat="1" applyFont="1" applyFill="1" applyBorder="1" applyAlignment="1">
      <alignment horizontal="center" vertical="top" wrapText="1"/>
    </xf>
    <xf numFmtId="49" fontId="7" fillId="0" borderId="21" xfId="0" applyNumberFormat="1" applyFont="1" applyFill="1" applyBorder="1" applyAlignment="1">
      <alignment horizontal="center" vertical="top" wrapText="1"/>
    </xf>
    <xf numFmtId="49" fontId="4" fillId="0" borderId="18"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5" fillId="0" borderId="1" xfId="0" applyFont="1" applyFill="1" applyBorder="1" applyAlignment="1">
      <alignment horizontal="left" vertical="center" wrapText="1"/>
    </xf>
    <xf numFmtId="49" fontId="5" fillId="0" borderId="4" xfId="0" applyNumberFormat="1" applyFont="1" applyFill="1" applyBorder="1" applyAlignment="1">
      <alignment horizontal="center" vertical="center"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1"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top" wrapText="1"/>
    </xf>
    <xf numFmtId="0" fontId="5" fillId="0" borderId="4" xfId="0"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7" xfId="0" applyFont="1" applyFill="1" applyBorder="1" applyAlignment="1">
      <alignment vertical="center" wrapText="1"/>
    </xf>
    <xf numFmtId="0" fontId="11" fillId="0" borderId="1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3" fillId="0" borderId="7" xfId="1" applyNumberFormat="1" applyAlignment="1" applyProtection="1">
      <alignment horizontal="center" vertical="center" wrapText="1"/>
      <protection locked="0"/>
    </xf>
    <xf numFmtId="0" fontId="7" fillId="0" borderId="0" xfId="0" applyFont="1" applyFill="1" applyAlignment="1">
      <alignment horizontal="center" vertical="center" wrapText="1"/>
    </xf>
    <xf numFmtId="0" fontId="3" fillId="4" borderId="1" xfId="0" applyFont="1" applyFill="1" applyBorder="1" applyAlignment="1">
      <alignment horizontal="left" vertical="center" wrapText="1"/>
    </xf>
    <xf numFmtId="0" fontId="3" fillId="0" borderId="5" xfId="0" applyFont="1" applyFill="1" applyBorder="1" applyAlignment="1">
      <alignment vertical="top" wrapText="1"/>
    </xf>
    <xf numFmtId="0" fontId="16" fillId="0" borderId="7" xfId="1" applyNumberFormat="1" applyFont="1" applyAlignment="1" applyProtection="1">
      <alignment horizontal="center" vertical="center" wrapText="1"/>
      <protection locked="0"/>
    </xf>
    <xf numFmtId="49" fontId="11" fillId="0" borderId="5" xfId="0" applyNumberFormat="1" applyFont="1" applyFill="1" applyBorder="1" applyAlignment="1">
      <alignment horizontal="center" vertical="top" wrapText="1"/>
    </xf>
    <xf numFmtId="0" fontId="6" fillId="0" borderId="10"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6" xfId="0" applyFont="1" applyFill="1" applyBorder="1" applyAlignment="1">
      <alignment horizontal="center" vertical="top" wrapText="1"/>
    </xf>
    <xf numFmtId="0" fontId="5" fillId="0" borderId="15" xfId="0" applyFont="1" applyFill="1" applyBorder="1" applyAlignment="1">
      <alignment horizontal="center" vertical="top" wrapText="1"/>
    </xf>
    <xf numFmtId="49" fontId="5"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7"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3"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0" xfId="0" applyFont="1" applyFill="1" applyBorder="1" applyAlignment="1">
      <alignment horizontal="center" vertical="center" wrapText="1"/>
    </xf>
    <xf numFmtId="49" fontId="4" fillId="0" borderId="7"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4" fontId="6" fillId="0" borderId="10" xfId="0" applyNumberFormat="1" applyFont="1" applyFill="1" applyBorder="1" applyAlignment="1">
      <alignment vertical="top" wrapText="1"/>
    </xf>
    <xf numFmtId="4" fontId="6"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top" wrapText="1"/>
    </xf>
    <xf numFmtId="4" fontId="3" fillId="0" borderId="10" xfId="0" applyNumberFormat="1" applyFont="1" applyFill="1" applyBorder="1" applyAlignment="1">
      <alignment horizontal="center" vertical="center" wrapText="1"/>
    </xf>
    <xf numFmtId="4" fontId="4" fillId="0" borderId="10" xfId="0" applyNumberFormat="1" applyFont="1" applyFill="1" applyBorder="1" applyAlignment="1">
      <alignment horizontal="center" vertical="center" wrapText="1"/>
    </xf>
    <xf numFmtId="4" fontId="3" fillId="4" borderId="10" xfId="0" applyNumberFormat="1" applyFont="1" applyFill="1" applyBorder="1" applyAlignment="1">
      <alignment horizontal="center" vertical="top" wrapText="1"/>
    </xf>
    <xf numFmtId="4" fontId="3" fillId="2" borderId="10"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0" fontId="5" fillId="0" borderId="5"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7" xfId="0" applyFont="1" applyFill="1" applyBorder="1" applyAlignment="1">
      <alignment horizontal="center" vertical="top" wrapText="1"/>
    </xf>
    <xf numFmtId="0" fontId="3" fillId="0" borderId="7" xfId="0"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31" xfId="0" applyFont="1" applyFill="1" applyBorder="1" applyAlignment="1">
      <alignment horizontal="center" vertical="top"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left" vertical="top" wrapText="1"/>
    </xf>
    <xf numFmtId="49" fontId="5" fillId="0" borderId="10"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 fontId="3" fillId="0" borderId="18" xfId="0" applyNumberFormat="1" applyFont="1" applyFill="1" applyBorder="1" applyAlignment="1">
      <alignment horizontal="center" vertical="top"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6" xfId="0" applyFont="1" applyFill="1" applyBorder="1" applyAlignment="1">
      <alignment horizontal="center" vertical="center" wrapText="1"/>
    </xf>
    <xf numFmtId="0" fontId="3" fillId="0" borderId="6" xfId="0" applyFont="1" applyFill="1" applyBorder="1" applyAlignment="1">
      <alignment horizontal="center" vertical="top" wrapText="1"/>
    </xf>
    <xf numFmtId="0" fontId="5" fillId="0" borderId="8" xfId="0" applyFont="1" applyFill="1" applyBorder="1" applyAlignment="1">
      <alignment horizontal="center" vertical="center" wrapText="1"/>
    </xf>
    <xf numFmtId="4" fontId="12"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0" fontId="5" fillId="0" borderId="10" xfId="0" applyFont="1" applyFill="1" applyBorder="1" applyAlignment="1">
      <alignment horizontal="center" vertical="center" wrapText="1"/>
    </xf>
    <xf numFmtId="0" fontId="5" fillId="0" borderId="10" xfId="0" applyFont="1" applyFill="1" applyBorder="1" applyAlignment="1">
      <alignment horizontal="center" vertical="top" wrapText="1"/>
    </xf>
    <xf numFmtId="0" fontId="5" fillId="0" borderId="7"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1" xfId="0" applyFont="1" applyFill="1" applyBorder="1" applyAlignment="1">
      <alignment horizontal="center" vertical="top" wrapText="1"/>
    </xf>
    <xf numFmtId="0" fontId="6" fillId="0" borderId="10" xfId="0" applyFont="1" applyFill="1" applyBorder="1" applyAlignment="1">
      <alignment vertical="top" wrapText="1"/>
    </xf>
    <xf numFmtId="4" fontId="6" fillId="0" borderId="14" xfId="0" applyNumberFormat="1" applyFont="1" applyFill="1" applyBorder="1" applyAlignment="1">
      <alignment vertical="top" wrapText="1"/>
    </xf>
    <xf numFmtId="49" fontId="5" fillId="0" borderId="15" xfId="0" applyNumberFormat="1" applyFont="1" applyFill="1" applyBorder="1" applyAlignment="1">
      <alignment horizontal="center" vertical="top" wrapText="1"/>
    </xf>
    <xf numFmtId="4" fontId="6" fillId="0" borderId="16" xfId="0" applyNumberFormat="1" applyFont="1" applyFill="1" applyBorder="1" applyAlignment="1">
      <alignment vertical="top" wrapText="1"/>
    </xf>
    <xf numFmtId="0" fontId="5" fillId="0" borderId="14" xfId="0" applyFont="1" applyFill="1" applyBorder="1" applyAlignment="1">
      <alignment horizontal="left" vertical="center" wrapText="1"/>
    </xf>
    <xf numFmtId="4" fontId="3" fillId="3" borderId="10" xfId="0" applyNumberFormat="1" applyFont="1" applyFill="1" applyBorder="1" applyAlignment="1">
      <alignment horizontal="center" vertical="top" wrapText="1"/>
    </xf>
    <xf numFmtId="4" fontId="15" fillId="4" borderId="10" xfId="0" applyNumberFormat="1" applyFont="1" applyFill="1" applyBorder="1" applyAlignment="1">
      <alignment horizontal="center" vertical="top" wrapText="1"/>
    </xf>
    <xf numFmtId="4" fontId="15" fillId="3" borderId="10" xfId="0" applyNumberFormat="1" applyFont="1" applyFill="1" applyBorder="1" applyAlignment="1">
      <alignment horizontal="center" vertical="top" wrapText="1"/>
    </xf>
    <xf numFmtId="4" fontId="15" fillId="0" borderId="10" xfId="0" applyNumberFormat="1" applyFont="1" applyFill="1" applyBorder="1" applyAlignment="1">
      <alignment horizontal="center" vertical="top" wrapText="1"/>
    </xf>
    <xf numFmtId="4" fontId="3" fillId="5" borderId="10" xfId="0" applyNumberFormat="1" applyFont="1" applyFill="1" applyBorder="1" applyAlignment="1">
      <alignment horizontal="center" vertical="top" wrapText="1"/>
    </xf>
    <xf numFmtId="4" fontId="3" fillId="4" borderId="10"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5" fillId="0" borderId="16" xfId="0" applyNumberFormat="1" applyFont="1" applyFill="1" applyBorder="1" applyAlignment="1">
      <alignment horizontal="center" vertical="center" wrapText="1"/>
    </xf>
    <xf numFmtId="4" fontId="5" fillId="0" borderId="14" xfId="0" applyNumberFormat="1" applyFont="1" applyFill="1" applyBorder="1" applyAlignment="1">
      <alignment horizontal="center" vertical="center" wrapText="1"/>
    </xf>
    <xf numFmtId="0" fontId="14" fillId="0" borderId="10" xfId="0" applyFont="1" applyFill="1" applyBorder="1" applyAlignment="1">
      <alignment vertical="center" wrapText="1"/>
    </xf>
    <xf numFmtId="0" fontId="12" fillId="0" borderId="10" xfId="0" applyFont="1" applyFill="1" applyBorder="1" applyAlignment="1">
      <alignment horizontal="center" vertical="center" wrapText="1"/>
    </xf>
    <xf numFmtId="0" fontId="5" fillId="0" borderId="10" xfId="0" applyFont="1" applyFill="1" applyBorder="1" applyAlignment="1">
      <alignment vertical="center" wrapText="1"/>
    </xf>
    <xf numFmtId="4" fontId="5"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15" fillId="0" borderId="10"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top"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0" fontId="5" fillId="0" borderId="6" xfId="0" applyFont="1" applyFill="1" applyBorder="1" applyAlignment="1">
      <alignment horizontal="left" vertical="center"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 fontId="6" fillId="0" borderId="10" xfId="0" applyNumberFormat="1" applyFont="1" applyFill="1" applyBorder="1" applyAlignment="1">
      <alignment horizontal="right" vertical="top" wrapText="1"/>
    </xf>
    <xf numFmtId="4" fontId="5" fillId="0" borderId="10" xfId="0" applyNumberFormat="1" applyFont="1" applyFill="1" applyBorder="1" applyAlignment="1">
      <alignment horizontal="right" vertical="top" wrapText="1"/>
    </xf>
    <xf numFmtId="4" fontId="5" fillId="0" borderId="16" xfId="0" applyNumberFormat="1" applyFont="1" applyFill="1" applyBorder="1" applyAlignment="1">
      <alignment vertical="top" wrapText="1"/>
    </xf>
    <xf numFmtId="0" fontId="5" fillId="0" borderId="7"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6" xfId="0"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5" fillId="0" borderId="14" xfId="0" applyNumberFormat="1" applyFont="1" applyFill="1" applyBorder="1" applyAlignment="1">
      <alignment horizontal="center" vertical="top" wrapText="1"/>
    </xf>
    <xf numFmtId="49" fontId="5" fillId="0" borderId="18" xfId="0" applyNumberFormat="1" applyFont="1" applyFill="1" applyBorder="1" applyAlignment="1">
      <alignment horizontal="center" vertical="top" wrapText="1"/>
    </xf>
    <xf numFmtId="4" fontId="5" fillId="0" borderId="16" xfId="0" applyNumberFormat="1" applyFont="1" applyFill="1" applyBorder="1" applyAlignment="1">
      <alignment horizontal="center" vertical="top" wrapText="1"/>
    </xf>
    <xf numFmtId="49" fontId="5" fillId="0" borderId="3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center" wrapText="1"/>
    </xf>
    <xf numFmtId="0" fontId="6" fillId="0" borderId="10" xfId="0" applyFont="1" applyFill="1" applyBorder="1" applyAlignment="1">
      <alignment horizontal="center" vertical="top" wrapText="1"/>
    </xf>
    <xf numFmtId="49" fontId="5" fillId="0" borderId="10"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5" fillId="0" borderId="14"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center" vertical="center" wrapText="1"/>
    </xf>
    <xf numFmtId="0" fontId="5" fillId="0" borderId="13"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4" fillId="0" borderId="9"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16" xfId="0" applyFont="1" applyFill="1" applyBorder="1" applyAlignment="1">
      <alignment vertical="top" wrapText="1"/>
    </xf>
    <xf numFmtId="4" fontId="6" fillId="0" borderId="14" xfId="0" applyNumberFormat="1" applyFont="1" applyFill="1" applyBorder="1" applyAlignment="1">
      <alignment horizontal="right" vertical="top" wrapText="1"/>
    </xf>
    <xf numFmtId="0" fontId="5" fillId="0" borderId="7" xfId="0" applyFont="1" applyFill="1" applyBorder="1" applyAlignment="1">
      <alignment horizontal="left" vertical="top" wrapText="1"/>
    </xf>
    <xf numFmtId="4" fontId="6" fillId="0" borderId="16" xfId="0" applyNumberFormat="1" applyFont="1" applyFill="1" applyBorder="1" applyAlignment="1">
      <alignment horizontal="right" vertical="top" wrapText="1"/>
    </xf>
    <xf numFmtId="0" fontId="3" fillId="0" borderId="10" xfId="0" applyFont="1" applyFill="1" applyBorder="1" applyAlignment="1">
      <alignment horizontal="left" vertical="center" wrapText="1"/>
    </xf>
    <xf numFmtId="4" fontId="6" fillId="0" borderId="10" xfId="0" applyNumberFormat="1" applyFont="1" applyFill="1" applyBorder="1" applyAlignment="1">
      <alignment horizontal="right" vertical="center" wrapText="1"/>
    </xf>
    <xf numFmtId="0" fontId="7"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4" fontId="3" fillId="0" borderId="0" xfId="0" applyNumberFormat="1" applyFont="1" applyFill="1" applyBorder="1" applyAlignment="1">
      <alignment horizontal="center" vertical="top" wrapText="1"/>
    </xf>
    <xf numFmtId="4" fontId="3" fillId="2" borderId="0" xfId="0" applyNumberFormat="1" applyFont="1" applyFill="1" applyBorder="1" applyAlignment="1">
      <alignment horizontal="center" vertical="top" wrapText="1"/>
    </xf>
    <xf numFmtId="4" fontId="3" fillId="4" borderId="0" xfId="0" applyNumberFormat="1" applyFont="1" applyFill="1" applyBorder="1" applyAlignment="1">
      <alignment horizontal="center" vertical="top" wrapText="1"/>
    </xf>
    <xf numFmtId="4" fontId="3" fillId="3" borderId="0" xfId="0" applyNumberFormat="1" applyFont="1" applyFill="1" applyBorder="1" applyAlignment="1">
      <alignment horizontal="center" vertical="top" wrapText="1"/>
    </xf>
    <xf numFmtId="4" fontId="5" fillId="0" borderId="0" xfId="0" applyNumberFormat="1" applyFont="1" applyFill="1" applyBorder="1" applyAlignment="1">
      <alignment horizontal="center" vertical="top" wrapText="1"/>
    </xf>
    <xf numFmtId="4" fontId="4" fillId="0" borderId="0" xfId="0" applyNumberFormat="1" applyFont="1" applyFill="1" applyBorder="1" applyAlignment="1">
      <alignment horizontal="center" vertical="top" wrapText="1"/>
    </xf>
    <xf numFmtId="4" fontId="6" fillId="0" borderId="0" xfId="0" applyNumberFormat="1" applyFont="1" applyFill="1" applyBorder="1" applyAlignment="1">
      <alignment vertical="top" wrapText="1"/>
    </xf>
    <xf numFmtId="4" fontId="6" fillId="0" borderId="0" xfId="0" applyNumberFormat="1" applyFont="1" applyFill="1" applyBorder="1" applyAlignment="1">
      <alignment horizontal="center" vertical="top" wrapText="1"/>
    </xf>
    <xf numFmtId="4" fontId="15" fillId="0" borderId="0" xfId="0" applyNumberFormat="1" applyFont="1" applyFill="1" applyBorder="1" applyAlignment="1">
      <alignment horizontal="center" vertical="center" wrapText="1"/>
    </xf>
    <xf numFmtId="4" fontId="12" fillId="0" borderId="0" xfId="0" applyNumberFormat="1" applyFont="1" applyFill="1" applyBorder="1" applyAlignment="1">
      <alignment horizontal="center" vertical="top" wrapText="1"/>
    </xf>
    <xf numFmtId="4" fontId="6" fillId="0" borderId="0" xfId="0" applyNumberFormat="1" applyFont="1" applyFill="1" applyBorder="1" applyAlignment="1">
      <alignment horizontal="right" vertical="top" wrapText="1"/>
    </xf>
    <xf numFmtId="4" fontId="6" fillId="0" borderId="0" xfId="0" applyNumberFormat="1" applyFont="1" applyFill="1" applyBorder="1" applyAlignment="1">
      <alignment horizontal="right" vertical="center" wrapText="1"/>
    </xf>
    <xf numFmtId="4" fontId="12"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right" vertical="top" wrapText="1"/>
    </xf>
    <xf numFmtId="4" fontId="12" fillId="0" borderId="0" xfId="0" applyNumberFormat="1" applyFont="1" applyFill="1" applyBorder="1" applyAlignment="1">
      <alignment horizontal="right" vertical="center" wrapText="1"/>
    </xf>
    <xf numFmtId="4" fontId="3"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4" fontId="15" fillId="4" borderId="0" xfId="0" applyNumberFormat="1" applyFont="1" applyFill="1" applyBorder="1" applyAlignment="1">
      <alignment horizontal="center" vertical="top" wrapText="1"/>
    </xf>
    <xf numFmtId="4" fontId="15" fillId="3" borderId="0" xfId="0" applyNumberFormat="1" applyFont="1" applyFill="1" applyBorder="1" applyAlignment="1">
      <alignment horizontal="center" vertical="top" wrapText="1"/>
    </xf>
    <xf numFmtId="4" fontId="4" fillId="0" borderId="0" xfId="0" applyNumberFormat="1" applyFont="1" applyFill="1" applyBorder="1" applyAlignment="1">
      <alignment horizontal="center" vertical="center" wrapText="1"/>
    </xf>
    <xf numFmtId="4" fontId="15" fillId="0" borderId="0" xfId="0" applyNumberFormat="1" applyFont="1" applyFill="1" applyBorder="1" applyAlignment="1">
      <alignment horizontal="center" vertical="top" wrapText="1"/>
    </xf>
    <xf numFmtId="4" fontId="3" fillId="5" borderId="0" xfId="0" applyNumberFormat="1" applyFont="1" applyFill="1" applyBorder="1" applyAlignment="1">
      <alignment horizontal="center" vertical="top" wrapText="1"/>
    </xf>
    <xf numFmtId="4" fontId="3" fillId="4" borderId="0" xfId="0" applyNumberFormat="1" applyFont="1" applyFill="1" applyBorder="1" applyAlignment="1">
      <alignment horizontal="center" vertical="center" wrapText="1"/>
    </xf>
    <xf numFmtId="2" fontId="1" fillId="0" borderId="0" xfId="0" applyNumberFormat="1" applyFont="1" applyFill="1" applyAlignment="1">
      <alignment horizontal="center" vertical="center" wrapText="1"/>
    </xf>
    <xf numFmtId="49" fontId="12" fillId="0" borderId="16" xfId="0" applyNumberFormat="1" applyFont="1" applyFill="1" applyBorder="1" applyAlignment="1">
      <alignment horizontal="center" vertical="center" wrapText="1"/>
    </xf>
    <xf numFmtId="49" fontId="12" fillId="0" borderId="9" xfId="0" applyNumberFormat="1" applyFont="1" applyFill="1" applyBorder="1" applyAlignment="1">
      <alignment horizontal="center" vertical="center" wrapText="1"/>
    </xf>
    <xf numFmtId="4" fontId="12" fillId="0" borderId="16" xfId="0" applyNumberFormat="1" applyFont="1" applyFill="1" applyBorder="1" applyAlignment="1">
      <alignment horizontal="right" vertical="center" wrapText="1"/>
    </xf>
    <xf numFmtId="4" fontId="6" fillId="0" borderId="0" xfId="0" applyNumberFormat="1" applyFont="1" applyFill="1" applyAlignment="1">
      <alignment vertical="top" wrapText="1"/>
    </xf>
    <xf numFmtId="49" fontId="5" fillId="0" borderId="10" xfId="0" applyNumberFormat="1" applyFont="1" applyFill="1" applyBorder="1" applyAlignment="1">
      <alignment horizontal="center" vertical="top" wrapText="1"/>
    </xf>
    <xf numFmtId="4" fontId="5" fillId="0" borderId="10" xfId="0" applyNumberFormat="1" applyFont="1" applyFill="1" applyBorder="1" applyAlignment="1">
      <alignment horizontal="center" vertical="top"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17" fillId="0" borderId="0" xfId="0" applyNumberFormat="1" applyFont="1" applyFill="1" applyAlignment="1">
      <alignment vertical="top" wrapText="1"/>
    </xf>
    <xf numFmtId="4" fontId="17" fillId="0" borderId="0" xfId="0" applyNumberFormat="1" applyFont="1" applyFill="1" applyAlignment="1">
      <alignment horizontal="right" vertical="center" wrapText="1"/>
    </xf>
    <xf numFmtId="0" fontId="17" fillId="0" borderId="0" xfId="0" applyFont="1" applyFill="1" applyBorder="1" applyAlignment="1">
      <alignment vertical="top" wrapText="1"/>
    </xf>
    <xf numFmtId="0" fontId="17" fillId="0" borderId="0" xfId="0" applyFont="1" applyFill="1" applyAlignment="1">
      <alignment vertical="center"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0" fontId="3" fillId="0" borderId="10" xfId="0" applyFont="1" applyFill="1" applyBorder="1" applyAlignment="1">
      <alignment horizontal="center" vertical="center" wrapText="1"/>
    </xf>
    <xf numFmtId="0" fontId="5" fillId="0" borderId="10" xfId="0" applyFont="1" applyFill="1" applyBorder="1" applyAlignment="1">
      <alignment horizontal="center" vertical="top" wrapText="1"/>
    </xf>
    <xf numFmtId="0" fontId="5" fillId="0" borderId="23" xfId="0" applyFont="1" applyFill="1" applyBorder="1" applyAlignment="1">
      <alignment horizontal="center" vertical="top" wrapText="1"/>
    </xf>
    <xf numFmtId="0" fontId="5" fillId="0" borderId="34" xfId="0" applyFont="1" applyFill="1" applyBorder="1" applyAlignment="1">
      <alignment horizontal="center" vertical="top"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18" xfId="0" applyFont="1" applyFill="1" applyBorder="1" applyAlignment="1">
      <alignment horizontal="center" vertical="top" wrapText="1"/>
    </xf>
    <xf numFmtId="0" fontId="7"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0" borderId="10"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26"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25" xfId="0" applyFont="1" applyFill="1" applyBorder="1" applyAlignment="1">
      <alignment horizontal="center" vertical="top" wrapText="1"/>
    </xf>
    <xf numFmtId="0" fontId="3" fillId="0" borderId="1"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31" xfId="0" applyFont="1" applyFill="1" applyBorder="1" applyAlignment="1">
      <alignment horizontal="center" vertical="top" wrapText="1"/>
    </xf>
    <xf numFmtId="0" fontId="5" fillId="0" borderId="28"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3" fillId="0" borderId="32" xfId="0" applyFont="1" applyFill="1" applyBorder="1" applyAlignment="1">
      <alignment horizontal="center" vertical="center" wrapText="1"/>
    </xf>
    <xf numFmtId="49" fontId="7" fillId="0" borderId="14" xfId="0" applyNumberFormat="1" applyFont="1" applyFill="1" applyBorder="1" applyAlignment="1">
      <alignment horizontal="center" vertical="top" wrapText="1"/>
    </xf>
    <xf numFmtId="49" fontId="7" fillId="0" borderId="17" xfId="0" applyNumberFormat="1" applyFont="1" applyFill="1" applyBorder="1" applyAlignment="1">
      <alignment horizontal="center" vertical="top" wrapText="1"/>
    </xf>
    <xf numFmtId="49" fontId="7" fillId="0" borderId="16"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13" xfId="0" applyFont="1" applyFill="1" applyBorder="1" applyAlignment="1">
      <alignment horizontal="left" vertical="top" wrapText="1"/>
    </xf>
    <xf numFmtId="0" fontId="5" fillId="0" borderId="14" xfId="0" applyFont="1" applyFill="1" applyBorder="1" applyAlignment="1">
      <alignment horizontal="center" vertical="top" wrapText="1"/>
    </xf>
    <xf numFmtId="0" fontId="5" fillId="0" borderId="17" xfId="0" applyFont="1" applyFill="1" applyBorder="1" applyAlignment="1">
      <alignment horizontal="center" vertical="top" wrapText="1"/>
    </xf>
    <xf numFmtId="0" fontId="3" fillId="0" borderId="14" xfId="0" applyFont="1" applyFill="1" applyBorder="1" applyAlignment="1">
      <alignment horizontal="center" vertical="top" wrapText="1"/>
    </xf>
    <xf numFmtId="0" fontId="5" fillId="0" borderId="16" xfId="0" applyFont="1" applyFill="1" applyBorder="1" applyAlignment="1">
      <alignment horizontal="center" vertical="top" wrapText="1"/>
    </xf>
    <xf numFmtId="0" fontId="3" fillId="0" borderId="17" xfId="0" applyFont="1" applyFill="1" applyBorder="1" applyAlignment="1">
      <alignment horizontal="center" vertical="top" wrapText="1"/>
    </xf>
    <xf numFmtId="0" fontId="3" fillId="0" borderId="16" xfId="0" applyFont="1" applyFill="1" applyBorder="1" applyAlignment="1">
      <alignment horizontal="center" vertical="top" wrapText="1"/>
    </xf>
    <xf numFmtId="49" fontId="5" fillId="0" borderId="5"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49" fontId="5" fillId="0" borderId="31"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top" wrapText="1"/>
    </xf>
    <xf numFmtId="49" fontId="5" fillId="0" borderId="31"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35" xfId="0" applyFont="1" applyFill="1" applyBorder="1" applyAlignment="1">
      <alignment horizontal="center" vertical="top" wrapText="1"/>
    </xf>
    <xf numFmtId="0" fontId="3" fillId="0" borderId="1" xfId="0" applyFont="1" applyFill="1" applyBorder="1" applyAlignment="1">
      <alignment horizontal="left" vertical="top" wrapText="1"/>
    </xf>
    <xf numFmtId="49" fontId="5" fillId="0" borderId="36"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top" wrapText="1"/>
    </xf>
    <xf numFmtId="0" fontId="0" fillId="0" borderId="6" xfId="0" applyFont="1" applyFill="1" applyBorder="1" applyAlignment="1">
      <alignment horizontal="center" vertical="top" wrapText="1"/>
    </xf>
    <xf numFmtId="0" fontId="0" fillId="0" borderId="7" xfId="0" applyFont="1" applyFill="1" applyBorder="1" applyAlignment="1">
      <alignment horizontal="center" vertical="top"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0" fontId="7" fillId="0" borderId="5"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5" fillId="0" borderId="22" xfId="0" applyFont="1" applyFill="1" applyBorder="1" applyAlignment="1">
      <alignment horizontal="center" vertical="top" wrapText="1"/>
    </xf>
    <xf numFmtId="0" fontId="5" fillId="0" borderId="24" xfId="0" applyFont="1" applyFill="1" applyBorder="1" applyAlignment="1">
      <alignment horizontal="center" vertical="top" wrapText="1"/>
    </xf>
    <xf numFmtId="0" fontId="5" fillId="0" borderId="25" xfId="0"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3" fillId="0" borderId="7" xfId="0" applyFont="1" applyFill="1" applyBorder="1" applyAlignment="1">
      <alignment horizontal="center" vertical="top" wrapText="1"/>
    </xf>
    <xf numFmtId="0" fontId="8" fillId="0" borderId="5" xfId="0" applyFont="1" applyFill="1" applyBorder="1" applyAlignment="1">
      <alignment horizontal="center" vertical="top" wrapText="1"/>
    </xf>
    <xf numFmtId="0" fontId="8" fillId="0" borderId="6" xfId="0" applyFont="1" applyFill="1" applyBorder="1" applyAlignment="1">
      <alignment horizontal="center" vertical="top" wrapText="1"/>
    </xf>
    <xf numFmtId="0" fontId="8" fillId="0" borderId="7" xfId="0" applyFont="1" applyFill="1" applyBorder="1" applyAlignment="1">
      <alignment horizontal="center" vertical="top" wrapText="1"/>
    </xf>
    <xf numFmtId="0" fontId="5" fillId="0" borderId="2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5" fillId="0" borderId="6"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49" fontId="4" fillId="0" borderId="6" xfId="0" applyNumberFormat="1" applyFont="1" applyFill="1" applyBorder="1" applyAlignment="1">
      <alignment horizontal="center" vertical="top" wrapText="1"/>
    </xf>
    <xf numFmtId="49" fontId="4" fillId="0" borderId="7" xfId="0" applyNumberFormat="1" applyFont="1" applyFill="1" applyBorder="1" applyAlignment="1">
      <alignment horizontal="center" vertical="top"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5" fillId="0" borderId="13"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11" fillId="0" borderId="10" xfId="0"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12" fillId="0" borderId="7" xfId="0" applyNumberFormat="1" applyFont="1" applyFill="1" applyBorder="1" applyAlignment="1">
      <alignment horizontal="center" vertical="center" wrapText="1"/>
    </xf>
    <xf numFmtId="49" fontId="5" fillId="0" borderId="17"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49" fontId="5" fillId="0" borderId="21" xfId="0" applyNumberFormat="1" applyFont="1" applyFill="1" applyBorder="1" applyAlignment="1">
      <alignment horizontal="center" vertical="center" wrapText="1"/>
    </xf>
    <xf numFmtId="4" fontId="12" fillId="0" borderId="10"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12" xfId="0"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0" fontId="3" fillId="3" borderId="1" xfId="0" applyFont="1" applyFill="1" applyBorder="1" applyAlignment="1">
      <alignment horizontal="left" vertical="center" wrapText="1"/>
    </xf>
    <xf numFmtId="0" fontId="7" fillId="0" borderId="27"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5" fillId="0" borderId="9" xfId="0" applyFont="1" applyFill="1" applyBorder="1" applyAlignment="1">
      <alignment horizontal="center" vertical="top" wrapText="1"/>
    </xf>
    <xf numFmtId="0" fontId="5" fillId="0" borderId="6" xfId="0" applyFont="1" applyFill="1" applyBorder="1" applyAlignment="1">
      <alignment horizontal="left" vertical="center" wrapText="1"/>
    </xf>
    <xf numFmtId="4" fontId="5" fillId="0" borderId="10" xfId="0" applyNumberFormat="1" applyFont="1" applyFill="1" applyBorder="1" applyAlignment="1">
      <alignment horizontal="center" vertical="center" wrapText="1"/>
    </xf>
    <xf numFmtId="49" fontId="5" fillId="0" borderId="17" xfId="0" applyNumberFormat="1" applyFont="1" applyFill="1" applyBorder="1" applyAlignment="1">
      <alignment horizontal="center" vertical="top" wrapText="1"/>
    </xf>
    <xf numFmtId="0" fontId="5" fillId="0" borderId="41" xfId="0" applyFont="1" applyFill="1" applyBorder="1" applyAlignment="1">
      <alignment horizontal="center" vertical="top" wrapText="1"/>
    </xf>
    <xf numFmtId="0" fontId="3"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23" xfId="0" applyNumberFormat="1" applyFont="1" applyFill="1" applyBorder="1" applyAlignment="1">
      <alignment horizontal="center" vertical="center" wrapText="1"/>
    </xf>
    <xf numFmtId="49" fontId="7" fillId="0" borderId="2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49" fontId="5" fillId="0" borderId="15" xfId="0" applyNumberFormat="1" applyFont="1" applyFill="1" applyBorder="1" applyAlignment="1">
      <alignment horizontal="center" vertical="center" wrapText="1"/>
    </xf>
  </cellXfs>
  <cellStyles count="2">
    <cellStyle name="xl78" xfId="1"/>
    <cellStyle name="Обычный" xfId="0" builtinId="0"/>
  </cellStyles>
  <dxfs count="0"/>
  <tableStyles count="0" defaultTableStyle="TableStyleMedium9" defaultPivotStyle="PivotStyleLight16"/>
  <colors>
    <mruColors>
      <color rgb="FF0000FF"/>
      <color rgb="FFCCFFCC"/>
      <color rgb="FF00FF00"/>
      <color rgb="FFFFCCCC"/>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33"/>
  <sheetViews>
    <sheetView tabSelected="1" zoomScale="80" zoomScaleNormal="80" workbookViewId="0">
      <selection activeCell="D12" sqref="D12:D13"/>
    </sheetView>
  </sheetViews>
  <sheetFormatPr defaultRowHeight="12.75" x14ac:dyDescent="0.2"/>
  <cols>
    <col min="1" max="1" width="45.33203125" customWidth="1"/>
    <col min="2" max="3" width="9.1640625" customWidth="1"/>
    <col min="4" max="4" width="44.33203125" customWidth="1"/>
    <col min="5" max="5" width="12" customWidth="1"/>
    <col min="6" max="6" width="40" customWidth="1"/>
    <col min="7" max="7" width="8.5" customWidth="1"/>
    <col min="8" max="8" width="62.6640625" customWidth="1"/>
    <col min="9" max="9" width="9.1640625" customWidth="1"/>
    <col min="10" max="10" width="6.33203125" customWidth="1"/>
    <col min="11" max="14" width="8.83203125" style="15" customWidth="1"/>
    <col min="15" max="15" width="18" customWidth="1"/>
    <col min="16" max="16" width="16.83203125" customWidth="1"/>
    <col min="17" max="19" width="17.5" customWidth="1"/>
    <col min="20" max="21" width="19" hidden="1" customWidth="1"/>
    <col min="22" max="22" width="20.1640625" style="238" customWidth="1"/>
    <col min="23" max="23" width="18.6640625" hidden="1" customWidth="1"/>
    <col min="24" max="24" width="20.83203125" customWidth="1"/>
    <col min="25" max="25" width="18.33203125" customWidth="1"/>
  </cols>
  <sheetData>
    <row r="1" spans="1:23" ht="24.75" customHeight="1" x14ac:dyDescent="0.2">
      <c r="A1" s="272" t="s">
        <v>571</v>
      </c>
      <c r="B1" s="272"/>
      <c r="C1" s="272"/>
      <c r="D1" s="272"/>
      <c r="E1" s="272"/>
      <c r="F1" s="272"/>
      <c r="G1" s="272"/>
      <c r="H1" s="272"/>
      <c r="I1" s="272"/>
      <c r="J1" s="272"/>
      <c r="K1" s="272"/>
      <c r="L1" s="272"/>
      <c r="M1" s="272"/>
      <c r="N1" s="272"/>
      <c r="O1" s="272"/>
      <c r="P1" s="272"/>
      <c r="Q1" s="272"/>
      <c r="R1" s="272"/>
      <c r="S1" s="272"/>
      <c r="T1" s="231"/>
      <c r="U1" s="231"/>
    </row>
    <row r="2" spans="1:23" ht="12.75" customHeight="1" x14ac:dyDescent="0.2">
      <c r="A2" s="272" t="s">
        <v>0</v>
      </c>
      <c r="B2" s="272"/>
      <c r="C2" s="272"/>
      <c r="D2" s="272"/>
      <c r="E2" s="272"/>
      <c r="F2" s="272"/>
      <c r="G2" s="272"/>
      <c r="H2" s="272"/>
      <c r="I2" s="272"/>
      <c r="J2" s="272"/>
      <c r="K2" s="272"/>
      <c r="L2" s="272"/>
      <c r="M2" s="272"/>
      <c r="N2" s="272"/>
      <c r="O2" s="272"/>
      <c r="P2" s="272"/>
      <c r="Q2" s="272"/>
      <c r="R2" s="272"/>
      <c r="S2" s="272"/>
      <c r="T2" s="196"/>
      <c r="U2" s="196"/>
    </row>
    <row r="3" spans="1:23" ht="12.75" customHeight="1" x14ac:dyDescent="0.2">
      <c r="A3" s="273" t="s">
        <v>0</v>
      </c>
      <c r="B3" s="273"/>
      <c r="C3" s="273"/>
      <c r="D3" s="273"/>
      <c r="E3" s="273"/>
      <c r="F3" s="273"/>
      <c r="G3" s="273"/>
      <c r="H3" s="273"/>
      <c r="I3" s="273"/>
      <c r="J3" s="273"/>
      <c r="K3" s="273"/>
      <c r="L3" s="273"/>
      <c r="M3" s="273"/>
      <c r="N3" s="273"/>
      <c r="O3" s="273"/>
      <c r="P3" s="273"/>
      <c r="Q3" s="273"/>
      <c r="R3" s="273"/>
      <c r="S3" s="273"/>
      <c r="T3" s="197"/>
      <c r="U3" s="197"/>
    </row>
    <row r="4" spans="1:23" ht="36" customHeight="1" x14ac:dyDescent="0.2">
      <c r="A4" s="274" t="s">
        <v>1</v>
      </c>
      <c r="B4" s="274" t="s">
        <v>2</v>
      </c>
      <c r="C4" s="274" t="s">
        <v>3</v>
      </c>
      <c r="D4" s="276" t="s">
        <v>400</v>
      </c>
      <c r="E4" s="274"/>
      <c r="F4" s="274"/>
      <c r="G4" s="274"/>
      <c r="H4" s="274"/>
      <c r="I4" s="274"/>
      <c r="J4" s="274" t="s">
        <v>4</v>
      </c>
      <c r="K4" s="277" t="s">
        <v>271</v>
      </c>
      <c r="L4" s="278"/>
      <c r="M4" s="278"/>
      <c r="N4" s="279"/>
      <c r="O4" s="249" t="s">
        <v>543</v>
      </c>
      <c r="P4" s="280" t="s">
        <v>276</v>
      </c>
      <c r="Q4" s="280"/>
      <c r="R4" s="280"/>
      <c r="S4" s="280"/>
      <c r="T4" s="384" t="s">
        <v>567</v>
      </c>
      <c r="U4" s="385"/>
    </row>
    <row r="5" spans="1:23" ht="13.5" customHeight="1" x14ac:dyDescent="0.2">
      <c r="A5" s="274" t="s">
        <v>0</v>
      </c>
      <c r="B5" s="274" t="s">
        <v>0</v>
      </c>
      <c r="C5" s="274" t="s">
        <v>0</v>
      </c>
      <c r="D5" s="281" t="s">
        <v>5</v>
      </c>
      <c r="E5" s="259"/>
      <c r="F5" s="258" t="s">
        <v>403</v>
      </c>
      <c r="G5" s="259"/>
      <c r="H5" s="258" t="s">
        <v>404</v>
      </c>
      <c r="I5" s="259"/>
      <c r="J5" s="274" t="s">
        <v>0</v>
      </c>
      <c r="K5" s="389" t="s">
        <v>272</v>
      </c>
      <c r="L5" s="389" t="s">
        <v>273</v>
      </c>
      <c r="M5" s="389" t="s">
        <v>274</v>
      </c>
      <c r="N5" s="386" t="s">
        <v>275</v>
      </c>
      <c r="O5" s="280"/>
      <c r="P5" s="249" t="s">
        <v>544</v>
      </c>
      <c r="Q5" s="249" t="s">
        <v>545</v>
      </c>
      <c r="R5" s="280" t="s">
        <v>378</v>
      </c>
      <c r="S5" s="280"/>
      <c r="T5" s="206"/>
      <c r="U5" s="206"/>
    </row>
    <row r="6" spans="1:23" ht="21" customHeight="1" x14ac:dyDescent="0.2">
      <c r="A6" s="274" t="s">
        <v>0</v>
      </c>
      <c r="B6" s="274" t="s">
        <v>0</v>
      </c>
      <c r="C6" s="275" t="s">
        <v>0</v>
      </c>
      <c r="D6" s="280" t="s">
        <v>401</v>
      </c>
      <c r="E6" s="280" t="s">
        <v>402</v>
      </c>
      <c r="F6" s="280" t="s">
        <v>401</v>
      </c>
      <c r="G6" s="280" t="s">
        <v>402</v>
      </c>
      <c r="H6" s="280" t="s">
        <v>401</v>
      </c>
      <c r="I6" s="280" t="s">
        <v>402</v>
      </c>
      <c r="J6" s="274" t="s">
        <v>0</v>
      </c>
      <c r="K6" s="390"/>
      <c r="L6" s="390"/>
      <c r="M6" s="390"/>
      <c r="N6" s="387"/>
      <c r="O6" s="280"/>
      <c r="P6" s="249"/>
      <c r="Q6" s="249"/>
      <c r="R6" s="249" t="s">
        <v>505</v>
      </c>
      <c r="S6" s="249" t="s">
        <v>546</v>
      </c>
      <c r="T6" s="207">
        <v>2025</v>
      </c>
      <c r="U6" s="207">
        <v>2026</v>
      </c>
    </row>
    <row r="7" spans="1:23" ht="13.5" customHeight="1" x14ac:dyDescent="0.2">
      <c r="A7" s="274" t="s">
        <v>0</v>
      </c>
      <c r="B7" s="274" t="s">
        <v>0</v>
      </c>
      <c r="C7" s="275" t="s">
        <v>0</v>
      </c>
      <c r="D7" s="280"/>
      <c r="E7" s="249"/>
      <c r="F7" s="280"/>
      <c r="G7" s="249"/>
      <c r="H7" s="280"/>
      <c r="I7" s="249"/>
      <c r="J7" s="274" t="s">
        <v>0</v>
      </c>
      <c r="K7" s="391"/>
      <c r="L7" s="391"/>
      <c r="M7" s="391"/>
      <c r="N7" s="388"/>
      <c r="O7" s="280"/>
      <c r="P7" s="249"/>
      <c r="Q7" s="249"/>
      <c r="R7" s="280"/>
      <c r="S7" s="280"/>
      <c r="T7" s="206"/>
      <c r="U7" s="206"/>
    </row>
    <row r="8" spans="1:23" ht="13.5" customHeight="1" x14ac:dyDescent="0.2">
      <c r="A8" s="75" t="s">
        <v>6</v>
      </c>
      <c r="B8" s="75" t="s">
        <v>7</v>
      </c>
      <c r="C8" s="75" t="s">
        <v>8</v>
      </c>
      <c r="D8" s="77" t="s">
        <v>9</v>
      </c>
      <c r="E8" s="77" t="s">
        <v>10</v>
      </c>
      <c r="F8" s="75" t="s">
        <v>12</v>
      </c>
      <c r="G8" s="75" t="s">
        <v>13</v>
      </c>
      <c r="H8" s="75" t="s">
        <v>22</v>
      </c>
      <c r="I8" s="75" t="s">
        <v>23</v>
      </c>
      <c r="J8" s="75" t="s">
        <v>24</v>
      </c>
      <c r="K8" s="12"/>
      <c r="L8" s="12"/>
      <c r="M8" s="12"/>
      <c r="N8" s="12"/>
      <c r="O8" s="19"/>
      <c r="P8" s="110">
        <f>P270</f>
        <v>0</v>
      </c>
      <c r="Q8" s="110">
        <f t="shared" ref="Q8:S8" si="0">Q270</f>
        <v>2132705.2500001192</v>
      </c>
      <c r="R8" s="110">
        <f t="shared" si="0"/>
        <v>0</v>
      </c>
      <c r="S8" s="110">
        <f t="shared" si="0"/>
        <v>0</v>
      </c>
      <c r="T8" s="208"/>
      <c r="U8" s="208"/>
    </row>
    <row r="9" spans="1:23" ht="25.5" customHeight="1" x14ac:dyDescent="0.2">
      <c r="A9" s="3" t="s">
        <v>30</v>
      </c>
      <c r="B9" s="75" t="s">
        <v>31</v>
      </c>
      <c r="C9" s="75" t="s">
        <v>32</v>
      </c>
      <c r="D9" s="2"/>
      <c r="E9" s="2"/>
      <c r="F9" s="75" t="s">
        <v>0</v>
      </c>
      <c r="G9" s="75" t="s">
        <v>0</v>
      </c>
      <c r="H9" s="75" t="s">
        <v>0</v>
      </c>
      <c r="I9" s="75" t="s">
        <v>0</v>
      </c>
      <c r="J9" s="75" t="s">
        <v>0</v>
      </c>
      <c r="K9" s="12"/>
      <c r="L9" s="12"/>
      <c r="M9" s="12"/>
      <c r="N9" s="12"/>
      <c r="O9" s="96">
        <f t="shared" ref="O9" si="1">O267</f>
        <v>348293174.62</v>
      </c>
      <c r="P9" s="96">
        <f t="shared" ref="P9:Q9" si="2">P267</f>
        <v>342059544.35000002</v>
      </c>
      <c r="Q9" s="96">
        <f t="shared" si="2"/>
        <v>685352056.11999989</v>
      </c>
      <c r="R9" s="96">
        <f>R267</f>
        <v>526373219.10000002</v>
      </c>
      <c r="S9" s="96">
        <f>S267</f>
        <v>336789825.97000003</v>
      </c>
      <c r="T9" s="209"/>
      <c r="U9" s="209"/>
    </row>
    <row r="10" spans="1:23" ht="27.75" customHeight="1" x14ac:dyDescent="0.2">
      <c r="A10" s="4" t="s">
        <v>33</v>
      </c>
      <c r="B10" s="75" t="s">
        <v>34</v>
      </c>
      <c r="C10" s="75" t="s">
        <v>35</v>
      </c>
      <c r="D10" s="2"/>
      <c r="E10" s="75"/>
      <c r="F10" s="75" t="s">
        <v>0</v>
      </c>
      <c r="G10" s="75" t="s">
        <v>0</v>
      </c>
      <c r="H10" s="75" t="s">
        <v>0</v>
      </c>
      <c r="I10" s="75" t="s">
        <v>0</v>
      </c>
      <c r="J10" s="75" t="s">
        <v>0</v>
      </c>
      <c r="K10" s="12"/>
      <c r="L10" s="12"/>
      <c r="M10" s="12"/>
      <c r="N10" s="12"/>
      <c r="O10" s="95">
        <f>O11+O136</f>
        <v>142346885.52000001</v>
      </c>
      <c r="P10" s="95">
        <f>P11+P136</f>
        <v>140601361.65000001</v>
      </c>
      <c r="Q10" s="95">
        <f>Q11+Q136</f>
        <v>446017588.08999991</v>
      </c>
      <c r="R10" s="95">
        <f>R11+R136</f>
        <v>308730232.48000002</v>
      </c>
      <c r="S10" s="95">
        <f>S11+S136</f>
        <v>116525169.17999999</v>
      </c>
      <c r="T10" s="210"/>
      <c r="U10" s="210"/>
    </row>
    <row r="11" spans="1:23" ht="26.25" customHeight="1" x14ac:dyDescent="0.2">
      <c r="A11" s="5" t="s">
        <v>36</v>
      </c>
      <c r="B11" s="75" t="s">
        <v>37</v>
      </c>
      <c r="C11" s="75" t="s">
        <v>38</v>
      </c>
      <c r="D11" s="2"/>
      <c r="E11" s="75"/>
      <c r="F11" s="76" t="s">
        <v>0</v>
      </c>
      <c r="G11" s="76" t="s">
        <v>0</v>
      </c>
      <c r="H11" s="76" t="s">
        <v>0</v>
      </c>
      <c r="I11" s="76" t="s">
        <v>0</v>
      </c>
      <c r="J11" s="76" t="s">
        <v>0</v>
      </c>
      <c r="K11" s="58"/>
      <c r="L11" s="58"/>
      <c r="M11" s="58"/>
      <c r="N11" s="58"/>
      <c r="O11" s="132">
        <f>O12+O13+O14+O15+O20+O31+O44+O57+O58+O68+O78+O85+O94+O97+O106+O110+O111+O112+O113+O119+O124+O130</f>
        <v>136527207.18000001</v>
      </c>
      <c r="P11" s="132">
        <f>P12+P13+P14+P15+P20+P31+P44+P57+P58+P68+P78+P85+P94+P97+P106+P110+P111+P112+P113+P119+P124+P130</f>
        <v>134783343.01000002</v>
      </c>
      <c r="Q11" s="132">
        <f>Q12+Q13+Q14+Q15+Q20+Q31+Q44+Q57+Q58+Q68+Q78+Q85+Q94+Q97+Q106+Q110+Q111+Q112+Q113+Q119+Q124+Q130</f>
        <v>440123988.08999991</v>
      </c>
      <c r="R11" s="132">
        <f>R12+R13+R14+R15+R20+R31+R44+R57+R58+R68+R78+R85+R94+R97+R106+R110+R111+R112+R113+R119+R124+R130</f>
        <v>302836632.48000002</v>
      </c>
      <c r="S11" s="132">
        <f>S12+S13+S14+S15+S20+S31+S44+S57+S58+S68+S78+S85+S94+S97+S106+S110+S111+S112+S113+S119+S124+S130</f>
        <v>110631569.17999999</v>
      </c>
      <c r="T11" s="211"/>
      <c r="U11" s="211"/>
    </row>
    <row r="12" spans="1:23" s="1" customFormat="1" ht="27" customHeight="1" x14ac:dyDescent="0.2">
      <c r="A12" s="262" t="s">
        <v>39</v>
      </c>
      <c r="B12" s="262" t="s">
        <v>40</v>
      </c>
      <c r="C12" s="262" t="s">
        <v>41</v>
      </c>
      <c r="D12" s="262" t="s">
        <v>267</v>
      </c>
      <c r="E12" s="256" t="s">
        <v>268</v>
      </c>
      <c r="F12" s="250" t="s">
        <v>413</v>
      </c>
      <c r="G12" s="250" t="s">
        <v>42</v>
      </c>
      <c r="H12" s="250" t="s">
        <v>405</v>
      </c>
      <c r="I12" s="250" t="s">
        <v>42</v>
      </c>
      <c r="J12" s="250" t="s">
        <v>17</v>
      </c>
      <c r="K12" s="73" t="s">
        <v>281</v>
      </c>
      <c r="L12" s="73" t="s">
        <v>206</v>
      </c>
      <c r="M12" s="73" t="s">
        <v>287</v>
      </c>
      <c r="N12" s="73" t="s">
        <v>288</v>
      </c>
      <c r="O12" s="90">
        <v>140000</v>
      </c>
      <c r="P12" s="90">
        <v>140000</v>
      </c>
      <c r="Q12" s="90">
        <f>90000+40000</f>
        <v>130000</v>
      </c>
      <c r="R12" s="121"/>
      <c r="S12" s="121"/>
      <c r="T12" s="212"/>
      <c r="U12" s="212"/>
      <c r="V12" s="244"/>
      <c r="W12" s="1">
        <v>50000</v>
      </c>
    </row>
    <row r="13" spans="1:23" s="1" customFormat="1" ht="27" customHeight="1" x14ac:dyDescent="0.2">
      <c r="A13" s="264"/>
      <c r="B13" s="264"/>
      <c r="C13" s="264"/>
      <c r="D13" s="264"/>
      <c r="E13" s="257"/>
      <c r="F13" s="250"/>
      <c r="G13" s="250"/>
      <c r="H13" s="250"/>
      <c r="I13" s="250"/>
      <c r="J13" s="250"/>
      <c r="K13" s="73" t="s">
        <v>286</v>
      </c>
      <c r="L13" s="73" t="s">
        <v>294</v>
      </c>
      <c r="M13" s="73" t="s">
        <v>287</v>
      </c>
      <c r="N13" s="73" t="s">
        <v>295</v>
      </c>
      <c r="O13" s="90">
        <f>1000000-140000</f>
        <v>860000</v>
      </c>
      <c r="P13" s="90">
        <v>0</v>
      </c>
      <c r="Q13" s="90">
        <f>910000-40000</f>
        <v>870000</v>
      </c>
      <c r="R13" s="121"/>
      <c r="S13" s="121"/>
      <c r="T13" s="212"/>
      <c r="U13" s="212"/>
      <c r="V13" s="244"/>
      <c r="W13" s="1">
        <v>-50000</v>
      </c>
    </row>
    <row r="14" spans="1:23" s="1" customFormat="1" ht="75" customHeight="1" x14ac:dyDescent="0.2">
      <c r="A14" s="65" t="s">
        <v>499</v>
      </c>
      <c r="B14" s="65" t="s">
        <v>498</v>
      </c>
      <c r="C14" s="65">
        <v>1016</v>
      </c>
      <c r="D14" s="65" t="s">
        <v>267</v>
      </c>
      <c r="E14" s="66" t="s">
        <v>268</v>
      </c>
      <c r="F14" s="84" t="s">
        <v>502</v>
      </c>
      <c r="G14" s="84" t="s">
        <v>42</v>
      </c>
      <c r="H14" s="84" t="s">
        <v>503</v>
      </c>
      <c r="I14" s="84"/>
      <c r="J14" s="84"/>
      <c r="K14" s="73" t="s">
        <v>281</v>
      </c>
      <c r="L14" s="73" t="s">
        <v>500</v>
      </c>
      <c r="M14" s="73" t="s">
        <v>501</v>
      </c>
      <c r="N14" s="73" t="s">
        <v>282</v>
      </c>
      <c r="O14" s="90"/>
      <c r="P14" s="90"/>
      <c r="Q14" s="90"/>
      <c r="R14" s="149"/>
      <c r="S14" s="149"/>
      <c r="T14" s="212"/>
      <c r="U14" s="212"/>
      <c r="V14" s="238"/>
    </row>
    <row r="15" spans="1:23" s="1" customFormat="1" ht="33" customHeight="1" x14ac:dyDescent="0.2">
      <c r="A15" s="262" t="s">
        <v>43</v>
      </c>
      <c r="B15" s="262" t="s">
        <v>44</v>
      </c>
      <c r="C15" s="262" t="s">
        <v>45</v>
      </c>
      <c r="D15" s="262" t="s">
        <v>267</v>
      </c>
      <c r="E15" s="262" t="s">
        <v>268</v>
      </c>
      <c r="F15" s="263" t="s">
        <v>407</v>
      </c>
      <c r="G15" s="263" t="s">
        <v>42</v>
      </c>
      <c r="H15" s="263" t="s">
        <v>479</v>
      </c>
      <c r="I15" s="263" t="s">
        <v>0</v>
      </c>
      <c r="J15" s="251" t="s">
        <v>11</v>
      </c>
      <c r="K15" s="253" t="s">
        <v>289</v>
      </c>
      <c r="L15" s="253" t="s">
        <v>47</v>
      </c>
      <c r="M15" s="72" t="s">
        <v>285</v>
      </c>
      <c r="N15" s="72" t="s">
        <v>285</v>
      </c>
      <c r="O15" s="152">
        <f t="shared" ref="O15" si="3">SUM(O16:O19)</f>
        <v>9630549</v>
      </c>
      <c r="P15" s="121">
        <f t="shared" ref="P15:S15" si="4">SUM(P16:P19)</f>
        <v>9630549</v>
      </c>
      <c r="Q15" s="149">
        <f t="shared" si="4"/>
        <v>11205840</v>
      </c>
      <c r="R15" s="149">
        <f t="shared" si="4"/>
        <v>8854220</v>
      </c>
      <c r="S15" s="149">
        <f t="shared" si="4"/>
        <v>8854220</v>
      </c>
      <c r="T15" s="212"/>
      <c r="U15" s="212"/>
      <c r="V15" s="238"/>
    </row>
    <row r="16" spans="1:23" s="8" customFormat="1" ht="33" customHeight="1" x14ac:dyDescent="0.2">
      <c r="A16" s="263"/>
      <c r="B16" s="263"/>
      <c r="C16" s="263"/>
      <c r="D16" s="263"/>
      <c r="E16" s="263"/>
      <c r="F16" s="263"/>
      <c r="G16" s="263"/>
      <c r="H16" s="263"/>
      <c r="I16" s="263"/>
      <c r="J16" s="251"/>
      <c r="K16" s="254"/>
      <c r="L16" s="254"/>
      <c r="M16" s="73" t="s">
        <v>351</v>
      </c>
      <c r="N16" s="73" t="s">
        <v>292</v>
      </c>
      <c r="O16" s="90">
        <v>9179202</v>
      </c>
      <c r="P16" s="90">
        <v>9179202</v>
      </c>
      <c r="Q16" s="90">
        <v>10130300</v>
      </c>
      <c r="R16" s="149">
        <v>8433400</v>
      </c>
      <c r="S16" s="149">
        <v>8433400</v>
      </c>
      <c r="T16" s="212"/>
      <c r="U16" s="212"/>
      <c r="V16" s="238"/>
    </row>
    <row r="17" spans="1:24" s="8" customFormat="1" ht="33" customHeight="1" x14ac:dyDescent="0.2">
      <c r="A17" s="263"/>
      <c r="B17" s="263"/>
      <c r="C17" s="263"/>
      <c r="D17" s="263"/>
      <c r="E17" s="263"/>
      <c r="F17" s="263"/>
      <c r="G17" s="263"/>
      <c r="H17" s="263"/>
      <c r="I17" s="263"/>
      <c r="J17" s="251"/>
      <c r="K17" s="254"/>
      <c r="L17" s="254"/>
      <c r="M17" s="73" t="s">
        <v>352</v>
      </c>
      <c r="N17" s="73" t="s">
        <v>293</v>
      </c>
      <c r="O17" s="90">
        <v>375927</v>
      </c>
      <c r="P17" s="90">
        <v>375927</v>
      </c>
      <c r="Q17" s="90">
        <v>727620</v>
      </c>
      <c r="R17" s="149">
        <v>72900</v>
      </c>
      <c r="S17" s="192">
        <v>72900</v>
      </c>
      <c r="T17" s="212">
        <v>72900</v>
      </c>
      <c r="U17" s="212">
        <v>72900</v>
      </c>
      <c r="V17" s="244"/>
      <c r="W17" s="1">
        <v>654720</v>
      </c>
    </row>
    <row r="18" spans="1:24" s="8" customFormat="1" ht="33" customHeight="1" x14ac:dyDescent="0.2">
      <c r="A18" s="263"/>
      <c r="B18" s="263"/>
      <c r="C18" s="263"/>
      <c r="D18" s="263"/>
      <c r="E18" s="263"/>
      <c r="F18" s="263"/>
      <c r="G18" s="263"/>
      <c r="H18" s="263"/>
      <c r="I18" s="263"/>
      <c r="J18" s="251"/>
      <c r="K18" s="254"/>
      <c r="L18" s="254"/>
      <c r="M18" s="73" t="s">
        <v>353</v>
      </c>
      <c r="N18" s="73" t="s">
        <v>293</v>
      </c>
      <c r="O18" s="90">
        <v>75420</v>
      </c>
      <c r="P18" s="90">
        <v>75420</v>
      </c>
      <c r="Q18" s="90">
        <v>347920</v>
      </c>
      <c r="R18" s="149">
        <v>347920</v>
      </c>
      <c r="S18" s="192">
        <v>347920</v>
      </c>
      <c r="T18" s="212">
        <v>347920</v>
      </c>
      <c r="U18" s="212">
        <v>347920</v>
      </c>
      <c r="V18" s="238"/>
    </row>
    <row r="19" spans="1:24" s="8" customFormat="1" ht="33" customHeight="1" x14ac:dyDescent="0.2">
      <c r="A19" s="263"/>
      <c r="B19" s="263"/>
      <c r="C19" s="263"/>
      <c r="D19" s="267"/>
      <c r="E19" s="267"/>
      <c r="F19" s="267"/>
      <c r="G19" s="267"/>
      <c r="H19" s="267"/>
      <c r="I19" s="267"/>
      <c r="J19" s="252"/>
      <c r="K19" s="255"/>
      <c r="L19" s="255"/>
      <c r="M19" s="74" t="s">
        <v>296</v>
      </c>
      <c r="N19" s="30" t="s">
        <v>293</v>
      </c>
      <c r="O19" s="152"/>
      <c r="P19" s="121"/>
      <c r="Q19" s="149"/>
      <c r="R19" s="149"/>
      <c r="S19" s="149"/>
      <c r="T19" s="212"/>
      <c r="U19" s="212"/>
      <c r="V19" s="238"/>
    </row>
    <row r="20" spans="1:24" s="1" customFormat="1" ht="26.45" customHeight="1" x14ac:dyDescent="0.2">
      <c r="A20" s="289" t="s">
        <v>48</v>
      </c>
      <c r="B20" s="287" t="s">
        <v>49</v>
      </c>
      <c r="C20" s="289" t="s">
        <v>50</v>
      </c>
      <c r="D20" s="287" t="s">
        <v>267</v>
      </c>
      <c r="E20" s="287" t="s">
        <v>268</v>
      </c>
      <c r="F20" s="287" t="s">
        <v>407</v>
      </c>
      <c r="G20" s="287" t="s">
        <v>42</v>
      </c>
      <c r="H20" s="287" t="s">
        <v>479</v>
      </c>
      <c r="I20" s="287" t="s">
        <v>0</v>
      </c>
      <c r="J20" s="287" t="s">
        <v>11</v>
      </c>
      <c r="K20" s="282" t="s">
        <v>289</v>
      </c>
      <c r="L20" s="282" t="s">
        <v>51</v>
      </c>
      <c r="M20" s="20" t="s">
        <v>285</v>
      </c>
      <c r="N20" s="31" t="s">
        <v>285</v>
      </c>
      <c r="O20" s="19">
        <f t="shared" ref="O20" si="5">SUM(O21:O30)</f>
        <v>17382306.920000002</v>
      </c>
      <c r="P20" s="19">
        <f t="shared" ref="P20:S20" si="6">SUM(P21:P30)</f>
        <v>17240567.900000002</v>
      </c>
      <c r="Q20" s="19">
        <f t="shared" si="6"/>
        <v>156493429.49000001</v>
      </c>
      <c r="R20" s="19">
        <f t="shared" si="6"/>
        <v>14663081.890000001</v>
      </c>
      <c r="S20" s="19">
        <f t="shared" si="6"/>
        <v>15142033</v>
      </c>
      <c r="T20" s="208"/>
      <c r="U20" s="208"/>
      <c r="V20" s="238"/>
    </row>
    <row r="21" spans="1:24" s="1" customFormat="1" ht="26.45" customHeight="1" x14ac:dyDescent="0.2">
      <c r="A21" s="291"/>
      <c r="B21" s="288"/>
      <c r="C21" s="291"/>
      <c r="D21" s="288"/>
      <c r="E21" s="288"/>
      <c r="F21" s="288"/>
      <c r="G21" s="288"/>
      <c r="H21" s="288"/>
      <c r="I21" s="288"/>
      <c r="J21" s="288"/>
      <c r="K21" s="283"/>
      <c r="L21" s="283"/>
      <c r="M21" s="86" t="s">
        <v>514</v>
      </c>
      <c r="N21" s="89" t="s">
        <v>293</v>
      </c>
      <c r="O21" s="90">
        <v>705939.2</v>
      </c>
      <c r="P21" s="90">
        <v>705939.2</v>
      </c>
      <c r="Q21" s="90">
        <v>695910.89</v>
      </c>
      <c r="R21" s="90">
        <v>695910.89</v>
      </c>
      <c r="S21" s="19">
        <v>843166</v>
      </c>
      <c r="T21" s="208"/>
      <c r="U21" s="208"/>
      <c r="V21" s="238"/>
    </row>
    <row r="22" spans="1:24" s="1" customFormat="1" ht="26.45" customHeight="1" x14ac:dyDescent="0.2">
      <c r="A22" s="291"/>
      <c r="B22" s="288"/>
      <c r="C22" s="291"/>
      <c r="D22" s="288"/>
      <c r="E22" s="288"/>
      <c r="F22" s="288"/>
      <c r="G22" s="288"/>
      <c r="H22" s="288"/>
      <c r="I22" s="288"/>
      <c r="J22" s="288"/>
      <c r="K22" s="283"/>
      <c r="L22" s="283"/>
      <c r="M22" s="73" t="s">
        <v>569</v>
      </c>
      <c r="N22" s="24" t="s">
        <v>293</v>
      </c>
      <c r="O22" s="90"/>
      <c r="P22" s="90"/>
      <c r="Q22" s="90">
        <v>182280</v>
      </c>
      <c r="R22" s="149"/>
      <c r="S22" s="149"/>
      <c r="T22" s="212"/>
      <c r="U22" s="212"/>
      <c r="V22" s="238"/>
    </row>
    <row r="23" spans="1:24" s="1" customFormat="1" ht="26.45" customHeight="1" x14ac:dyDescent="0.2">
      <c r="A23" s="291"/>
      <c r="B23" s="288"/>
      <c r="C23" s="291"/>
      <c r="D23" s="288"/>
      <c r="E23" s="288"/>
      <c r="F23" s="288"/>
      <c r="G23" s="288"/>
      <c r="H23" s="288"/>
      <c r="I23" s="288"/>
      <c r="J23" s="288"/>
      <c r="K23" s="283"/>
      <c r="L23" s="283"/>
      <c r="M23" s="73" t="s">
        <v>566</v>
      </c>
      <c r="N23" s="24" t="s">
        <v>293</v>
      </c>
      <c r="O23" s="90">
        <v>4311405</v>
      </c>
      <c r="P23" s="90">
        <v>4311246.96</v>
      </c>
      <c r="Q23" s="90">
        <v>7313672.79</v>
      </c>
      <c r="R23" s="149">
        <v>4328785</v>
      </c>
      <c r="S23" s="159">
        <v>4328785</v>
      </c>
      <c r="T23" s="212"/>
      <c r="U23" s="212"/>
      <c r="V23" s="244"/>
      <c r="W23" s="235">
        <v>2338952.79</v>
      </c>
      <c r="X23" s="214"/>
    </row>
    <row r="24" spans="1:24" s="1" customFormat="1" ht="26.45" customHeight="1" x14ac:dyDescent="0.2">
      <c r="A24" s="291"/>
      <c r="B24" s="288"/>
      <c r="C24" s="291"/>
      <c r="D24" s="288"/>
      <c r="E24" s="288"/>
      <c r="F24" s="288"/>
      <c r="G24" s="288"/>
      <c r="H24" s="288"/>
      <c r="I24" s="288"/>
      <c r="J24" s="288"/>
      <c r="K24" s="283"/>
      <c r="L24" s="283"/>
      <c r="M24" s="73" t="s">
        <v>355</v>
      </c>
      <c r="N24" s="24" t="s">
        <v>292</v>
      </c>
      <c r="O24" s="90">
        <v>11439780</v>
      </c>
      <c r="P24" s="90">
        <v>11439780</v>
      </c>
      <c r="Q24" s="90">
        <v>13110100</v>
      </c>
      <c r="R24" s="149">
        <v>8238386</v>
      </c>
      <c r="S24" s="149">
        <v>7170082</v>
      </c>
      <c r="T24" s="212"/>
      <c r="U24" s="212"/>
      <c r="V24" s="238"/>
    </row>
    <row r="25" spans="1:24" s="1" customFormat="1" ht="26.45" customHeight="1" x14ac:dyDescent="0.2">
      <c r="A25" s="291"/>
      <c r="B25" s="288"/>
      <c r="C25" s="291"/>
      <c r="D25" s="288"/>
      <c r="E25" s="288"/>
      <c r="F25" s="288"/>
      <c r="G25" s="288"/>
      <c r="H25" s="288"/>
      <c r="I25" s="288"/>
      <c r="J25" s="288"/>
      <c r="K25" s="283"/>
      <c r="L25" s="283"/>
      <c r="M25" s="73" t="s">
        <v>352</v>
      </c>
      <c r="N25" s="24" t="s">
        <v>293</v>
      </c>
      <c r="O25" s="90">
        <v>409683</v>
      </c>
      <c r="P25" s="90">
        <v>268102.8</v>
      </c>
      <c r="Q25" s="90">
        <f>10018708-21281.84</f>
        <v>9997426.1600000001</v>
      </c>
      <c r="R25" s="149">
        <v>700000</v>
      </c>
      <c r="S25" s="149">
        <v>1400000</v>
      </c>
      <c r="T25" s="212">
        <v>700000</v>
      </c>
      <c r="U25" s="212">
        <v>1400000</v>
      </c>
      <c r="V25" s="244"/>
      <c r="W25" s="1">
        <v>8000000</v>
      </c>
    </row>
    <row r="26" spans="1:24" s="1" customFormat="1" ht="26.45" customHeight="1" x14ac:dyDescent="0.2">
      <c r="A26" s="291"/>
      <c r="B26" s="288"/>
      <c r="C26" s="291"/>
      <c r="D26" s="288"/>
      <c r="E26" s="288"/>
      <c r="F26" s="288"/>
      <c r="G26" s="288"/>
      <c r="H26" s="288"/>
      <c r="I26" s="288"/>
      <c r="J26" s="288"/>
      <c r="K26" s="283"/>
      <c r="L26" s="283"/>
      <c r="M26" s="73" t="s">
        <v>353</v>
      </c>
      <c r="N26" s="24" t="s">
        <v>293</v>
      </c>
      <c r="O26" s="90">
        <v>199917.78</v>
      </c>
      <c r="P26" s="90">
        <v>199917</v>
      </c>
      <c r="Q26" s="90">
        <v>2065085.13</v>
      </c>
      <c r="R26" s="149">
        <v>700000</v>
      </c>
      <c r="S26" s="149">
        <v>1400000</v>
      </c>
      <c r="T26" s="212">
        <v>700000</v>
      </c>
      <c r="U26" s="212">
        <v>1400000</v>
      </c>
      <c r="V26" s="244"/>
      <c r="W26" s="235">
        <v>-366647.87</v>
      </c>
    </row>
    <row r="27" spans="1:24" s="1" customFormat="1" ht="26.45" customHeight="1" x14ac:dyDescent="0.2">
      <c r="A27" s="291"/>
      <c r="B27" s="288"/>
      <c r="C27" s="291"/>
      <c r="D27" s="288"/>
      <c r="E27" s="288"/>
      <c r="F27" s="288"/>
      <c r="G27" s="288"/>
      <c r="H27" s="288"/>
      <c r="I27" s="288"/>
      <c r="J27" s="288"/>
      <c r="K27" s="283"/>
      <c r="L27" s="283"/>
      <c r="M27" s="97" t="s">
        <v>563</v>
      </c>
      <c r="N27" s="24" t="s">
        <v>293</v>
      </c>
      <c r="O27" s="90">
        <f>5811+110408.5</f>
        <v>116219.5</v>
      </c>
      <c r="P27" s="90">
        <f>5811+110408.5</f>
        <v>116219.5</v>
      </c>
      <c r="Q27" s="90">
        <v>225559.6</v>
      </c>
      <c r="R27" s="159">
        <v>0</v>
      </c>
      <c r="S27" s="159">
        <v>0</v>
      </c>
      <c r="T27" s="212"/>
      <c r="U27" s="212"/>
      <c r="V27" s="238"/>
    </row>
    <row r="28" spans="1:24" s="1" customFormat="1" ht="26.45" customHeight="1" x14ac:dyDescent="0.2">
      <c r="A28" s="291"/>
      <c r="B28" s="288"/>
      <c r="C28" s="291"/>
      <c r="D28" s="288"/>
      <c r="E28" s="288"/>
      <c r="F28" s="288"/>
      <c r="G28" s="288"/>
      <c r="H28" s="288"/>
      <c r="I28" s="288"/>
      <c r="J28" s="288"/>
      <c r="K28" s="283"/>
      <c r="L28" s="283"/>
      <c r="M28" s="172" t="s">
        <v>565</v>
      </c>
      <c r="N28" s="24" t="s">
        <v>293</v>
      </c>
      <c r="O28" s="90"/>
      <c r="P28" s="90"/>
      <c r="Q28" s="90">
        <f>113907560+8126827.48</f>
        <v>122034387.48</v>
      </c>
      <c r="R28" s="177"/>
      <c r="S28" s="177"/>
      <c r="T28" s="212"/>
      <c r="U28" s="212"/>
      <c r="V28" s="244"/>
      <c r="W28" s="1">
        <v>-313848.8</v>
      </c>
      <c r="X28" s="235"/>
    </row>
    <row r="29" spans="1:24" s="1" customFormat="1" ht="26.45" customHeight="1" x14ac:dyDescent="0.2">
      <c r="A29" s="291"/>
      <c r="B29" s="288"/>
      <c r="C29" s="291"/>
      <c r="D29" s="288"/>
      <c r="E29" s="288"/>
      <c r="F29" s="288"/>
      <c r="G29" s="288"/>
      <c r="H29" s="288"/>
      <c r="I29" s="288"/>
      <c r="J29" s="288"/>
      <c r="K29" s="283"/>
      <c r="L29" s="283"/>
      <c r="M29" s="236" t="s">
        <v>570</v>
      </c>
      <c r="N29" s="24" t="s">
        <v>293</v>
      </c>
      <c r="O29" s="90"/>
      <c r="P29" s="90"/>
      <c r="Q29" s="90">
        <f>17380.18+851627.26</f>
        <v>869007.44000000006</v>
      </c>
      <c r="R29" s="237"/>
      <c r="S29" s="237"/>
      <c r="T29" s="212"/>
      <c r="U29" s="212"/>
      <c r="V29" s="244"/>
      <c r="X29" s="235"/>
    </row>
    <row r="30" spans="1:24" s="1" customFormat="1" ht="26.45" customHeight="1" x14ac:dyDescent="0.2">
      <c r="A30" s="292"/>
      <c r="B30" s="290"/>
      <c r="C30" s="292"/>
      <c r="D30" s="290"/>
      <c r="E30" s="290"/>
      <c r="F30" s="290"/>
      <c r="G30" s="290"/>
      <c r="H30" s="290"/>
      <c r="I30" s="290"/>
      <c r="J30" s="290"/>
      <c r="K30" s="284"/>
      <c r="L30" s="284"/>
      <c r="M30" s="73" t="s">
        <v>359</v>
      </c>
      <c r="N30" s="24" t="s">
        <v>293</v>
      </c>
      <c r="O30" s="90">
        <f>9968.5+189393.94</f>
        <v>199362.44</v>
      </c>
      <c r="P30" s="90">
        <f>9968.5+189393.94</f>
        <v>199362.44</v>
      </c>
      <c r="Q30" s="90">
        <v>0</v>
      </c>
      <c r="R30" s="159">
        <v>0</v>
      </c>
      <c r="S30" s="159">
        <v>0</v>
      </c>
      <c r="T30" s="212"/>
      <c r="U30" s="212"/>
      <c r="V30" s="238"/>
    </row>
    <row r="31" spans="1:24" s="1" customFormat="1" ht="26.45" customHeight="1" x14ac:dyDescent="0.2">
      <c r="A31" s="285" t="s">
        <v>53</v>
      </c>
      <c r="B31" s="287" t="s">
        <v>54</v>
      </c>
      <c r="C31" s="261" t="s">
        <v>55</v>
      </c>
      <c r="D31" s="287" t="s">
        <v>267</v>
      </c>
      <c r="E31" s="287" t="s">
        <v>268</v>
      </c>
      <c r="F31" s="287" t="s">
        <v>407</v>
      </c>
      <c r="G31" s="287" t="s">
        <v>42</v>
      </c>
      <c r="H31" s="287" t="s">
        <v>479</v>
      </c>
      <c r="I31" s="287" t="s">
        <v>0</v>
      </c>
      <c r="J31" s="287" t="s">
        <v>11</v>
      </c>
      <c r="K31" s="282" t="s">
        <v>289</v>
      </c>
      <c r="L31" s="282" t="s">
        <v>51</v>
      </c>
      <c r="M31" s="20" t="s">
        <v>285</v>
      </c>
      <c r="N31" s="31" t="s">
        <v>285</v>
      </c>
      <c r="O31" s="152">
        <f>SUM(O32:O43)</f>
        <v>12075373.529999999</v>
      </c>
      <c r="P31" s="121">
        <f>SUM(P32:P43)</f>
        <v>11991149.130000001</v>
      </c>
      <c r="Q31" s="149">
        <f>SUM(Q32:Q43)</f>
        <v>16681368.35</v>
      </c>
      <c r="R31" s="149">
        <f>SUM(R32:R43)</f>
        <v>9659064.4499999993</v>
      </c>
      <c r="S31" s="149">
        <f>SUM(S32:S43)</f>
        <v>9000999.7899999991</v>
      </c>
      <c r="T31" s="212"/>
      <c r="U31" s="212"/>
      <c r="V31" s="238"/>
    </row>
    <row r="32" spans="1:24" s="1" customFormat="1" ht="26.45" customHeight="1" x14ac:dyDescent="0.2">
      <c r="A32" s="285"/>
      <c r="B32" s="288"/>
      <c r="C32" s="261"/>
      <c r="D32" s="288"/>
      <c r="E32" s="288"/>
      <c r="F32" s="288"/>
      <c r="G32" s="288"/>
      <c r="H32" s="288"/>
      <c r="I32" s="288"/>
      <c r="J32" s="288"/>
      <c r="K32" s="283"/>
      <c r="L32" s="283"/>
      <c r="M32" s="86" t="s">
        <v>514</v>
      </c>
      <c r="N32" s="89" t="s">
        <v>293</v>
      </c>
      <c r="O32" s="90">
        <v>352969.59</v>
      </c>
      <c r="P32" s="90">
        <v>352969.59</v>
      </c>
      <c r="Q32" s="90">
        <v>347955.45</v>
      </c>
      <c r="R32" s="90">
        <v>347955.45</v>
      </c>
      <c r="S32" s="149">
        <v>421586.79</v>
      </c>
      <c r="T32" s="212"/>
      <c r="U32" s="212"/>
      <c r="V32" s="238"/>
    </row>
    <row r="33" spans="1:24" s="1" customFormat="1" ht="26.45" customHeight="1" x14ac:dyDescent="0.2">
      <c r="A33" s="285"/>
      <c r="B33" s="288"/>
      <c r="C33" s="261"/>
      <c r="D33" s="288"/>
      <c r="E33" s="288"/>
      <c r="F33" s="288"/>
      <c r="G33" s="288"/>
      <c r="H33" s="288"/>
      <c r="I33" s="288"/>
      <c r="J33" s="288"/>
      <c r="K33" s="283"/>
      <c r="L33" s="283"/>
      <c r="M33" s="73" t="s">
        <v>354</v>
      </c>
      <c r="N33" s="73" t="s">
        <v>293</v>
      </c>
      <c r="O33" s="90"/>
      <c r="P33" s="90"/>
      <c r="Q33" s="90"/>
      <c r="R33" s="149"/>
      <c r="S33" s="149"/>
      <c r="T33" s="212"/>
      <c r="U33" s="212"/>
      <c r="V33" s="238"/>
    </row>
    <row r="34" spans="1:24" s="21" customFormat="1" ht="26.45" customHeight="1" x14ac:dyDescent="0.2">
      <c r="A34" s="285"/>
      <c r="B34" s="288"/>
      <c r="C34" s="261"/>
      <c r="D34" s="288"/>
      <c r="E34" s="288"/>
      <c r="F34" s="288"/>
      <c r="G34" s="288"/>
      <c r="H34" s="288"/>
      <c r="I34" s="288"/>
      <c r="J34" s="288"/>
      <c r="K34" s="283"/>
      <c r="L34" s="283"/>
      <c r="M34" s="172" t="s">
        <v>566</v>
      </c>
      <c r="N34" s="73" t="s">
        <v>293</v>
      </c>
      <c r="O34" s="90">
        <v>2925595</v>
      </c>
      <c r="P34" s="90">
        <v>2890533.89</v>
      </c>
      <c r="Q34" s="90">
        <v>6149007.21</v>
      </c>
      <c r="R34" s="149">
        <f>7343280-4328785</f>
        <v>3014495</v>
      </c>
      <c r="S34" s="159">
        <f>7343280-4328785</f>
        <v>3014495</v>
      </c>
      <c r="T34" s="212"/>
      <c r="U34" s="212"/>
      <c r="V34" s="244"/>
      <c r="W34" s="1">
        <f>2491467.21-13020</f>
        <v>2478447.21</v>
      </c>
      <c r="X34" s="214"/>
    </row>
    <row r="35" spans="1:24" s="21" customFormat="1" ht="26.45" customHeight="1" x14ac:dyDescent="0.2">
      <c r="A35" s="285"/>
      <c r="B35" s="288"/>
      <c r="C35" s="261"/>
      <c r="D35" s="288"/>
      <c r="E35" s="288"/>
      <c r="F35" s="288"/>
      <c r="G35" s="288"/>
      <c r="H35" s="288"/>
      <c r="I35" s="288"/>
      <c r="J35" s="288"/>
      <c r="K35" s="283"/>
      <c r="L35" s="283"/>
      <c r="M35" s="73" t="s">
        <v>355</v>
      </c>
      <c r="N35" s="73" t="s">
        <v>292</v>
      </c>
      <c r="O35" s="90">
        <v>7945919</v>
      </c>
      <c r="P35" s="90">
        <v>7945919</v>
      </c>
      <c r="Q35" s="90">
        <f>8974300</f>
        <v>8974300</v>
      </c>
      <c r="R35" s="149">
        <f>13878700-8238386</f>
        <v>5640314</v>
      </c>
      <c r="S35" s="149">
        <f>12078700-7170082</f>
        <v>4908618</v>
      </c>
      <c r="T35" s="212"/>
      <c r="U35" s="212"/>
      <c r="V35" s="245"/>
    </row>
    <row r="36" spans="1:24" s="21" customFormat="1" ht="26.45" customHeight="1" x14ac:dyDescent="0.2">
      <c r="A36" s="285"/>
      <c r="B36" s="288"/>
      <c r="C36" s="261"/>
      <c r="D36" s="288"/>
      <c r="E36" s="288"/>
      <c r="F36" s="288"/>
      <c r="G36" s="288"/>
      <c r="H36" s="288"/>
      <c r="I36" s="288"/>
      <c r="J36" s="288"/>
      <c r="K36" s="283"/>
      <c r="L36" s="283"/>
      <c r="M36" s="73" t="s">
        <v>352</v>
      </c>
      <c r="N36" s="73" t="s">
        <v>293</v>
      </c>
      <c r="O36" s="90">
        <v>412808</v>
      </c>
      <c r="P36" s="90">
        <v>363644.71</v>
      </c>
      <c r="Q36" s="90">
        <v>6300</v>
      </c>
      <c r="R36" s="149">
        <v>6300</v>
      </c>
      <c r="S36" s="149">
        <v>6300</v>
      </c>
      <c r="T36" s="212">
        <v>6300</v>
      </c>
      <c r="U36" s="212">
        <v>6300</v>
      </c>
      <c r="V36" s="245"/>
    </row>
    <row r="37" spans="1:24" s="21" customFormat="1" ht="26.45" customHeight="1" x14ac:dyDescent="0.2">
      <c r="A37" s="285"/>
      <c r="B37" s="288"/>
      <c r="C37" s="261"/>
      <c r="D37" s="288"/>
      <c r="E37" s="288"/>
      <c r="F37" s="288"/>
      <c r="G37" s="288"/>
      <c r="H37" s="288"/>
      <c r="I37" s="288"/>
      <c r="J37" s="288"/>
      <c r="K37" s="283"/>
      <c r="L37" s="283"/>
      <c r="M37" s="73" t="s">
        <v>353</v>
      </c>
      <c r="N37" s="73" t="s">
        <v>293</v>
      </c>
      <c r="O37" s="90">
        <v>122500</v>
      </c>
      <c r="P37" s="90">
        <v>122500</v>
      </c>
      <c r="Q37" s="90">
        <v>657992</v>
      </c>
      <c r="R37" s="149">
        <v>650000</v>
      </c>
      <c r="S37" s="149">
        <v>650000</v>
      </c>
      <c r="T37" s="212">
        <v>650000</v>
      </c>
      <c r="U37" s="212">
        <v>650000</v>
      </c>
      <c r="V37" s="245"/>
    </row>
    <row r="38" spans="1:24" s="21" customFormat="1" ht="26.45" hidden="1" customHeight="1" x14ac:dyDescent="0.2">
      <c r="A38" s="285"/>
      <c r="B38" s="288"/>
      <c r="C38" s="261"/>
      <c r="D38" s="288"/>
      <c r="E38" s="288"/>
      <c r="F38" s="288"/>
      <c r="G38" s="288"/>
      <c r="H38" s="288"/>
      <c r="I38" s="288"/>
      <c r="J38" s="288"/>
      <c r="K38" s="283"/>
      <c r="L38" s="283"/>
      <c r="M38" s="73" t="s">
        <v>356</v>
      </c>
      <c r="N38" s="24" t="s">
        <v>293</v>
      </c>
      <c r="O38" s="90"/>
      <c r="P38" s="90"/>
      <c r="Q38" s="90"/>
      <c r="R38" s="149"/>
      <c r="S38" s="149"/>
      <c r="T38" s="212"/>
      <c r="U38" s="212"/>
      <c r="V38" s="245"/>
    </row>
    <row r="39" spans="1:24" s="21" customFormat="1" ht="26.45" hidden="1" customHeight="1" x14ac:dyDescent="0.2">
      <c r="A39" s="285"/>
      <c r="B39" s="288"/>
      <c r="C39" s="261"/>
      <c r="D39" s="288"/>
      <c r="E39" s="288"/>
      <c r="F39" s="288"/>
      <c r="G39" s="288"/>
      <c r="H39" s="288"/>
      <c r="I39" s="288"/>
      <c r="J39" s="288"/>
      <c r="K39" s="283"/>
      <c r="L39" s="283"/>
      <c r="M39" s="73" t="s">
        <v>297</v>
      </c>
      <c r="N39" s="73" t="s">
        <v>293</v>
      </c>
      <c r="O39" s="90"/>
      <c r="P39" s="90"/>
      <c r="Q39" s="90"/>
      <c r="R39" s="149"/>
      <c r="S39" s="149"/>
      <c r="T39" s="212"/>
      <c r="U39" s="212"/>
      <c r="V39" s="245"/>
    </row>
    <row r="40" spans="1:24" s="21" customFormat="1" ht="26.45" hidden="1" customHeight="1" x14ac:dyDescent="0.2">
      <c r="A40" s="285"/>
      <c r="B40" s="288"/>
      <c r="C40" s="261"/>
      <c r="D40" s="288"/>
      <c r="E40" s="288"/>
      <c r="F40" s="288"/>
      <c r="G40" s="288"/>
      <c r="H40" s="288"/>
      <c r="I40" s="288"/>
      <c r="J40" s="288"/>
      <c r="K40" s="283"/>
      <c r="L40" s="283"/>
      <c r="M40" s="73" t="s">
        <v>358</v>
      </c>
      <c r="N40" s="73" t="s">
        <v>293</v>
      </c>
      <c r="O40" s="90"/>
      <c r="P40" s="90"/>
      <c r="Q40" s="90"/>
      <c r="R40" s="149"/>
      <c r="S40" s="149"/>
      <c r="T40" s="212"/>
      <c r="U40" s="212"/>
      <c r="V40" s="245"/>
    </row>
    <row r="41" spans="1:24" s="1" customFormat="1" ht="26.45" customHeight="1" x14ac:dyDescent="0.2">
      <c r="A41" s="285"/>
      <c r="B41" s="288"/>
      <c r="C41" s="261"/>
      <c r="D41" s="288"/>
      <c r="E41" s="288"/>
      <c r="F41" s="288"/>
      <c r="G41" s="288"/>
      <c r="H41" s="288"/>
      <c r="I41" s="288"/>
      <c r="J41" s="288"/>
      <c r="K41" s="283"/>
      <c r="L41" s="283"/>
      <c r="M41" s="236" t="s">
        <v>570</v>
      </c>
      <c r="N41" s="24" t="s">
        <v>293</v>
      </c>
      <c r="O41" s="90"/>
      <c r="P41" s="90"/>
      <c r="Q41" s="90">
        <f>3901.66+191182.74</f>
        <v>195084.4</v>
      </c>
      <c r="R41" s="237"/>
      <c r="S41" s="237"/>
      <c r="T41" s="212"/>
      <c r="U41" s="212"/>
      <c r="V41" s="244"/>
      <c r="X41" s="235"/>
    </row>
    <row r="42" spans="1:24" s="1" customFormat="1" ht="26.45" customHeight="1" x14ac:dyDescent="0.2">
      <c r="A42" s="285"/>
      <c r="B42" s="288"/>
      <c r="C42" s="261"/>
      <c r="D42" s="288"/>
      <c r="E42" s="288"/>
      <c r="F42" s="288"/>
      <c r="G42" s="288"/>
      <c r="H42" s="288"/>
      <c r="I42" s="288"/>
      <c r="J42" s="288"/>
      <c r="K42" s="283"/>
      <c r="L42" s="283"/>
      <c r="M42" s="73" t="s">
        <v>357</v>
      </c>
      <c r="N42" s="24" t="s">
        <v>293</v>
      </c>
      <c r="O42" s="90">
        <f>232439-116219.5</f>
        <v>116219.5</v>
      </c>
      <c r="P42" s="90">
        <f>232439-116219.5</f>
        <v>116219.5</v>
      </c>
      <c r="Q42" s="90">
        <v>0</v>
      </c>
      <c r="R42" s="149">
        <v>0</v>
      </c>
      <c r="S42" s="149">
        <v>0</v>
      </c>
      <c r="T42" s="212"/>
      <c r="U42" s="212"/>
      <c r="V42" s="238"/>
    </row>
    <row r="43" spans="1:24" s="21" customFormat="1" ht="26.45" customHeight="1" x14ac:dyDescent="0.2">
      <c r="A43" s="286"/>
      <c r="B43" s="288"/>
      <c r="C43" s="289"/>
      <c r="D43" s="288"/>
      <c r="E43" s="288"/>
      <c r="F43" s="288"/>
      <c r="G43" s="288"/>
      <c r="H43" s="288"/>
      <c r="I43" s="288"/>
      <c r="J43" s="288"/>
      <c r="K43" s="283"/>
      <c r="L43" s="284"/>
      <c r="M43" s="73" t="s">
        <v>564</v>
      </c>
      <c r="N43" s="24" t="s">
        <v>293</v>
      </c>
      <c r="O43" s="90">
        <f>398724.88-199362.44</f>
        <v>199362.44</v>
      </c>
      <c r="P43" s="90">
        <f>398724.88-199362.44</f>
        <v>199362.44</v>
      </c>
      <c r="Q43" s="90">
        <v>350729.29</v>
      </c>
      <c r="R43" s="149">
        <v>0</v>
      </c>
      <c r="S43" s="149">
        <v>0</v>
      </c>
      <c r="T43" s="212"/>
      <c r="U43" s="212"/>
      <c r="V43" s="245"/>
    </row>
    <row r="44" spans="1:24" s="1" customFormat="1" ht="26.45" customHeight="1" x14ac:dyDescent="0.2">
      <c r="A44" s="261" t="s">
        <v>56</v>
      </c>
      <c r="B44" s="250" t="s">
        <v>57</v>
      </c>
      <c r="C44" s="261" t="s">
        <v>58</v>
      </c>
      <c r="D44" s="250" t="s">
        <v>267</v>
      </c>
      <c r="E44" s="250" t="s">
        <v>268</v>
      </c>
      <c r="F44" s="250" t="s">
        <v>407</v>
      </c>
      <c r="G44" s="250" t="s">
        <v>42</v>
      </c>
      <c r="H44" s="260" t="s">
        <v>481</v>
      </c>
      <c r="I44" s="250" t="s">
        <v>0</v>
      </c>
      <c r="J44" s="250" t="s">
        <v>11</v>
      </c>
      <c r="K44" s="22" t="s">
        <v>285</v>
      </c>
      <c r="L44" s="198" t="s">
        <v>301</v>
      </c>
      <c r="M44" s="83" t="s">
        <v>285</v>
      </c>
      <c r="N44" s="32" t="s">
        <v>285</v>
      </c>
      <c r="O44" s="23">
        <f>SUM(O45:O56)</f>
        <v>19757563.599999998</v>
      </c>
      <c r="P44" s="23">
        <f t="shared" ref="P44:S44" si="7">SUM(P45:P56)</f>
        <v>19754464.289999999</v>
      </c>
      <c r="Q44" s="23">
        <f>SUM(Q45:Q56)</f>
        <v>23929165.300000001</v>
      </c>
      <c r="R44" s="23">
        <f t="shared" si="7"/>
        <v>15705750</v>
      </c>
      <c r="S44" s="23">
        <f t="shared" si="7"/>
        <v>15505750</v>
      </c>
      <c r="T44" s="213"/>
      <c r="U44" s="213"/>
      <c r="V44" s="238"/>
    </row>
    <row r="45" spans="1:24" s="1" customFormat="1" ht="26.45" customHeight="1" x14ac:dyDescent="0.2">
      <c r="A45" s="261"/>
      <c r="B45" s="250"/>
      <c r="C45" s="261"/>
      <c r="D45" s="250"/>
      <c r="E45" s="250"/>
      <c r="F45" s="250"/>
      <c r="G45" s="250"/>
      <c r="H45" s="260"/>
      <c r="I45" s="250"/>
      <c r="J45" s="250"/>
      <c r="K45" s="296" t="s">
        <v>281</v>
      </c>
      <c r="L45" s="297" t="s">
        <v>59</v>
      </c>
      <c r="M45" s="13" t="s">
        <v>361</v>
      </c>
      <c r="N45" s="13" t="s">
        <v>292</v>
      </c>
      <c r="O45" s="90">
        <f>8188000</f>
        <v>8188000</v>
      </c>
      <c r="P45" s="90">
        <f>8188000</f>
        <v>8188000</v>
      </c>
      <c r="Q45" s="90">
        <v>10212400</v>
      </c>
      <c r="R45" s="149">
        <v>8928600</v>
      </c>
      <c r="S45" s="149">
        <v>8928600</v>
      </c>
      <c r="T45" s="212"/>
      <c r="U45" s="212"/>
      <c r="V45" s="244"/>
      <c r="W45" s="1">
        <v>977000</v>
      </c>
    </row>
    <row r="46" spans="1:24" s="1" customFormat="1" ht="26.45" customHeight="1" x14ac:dyDescent="0.2">
      <c r="A46" s="261"/>
      <c r="B46" s="250"/>
      <c r="C46" s="261"/>
      <c r="D46" s="250"/>
      <c r="E46" s="250"/>
      <c r="F46" s="250"/>
      <c r="G46" s="250"/>
      <c r="H46" s="260"/>
      <c r="I46" s="250"/>
      <c r="J46" s="250"/>
      <c r="K46" s="296"/>
      <c r="L46" s="298"/>
      <c r="M46" s="13" t="s">
        <v>360</v>
      </c>
      <c r="N46" s="13" t="s">
        <v>293</v>
      </c>
      <c r="O46" s="90"/>
      <c r="P46" s="90"/>
      <c r="Q46" s="90"/>
      <c r="R46" s="149"/>
      <c r="S46" s="149"/>
      <c r="T46" s="212"/>
      <c r="U46" s="212"/>
      <c r="V46" s="238"/>
    </row>
    <row r="47" spans="1:24" s="1" customFormat="1" ht="26.45" customHeight="1" x14ac:dyDescent="0.2">
      <c r="A47" s="261"/>
      <c r="B47" s="250"/>
      <c r="C47" s="261"/>
      <c r="D47" s="250"/>
      <c r="E47" s="250"/>
      <c r="F47" s="250"/>
      <c r="G47" s="250"/>
      <c r="H47" s="260"/>
      <c r="I47" s="250"/>
      <c r="J47" s="250"/>
      <c r="K47" s="296"/>
      <c r="L47" s="298"/>
      <c r="M47" s="13" t="s">
        <v>362</v>
      </c>
      <c r="N47" s="13" t="s">
        <v>293</v>
      </c>
      <c r="O47" s="152">
        <v>1374654</v>
      </c>
      <c r="P47" s="152">
        <v>1374654</v>
      </c>
      <c r="Q47" s="149">
        <v>5981965</v>
      </c>
      <c r="R47" s="149">
        <v>30000</v>
      </c>
      <c r="S47" s="149">
        <v>30000</v>
      </c>
      <c r="T47" s="212">
        <v>30000</v>
      </c>
      <c r="U47" s="212">
        <v>30000</v>
      </c>
      <c r="V47" s="244"/>
      <c r="W47" s="1">
        <v>-25700</v>
      </c>
    </row>
    <row r="48" spans="1:24" s="1" customFormat="1" ht="26.45" customHeight="1" x14ac:dyDescent="0.2">
      <c r="A48" s="261"/>
      <c r="B48" s="250"/>
      <c r="C48" s="261"/>
      <c r="D48" s="250"/>
      <c r="E48" s="250"/>
      <c r="F48" s="250"/>
      <c r="G48" s="250"/>
      <c r="H48" s="260"/>
      <c r="I48" s="250"/>
      <c r="J48" s="250"/>
      <c r="K48" s="296"/>
      <c r="L48" s="299"/>
      <c r="M48" s="13" t="s">
        <v>363</v>
      </c>
      <c r="N48" s="13" t="s">
        <v>293</v>
      </c>
      <c r="O48" s="152">
        <v>420000</v>
      </c>
      <c r="P48" s="152">
        <v>420000</v>
      </c>
      <c r="Q48" s="149"/>
      <c r="R48" s="149"/>
      <c r="S48" s="149"/>
      <c r="T48" s="212"/>
      <c r="U48" s="212"/>
      <c r="V48" s="238"/>
    </row>
    <row r="49" spans="1:24" s="1" customFormat="1" ht="26.45" customHeight="1" x14ac:dyDescent="0.2">
      <c r="A49" s="261"/>
      <c r="B49" s="250"/>
      <c r="C49" s="261"/>
      <c r="D49" s="250" t="s">
        <v>406</v>
      </c>
      <c r="E49" s="250" t="s">
        <v>42</v>
      </c>
      <c r="F49" s="250"/>
      <c r="G49" s="250"/>
      <c r="H49" s="260"/>
      <c r="I49" s="250"/>
      <c r="J49" s="250"/>
      <c r="K49" s="254" t="s">
        <v>289</v>
      </c>
      <c r="L49" s="300" t="s">
        <v>59</v>
      </c>
      <c r="M49" s="13" t="s">
        <v>364</v>
      </c>
      <c r="N49" s="13" t="s">
        <v>292</v>
      </c>
      <c r="O49" s="152">
        <v>4332244.8099999996</v>
      </c>
      <c r="P49" s="152">
        <v>4332244.8099999996</v>
      </c>
      <c r="Q49" s="149"/>
      <c r="R49" s="149"/>
      <c r="S49" s="149"/>
      <c r="T49" s="212"/>
      <c r="U49" s="212"/>
      <c r="V49" s="238"/>
    </row>
    <row r="50" spans="1:24" s="1" customFormat="1" ht="26.45" customHeight="1" x14ac:dyDescent="0.2">
      <c r="A50" s="261"/>
      <c r="B50" s="250"/>
      <c r="C50" s="261"/>
      <c r="D50" s="250"/>
      <c r="E50" s="250"/>
      <c r="F50" s="250"/>
      <c r="G50" s="250"/>
      <c r="H50" s="260"/>
      <c r="I50" s="250"/>
      <c r="J50" s="250"/>
      <c r="K50" s="254"/>
      <c r="L50" s="301"/>
      <c r="M50" s="13" t="s">
        <v>352</v>
      </c>
      <c r="N50" s="13" t="s">
        <v>293</v>
      </c>
      <c r="O50" s="152">
        <f>46500+2466529-575007.2</f>
        <v>1938021.8</v>
      </c>
      <c r="P50" s="152">
        <f>46500+2466529-575007.2</f>
        <v>1938021.8</v>
      </c>
      <c r="Q50" s="149"/>
      <c r="R50" s="149"/>
      <c r="S50" s="149"/>
      <c r="T50" s="212"/>
      <c r="U50" s="212"/>
      <c r="V50" s="238"/>
    </row>
    <row r="51" spans="1:24" s="1" customFormat="1" ht="26.45" customHeight="1" x14ac:dyDescent="0.2">
      <c r="A51" s="261"/>
      <c r="B51" s="250"/>
      <c r="C51" s="261"/>
      <c r="D51" s="250"/>
      <c r="E51" s="250"/>
      <c r="F51" s="250"/>
      <c r="G51" s="250"/>
      <c r="H51" s="260"/>
      <c r="I51" s="250"/>
      <c r="J51" s="250"/>
      <c r="K51" s="254"/>
      <c r="L51" s="301"/>
      <c r="M51" s="13" t="s">
        <v>353</v>
      </c>
      <c r="N51" s="13" t="s">
        <v>293</v>
      </c>
      <c r="O51" s="152">
        <f>600422-1422</f>
        <v>599000</v>
      </c>
      <c r="P51" s="152">
        <f>600422-1422</f>
        <v>599000</v>
      </c>
      <c r="Q51" s="149"/>
      <c r="R51" s="149"/>
      <c r="S51" s="149"/>
      <c r="T51" s="212"/>
      <c r="U51" s="212"/>
      <c r="V51" s="238"/>
    </row>
    <row r="52" spans="1:24" s="1" customFormat="1" ht="26.45" hidden="1" customHeight="1" x14ac:dyDescent="0.2">
      <c r="A52" s="261"/>
      <c r="B52" s="250"/>
      <c r="C52" s="261"/>
      <c r="D52" s="250"/>
      <c r="E52" s="250"/>
      <c r="F52" s="250"/>
      <c r="G52" s="250"/>
      <c r="H52" s="260"/>
      <c r="I52" s="250"/>
      <c r="J52" s="250"/>
      <c r="K52" s="254"/>
      <c r="L52" s="302"/>
      <c r="M52" s="13" t="s">
        <v>365</v>
      </c>
      <c r="N52" s="13" t="s">
        <v>293</v>
      </c>
      <c r="O52" s="152">
        <v>0</v>
      </c>
      <c r="P52" s="121"/>
      <c r="Q52" s="149"/>
      <c r="R52" s="149"/>
      <c r="S52" s="149"/>
      <c r="T52" s="212"/>
      <c r="U52" s="212"/>
      <c r="V52" s="238"/>
    </row>
    <row r="53" spans="1:24" s="1" customFormat="1" ht="26.45" customHeight="1" x14ac:dyDescent="0.2">
      <c r="A53" s="261"/>
      <c r="B53" s="250"/>
      <c r="C53" s="261"/>
      <c r="D53" s="250" t="s">
        <v>540</v>
      </c>
      <c r="E53" s="250" t="s">
        <v>42</v>
      </c>
      <c r="F53" s="250"/>
      <c r="G53" s="250"/>
      <c r="H53" s="260"/>
      <c r="I53" s="250"/>
      <c r="J53" s="250"/>
      <c r="K53" s="254" t="s">
        <v>289</v>
      </c>
      <c r="L53" s="300" t="s">
        <v>541</v>
      </c>
      <c r="M53" s="13" t="s">
        <v>364</v>
      </c>
      <c r="N53" s="13" t="s">
        <v>292</v>
      </c>
      <c r="O53" s="152">
        <v>2387106.79</v>
      </c>
      <c r="P53" s="152">
        <v>2387106.79</v>
      </c>
      <c r="Q53" s="149">
        <v>7568700</v>
      </c>
      <c r="R53" s="149">
        <v>6725100</v>
      </c>
      <c r="S53" s="149">
        <v>6525100</v>
      </c>
      <c r="T53" s="212"/>
      <c r="U53" s="212"/>
      <c r="V53" s="244"/>
      <c r="W53" s="1">
        <v>150000</v>
      </c>
    </row>
    <row r="54" spans="1:24" s="1" customFormat="1" ht="26.45" customHeight="1" x14ac:dyDescent="0.2">
      <c r="A54" s="261"/>
      <c r="B54" s="250"/>
      <c r="C54" s="261"/>
      <c r="D54" s="250"/>
      <c r="E54" s="250"/>
      <c r="F54" s="250"/>
      <c r="G54" s="250"/>
      <c r="H54" s="260"/>
      <c r="I54" s="250"/>
      <c r="J54" s="250"/>
      <c r="K54" s="254"/>
      <c r="L54" s="301"/>
      <c r="M54" s="13" t="s">
        <v>352</v>
      </c>
      <c r="N54" s="13" t="s">
        <v>293</v>
      </c>
      <c r="O54" s="152">
        <v>388778.31</v>
      </c>
      <c r="P54" s="143">
        <v>385679</v>
      </c>
      <c r="Q54" s="149">
        <v>22050</v>
      </c>
      <c r="R54" s="149">
        <v>22050</v>
      </c>
      <c r="S54" s="149">
        <v>22050</v>
      </c>
      <c r="T54" s="212">
        <v>22050</v>
      </c>
      <c r="U54" s="212">
        <v>22050</v>
      </c>
      <c r="V54" s="238"/>
    </row>
    <row r="55" spans="1:24" s="1" customFormat="1" ht="26.45" customHeight="1" x14ac:dyDescent="0.2">
      <c r="A55" s="261"/>
      <c r="B55" s="250"/>
      <c r="C55" s="261"/>
      <c r="D55" s="250"/>
      <c r="E55" s="250"/>
      <c r="F55" s="250"/>
      <c r="G55" s="250"/>
      <c r="H55" s="260"/>
      <c r="I55" s="250"/>
      <c r="J55" s="250"/>
      <c r="K55" s="254"/>
      <c r="L55" s="301"/>
      <c r="M55" s="13" t="s">
        <v>353</v>
      </c>
      <c r="N55" s="13" t="s">
        <v>293</v>
      </c>
      <c r="O55" s="159"/>
      <c r="P55" s="159"/>
      <c r="Q55" s="159">
        <v>55215</v>
      </c>
      <c r="R55" s="159"/>
      <c r="S55" s="159"/>
      <c r="T55" s="212"/>
      <c r="U55" s="212"/>
      <c r="V55" s="244"/>
      <c r="W55" s="1">
        <v>31000</v>
      </c>
    </row>
    <row r="56" spans="1:24" s="1" customFormat="1" ht="26.45" customHeight="1" x14ac:dyDescent="0.2">
      <c r="A56" s="261"/>
      <c r="B56" s="250"/>
      <c r="C56" s="261"/>
      <c r="D56" s="250"/>
      <c r="E56" s="250"/>
      <c r="F56" s="250"/>
      <c r="G56" s="250"/>
      <c r="H56" s="260"/>
      <c r="I56" s="250"/>
      <c r="J56" s="250"/>
      <c r="K56" s="254"/>
      <c r="L56" s="302"/>
      <c r="M56" s="13" t="s">
        <v>365</v>
      </c>
      <c r="N56" s="13" t="s">
        <v>293</v>
      </c>
      <c r="O56" s="152">
        <v>129757.89</v>
      </c>
      <c r="P56" s="152">
        <v>129757.89</v>
      </c>
      <c r="Q56" s="149">
        <v>88835.3</v>
      </c>
      <c r="R56" s="149"/>
      <c r="S56" s="149"/>
      <c r="T56" s="212"/>
      <c r="U56" s="212"/>
      <c r="V56" s="244"/>
      <c r="W56" s="1">
        <v>-8223.33</v>
      </c>
      <c r="X56" s="235"/>
    </row>
    <row r="57" spans="1:24" s="1" customFormat="1" ht="74.25" customHeight="1" x14ac:dyDescent="0.2">
      <c r="A57" s="200" t="s">
        <v>60</v>
      </c>
      <c r="B57" s="174" t="s">
        <v>61</v>
      </c>
      <c r="C57" s="174" t="s">
        <v>62</v>
      </c>
      <c r="D57" s="101" t="s">
        <v>267</v>
      </c>
      <c r="E57" s="105" t="s">
        <v>268</v>
      </c>
      <c r="F57" s="168" t="s">
        <v>414</v>
      </c>
      <c r="G57" s="168" t="s">
        <v>42</v>
      </c>
      <c r="H57" s="168" t="s">
        <v>480</v>
      </c>
      <c r="I57" s="168" t="s">
        <v>0</v>
      </c>
      <c r="J57" s="168" t="s">
        <v>11</v>
      </c>
      <c r="K57" s="175" t="s">
        <v>289</v>
      </c>
      <c r="L57" s="13" t="s">
        <v>51</v>
      </c>
      <c r="M57" s="13" t="s">
        <v>350</v>
      </c>
      <c r="N57" s="13" t="s">
        <v>293</v>
      </c>
      <c r="O57" s="152">
        <v>587880</v>
      </c>
      <c r="P57" s="152">
        <v>587880</v>
      </c>
      <c r="Q57" s="159">
        <f>587880-139500</f>
        <v>448380</v>
      </c>
      <c r="R57" s="159">
        <v>587880</v>
      </c>
      <c r="S57" s="159">
        <v>587880</v>
      </c>
      <c r="T57" s="212"/>
      <c r="U57" s="212"/>
      <c r="V57" s="238"/>
    </row>
    <row r="58" spans="1:24" s="1" customFormat="1" ht="34.5" customHeight="1" x14ac:dyDescent="0.2">
      <c r="A58" s="250" t="s">
        <v>63</v>
      </c>
      <c r="B58" s="250" t="s">
        <v>64</v>
      </c>
      <c r="C58" s="250" t="s">
        <v>65</v>
      </c>
      <c r="D58" s="250" t="s">
        <v>267</v>
      </c>
      <c r="E58" s="250" t="s">
        <v>268</v>
      </c>
      <c r="F58" s="269" t="s">
        <v>407</v>
      </c>
      <c r="G58" s="262" t="s">
        <v>42</v>
      </c>
      <c r="H58" s="262" t="s">
        <v>482</v>
      </c>
      <c r="I58" s="262" t="s">
        <v>0</v>
      </c>
      <c r="J58" s="262" t="s">
        <v>11</v>
      </c>
      <c r="K58" s="13" t="s">
        <v>289</v>
      </c>
      <c r="L58" s="13" t="s">
        <v>66</v>
      </c>
      <c r="M58" s="13" t="s">
        <v>284</v>
      </c>
      <c r="N58" s="13" t="s">
        <v>285</v>
      </c>
      <c r="O58" s="152">
        <f t="shared" ref="O58" si="8">SUM(O59:O67)</f>
        <v>19151093</v>
      </c>
      <c r="P58" s="121">
        <f t="shared" ref="P58:Q58" si="9">SUM(P59:P67)</f>
        <v>19090072.57</v>
      </c>
      <c r="Q58" s="149">
        <f t="shared" si="9"/>
        <v>23353120</v>
      </c>
      <c r="R58" s="149">
        <f t="shared" ref="R58:S58" si="10">SUM(R59:R67)</f>
        <v>18728770</v>
      </c>
      <c r="S58" s="149">
        <f t="shared" si="10"/>
        <v>20680470</v>
      </c>
      <c r="T58" s="212"/>
      <c r="U58" s="212"/>
      <c r="V58" s="238"/>
    </row>
    <row r="59" spans="1:24" s="1" customFormat="1" ht="34.5" customHeight="1" x14ac:dyDescent="0.2">
      <c r="A59" s="250"/>
      <c r="B59" s="250"/>
      <c r="C59" s="250"/>
      <c r="D59" s="250"/>
      <c r="E59" s="250"/>
      <c r="F59" s="270"/>
      <c r="G59" s="263"/>
      <c r="H59" s="263"/>
      <c r="I59" s="263"/>
      <c r="J59" s="263"/>
      <c r="K59" s="293" t="s">
        <v>289</v>
      </c>
      <c r="L59" s="293" t="s">
        <v>66</v>
      </c>
      <c r="M59" s="293" t="s">
        <v>349</v>
      </c>
      <c r="N59" s="18" t="s">
        <v>28</v>
      </c>
      <c r="O59" s="152">
        <v>13916054.609999999</v>
      </c>
      <c r="P59" s="121">
        <v>13912603.58</v>
      </c>
      <c r="Q59" s="149">
        <v>17014980</v>
      </c>
      <c r="R59" s="159">
        <v>14318500</v>
      </c>
      <c r="S59" s="159">
        <v>15818500</v>
      </c>
      <c r="T59" s="212"/>
      <c r="U59" s="212"/>
      <c r="V59" s="244"/>
      <c r="W59" s="1">
        <v>1196480</v>
      </c>
    </row>
    <row r="60" spans="1:24" s="1" customFormat="1" ht="34.5" customHeight="1" x14ac:dyDescent="0.2">
      <c r="A60" s="250"/>
      <c r="B60" s="250"/>
      <c r="C60" s="250"/>
      <c r="D60" s="250"/>
      <c r="E60" s="250"/>
      <c r="F60" s="270"/>
      <c r="G60" s="263"/>
      <c r="H60" s="263"/>
      <c r="I60" s="263"/>
      <c r="J60" s="263"/>
      <c r="K60" s="295"/>
      <c r="L60" s="295"/>
      <c r="M60" s="295"/>
      <c r="N60" s="18" t="s">
        <v>311</v>
      </c>
      <c r="O60" s="152">
        <v>4118045.39</v>
      </c>
      <c r="P60" s="121">
        <v>4118044.01</v>
      </c>
      <c r="Q60" s="149">
        <v>5082270</v>
      </c>
      <c r="R60" s="159">
        <v>4269200</v>
      </c>
      <c r="S60" s="159">
        <v>4720900</v>
      </c>
      <c r="T60" s="212"/>
      <c r="U60" s="212"/>
      <c r="V60" s="244"/>
      <c r="W60" s="1">
        <v>361370</v>
      </c>
    </row>
    <row r="61" spans="1:24" s="1" customFormat="1" ht="34.5" customHeight="1" x14ac:dyDescent="0.2">
      <c r="A61" s="250"/>
      <c r="B61" s="250"/>
      <c r="C61" s="250"/>
      <c r="D61" s="250"/>
      <c r="E61" s="250"/>
      <c r="F61" s="270"/>
      <c r="G61" s="263"/>
      <c r="H61" s="263"/>
      <c r="I61" s="263"/>
      <c r="J61" s="263"/>
      <c r="K61" s="295"/>
      <c r="L61" s="295"/>
      <c r="M61" s="295"/>
      <c r="N61" s="18" t="s">
        <v>282</v>
      </c>
      <c r="O61" s="152">
        <v>1099400</v>
      </c>
      <c r="P61" s="121">
        <v>1042182.55</v>
      </c>
      <c r="Q61" s="149">
        <v>1232500</v>
      </c>
      <c r="R61" s="159">
        <v>117700</v>
      </c>
      <c r="S61" s="159">
        <v>117700</v>
      </c>
      <c r="T61" s="212"/>
      <c r="U61" s="212"/>
      <c r="V61" s="238"/>
    </row>
    <row r="62" spans="1:24" s="1" customFormat="1" ht="34.5" customHeight="1" x14ac:dyDescent="0.2">
      <c r="A62" s="250"/>
      <c r="B62" s="250"/>
      <c r="C62" s="250"/>
      <c r="D62" s="271" t="s">
        <v>406</v>
      </c>
      <c r="E62" s="263" t="s">
        <v>42</v>
      </c>
      <c r="F62" s="263"/>
      <c r="G62" s="263"/>
      <c r="H62" s="263"/>
      <c r="I62" s="263"/>
      <c r="J62" s="263"/>
      <c r="K62" s="295"/>
      <c r="L62" s="295"/>
      <c r="M62" s="295"/>
      <c r="N62" s="18" t="s">
        <v>315</v>
      </c>
      <c r="O62" s="152">
        <v>500</v>
      </c>
      <c r="P62" s="121">
        <v>149.43</v>
      </c>
      <c r="Q62" s="159">
        <v>500</v>
      </c>
      <c r="R62" s="159">
        <v>500</v>
      </c>
      <c r="S62" s="159">
        <v>500</v>
      </c>
      <c r="T62" s="212"/>
      <c r="U62" s="212"/>
      <c r="V62" s="238"/>
    </row>
    <row r="63" spans="1:24" s="1" customFormat="1" ht="34.5" customHeight="1" x14ac:dyDescent="0.2">
      <c r="A63" s="250"/>
      <c r="B63" s="250"/>
      <c r="C63" s="250"/>
      <c r="D63" s="271"/>
      <c r="E63" s="263"/>
      <c r="F63" s="263"/>
      <c r="G63" s="263"/>
      <c r="H63" s="263"/>
      <c r="I63" s="263"/>
      <c r="J63" s="263"/>
      <c r="K63" s="295"/>
      <c r="L63" s="295"/>
      <c r="M63" s="295"/>
      <c r="N63" s="18" t="s">
        <v>281</v>
      </c>
      <c r="O63" s="152">
        <v>8072</v>
      </c>
      <c r="P63" s="152">
        <v>8072</v>
      </c>
      <c r="Q63" s="149">
        <v>10770</v>
      </c>
      <c r="R63" s="159">
        <v>10770</v>
      </c>
      <c r="S63" s="159">
        <v>10770</v>
      </c>
      <c r="T63" s="212"/>
      <c r="U63" s="212"/>
      <c r="V63" s="238"/>
    </row>
    <row r="64" spans="1:24" s="1" customFormat="1" ht="34.5" customHeight="1" x14ac:dyDescent="0.2">
      <c r="A64" s="250"/>
      <c r="B64" s="250"/>
      <c r="C64" s="250"/>
      <c r="D64" s="271"/>
      <c r="E64" s="263"/>
      <c r="F64" s="263"/>
      <c r="G64" s="263"/>
      <c r="H64" s="263"/>
      <c r="I64" s="263"/>
      <c r="J64" s="263"/>
      <c r="K64" s="295"/>
      <c r="L64" s="295"/>
      <c r="M64" s="295"/>
      <c r="N64" s="13" t="s">
        <v>289</v>
      </c>
      <c r="O64" s="152">
        <v>9021</v>
      </c>
      <c r="P64" s="152">
        <v>9021</v>
      </c>
      <c r="Q64" s="149">
        <v>12100</v>
      </c>
      <c r="R64" s="159">
        <v>12100</v>
      </c>
      <c r="S64" s="159">
        <v>12100</v>
      </c>
      <c r="T64" s="212"/>
      <c r="U64" s="212"/>
      <c r="V64" s="238"/>
    </row>
    <row r="65" spans="1:23" s="1" customFormat="1" ht="34.5" customHeight="1" x14ac:dyDescent="0.2">
      <c r="A65" s="250"/>
      <c r="B65" s="250"/>
      <c r="C65" s="250"/>
      <c r="D65" s="271"/>
      <c r="E65" s="263"/>
      <c r="F65" s="263"/>
      <c r="G65" s="263"/>
      <c r="H65" s="263"/>
      <c r="I65" s="263"/>
      <c r="J65" s="263"/>
      <c r="K65" s="295"/>
      <c r="L65" s="295"/>
      <c r="M65" s="294"/>
      <c r="N65" s="13" t="s">
        <v>286</v>
      </c>
      <c r="O65" s="152"/>
      <c r="P65" s="121"/>
      <c r="Q65" s="149"/>
      <c r="R65" s="159"/>
      <c r="S65" s="159"/>
      <c r="T65" s="212"/>
      <c r="U65" s="212"/>
      <c r="V65" s="238"/>
    </row>
    <row r="66" spans="1:23" s="1" customFormat="1" ht="34.5" customHeight="1" x14ac:dyDescent="0.2">
      <c r="A66" s="250"/>
      <c r="B66" s="250"/>
      <c r="C66" s="250"/>
      <c r="D66" s="271"/>
      <c r="E66" s="263"/>
      <c r="F66" s="263"/>
      <c r="G66" s="263"/>
      <c r="H66" s="263"/>
      <c r="I66" s="263"/>
      <c r="J66" s="263"/>
      <c r="K66" s="295"/>
      <c r="L66" s="295"/>
      <c r="M66" s="293" t="s">
        <v>318</v>
      </c>
      <c r="N66" s="13" t="s">
        <v>28</v>
      </c>
      <c r="O66" s="152">
        <v>0</v>
      </c>
      <c r="P66" s="121"/>
      <c r="Q66" s="149">
        <v>0</v>
      </c>
      <c r="R66" s="159"/>
      <c r="S66" s="159"/>
      <c r="T66" s="212"/>
      <c r="U66" s="212"/>
      <c r="V66" s="238"/>
    </row>
    <row r="67" spans="1:23" s="1" customFormat="1" ht="34.5" customHeight="1" x14ac:dyDescent="0.2">
      <c r="A67" s="250"/>
      <c r="B67" s="250"/>
      <c r="C67" s="250"/>
      <c r="D67" s="271"/>
      <c r="E67" s="264"/>
      <c r="F67" s="264"/>
      <c r="G67" s="264"/>
      <c r="H67" s="264"/>
      <c r="I67" s="264"/>
      <c r="J67" s="264"/>
      <c r="K67" s="294"/>
      <c r="L67" s="294"/>
      <c r="M67" s="294"/>
      <c r="N67" s="13" t="s">
        <v>311</v>
      </c>
      <c r="O67" s="152">
        <v>0</v>
      </c>
      <c r="P67" s="121"/>
      <c r="Q67" s="149">
        <v>0</v>
      </c>
      <c r="R67" s="149"/>
      <c r="S67" s="149"/>
      <c r="T67" s="212"/>
      <c r="U67" s="212"/>
      <c r="V67" s="238"/>
    </row>
    <row r="68" spans="1:23" s="1" customFormat="1" ht="26.25" customHeight="1" x14ac:dyDescent="0.2">
      <c r="A68" s="265" t="s">
        <v>67</v>
      </c>
      <c r="B68" s="263" t="s">
        <v>68</v>
      </c>
      <c r="C68" s="266" t="s">
        <v>69</v>
      </c>
      <c r="D68" s="287" t="s">
        <v>70</v>
      </c>
      <c r="E68" s="303" t="s">
        <v>42</v>
      </c>
      <c r="F68" s="262" t="s">
        <v>484</v>
      </c>
      <c r="G68" s="262" t="s">
        <v>42</v>
      </c>
      <c r="H68" s="262" t="s">
        <v>483</v>
      </c>
      <c r="I68" s="262" t="s">
        <v>42</v>
      </c>
      <c r="J68" s="262" t="s">
        <v>6</v>
      </c>
      <c r="K68" s="13" t="s">
        <v>281</v>
      </c>
      <c r="L68" s="13" t="s">
        <v>301</v>
      </c>
      <c r="M68" s="13" t="s">
        <v>284</v>
      </c>
      <c r="N68" s="13" t="s">
        <v>285</v>
      </c>
      <c r="O68" s="152">
        <f t="shared" ref="O68:S68" si="11">SUM(O69:O77)</f>
        <v>1516654.44</v>
      </c>
      <c r="P68" s="152">
        <f t="shared" si="11"/>
        <v>1516654.44</v>
      </c>
      <c r="Q68" s="152">
        <f t="shared" si="11"/>
        <v>2503764</v>
      </c>
      <c r="R68" s="152">
        <f t="shared" si="11"/>
        <v>4729284.58</v>
      </c>
      <c r="S68" s="152">
        <f t="shared" si="11"/>
        <v>3717147.96</v>
      </c>
      <c r="T68" s="212"/>
      <c r="U68" s="212"/>
      <c r="V68" s="238"/>
    </row>
    <row r="69" spans="1:23" s="1" customFormat="1" ht="26.25" customHeight="1" x14ac:dyDescent="0.2">
      <c r="A69" s="263"/>
      <c r="B69" s="263"/>
      <c r="C69" s="266"/>
      <c r="D69" s="288"/>
      <c r="E69" s="271"/>
      <c r="F69" s="263"/>
      <c r="G69" s="263"/>
      <c r="H69" s="263"/>
      <c r="I69" s="263"/>
      <c r="J69" s="263"/>
      <c r="K69" s="113" t="s">
        <v>281</v>
      </c>
      <c r="L69" s="113" t="s">
        <v>152</v>
      </c>
      <c r="M69" s="59" t="s">
        <v>376</v>
      </c>
      <c r="N69" s="59" t="s">
        <v>282</v>
      </c>
      <c r="O69" s="128">
        <v>530165.1</v>
      </c>
      <c r="P69" s="128">
        <v>530165.1</v>
      </c>
      <c r="Q69" s="128">
        <v>633500</v>
      </c>
      <c r="R69" s="149"/>
      <c r="S69" s="149"/>
      <c r="T69" s="212"/>
      <c r="U69" s="212"/>
      <c r="V69" s="238"/>
    </row>
    <row r="70" spans="1:23" s="1" customFormat="1" ht="26.25" customHeight="1" x14ac:dyDescent="0.2">
      <c r="A70" s="263"/>
      <c r="B70" s="263"/>
      <c r="C70" s="266"/>
      <c r="D70" s="288"/>
      <c r="E70" s="271"/>
      <c r="F70" s="263"/>
      <c r="G70" s="263"/>
      <c r="H70" s="263"/>
      <c r="I70" s="263"/>
      <c r="J70" s="266"/>
      <c r="K70" s="112" t="s">
        <v>281</v>
      </c>
      <c r="L70" s="112" t="s">
        <v>152</v>
      </c>
      <c r="M70" s="112" t="s">
        <v>534</v>
      </c>
      <c r="N70" s="112" t="s">
        <v>282</v>
      </c>
      <c r="O70" s="90">
        <v>714570</v>
      </c>
      <c r="P70" s="90">
        <v>714570</v>
      </c>
      <c r="Q70" s="90">
        <v>0</v>
      </c>
      <c r="R70" s="149"/>
      <c r="S70" s="149"/>
      <c r="T70" s="212"/>
      <c r="U70" s="212"/>
      <c r="V70" s="238"/>
    </row>
    <row r="71" spans="1:23" s="1" customFormat="1" ht="26.25" customHeight="1" x14ac:dyDescent="0.2">
      <c r="A71" s="263"/>
      <c r="B71" s="263"/>
      <c r="C71" s="266"/>
      <c r="D71" s="288"/>
      <c r="E71" s="271"/>
      <c r="F71" s="263"/>
      <c r="G71" s="263"/>
      <c r="H71" s="263"/>
      <c r="I71" s="263"/>
      <c r="J71" s="263"/>
      <c r="K71" s="114" t="s">
        <v>281</v>
      </c>
      <c r="L71" s="129" t="s">
        <v>111</v>
      </c>
      <c r="M71" s="111" t="s">
        <v>374</v>
      </c>
      <c r="N71" s="111" t="s">
        <v>289</v>
      </c>
      <c r="O71" s="130">
        <v>57985</v>
      </c>
      <c r="P71" s="130">
        <v>57985</v>
      </c>
      <c r="Q71" s="130">
        <v>31800</v>
      </c>
      <c r="R71" s="90"/>
      <c r="S71" s="90"/>
      <c r="T71" s="214"/>
      <c r="U71" s="214"/>
      <c r="V71" s="238"/>
    </row>
    <row r="72" spans="1:23" s="1" customFormat="1" ht="26.25" customHeight="1" x14ac:dyDescent="0.2">
      <c r="A72" s="263"/>
      <c r="B72" s="263"/>
      <c r="C72" s="266"/>
      <c r="D72" s="288"/>
      <c r="E72" s="271"/>
      <c r="F72" s="263"/>
      <c r="G72" s="263"/>
      <c r="H72" s="263"/>
      <c r="I72" s="263"/>
      <c r="J72" s="263"/>
      <c r="K72" s="103" t="s">
        <v>281</v>
      </c>
      <c r="L72" s="27" t="s">
        <v>94</v>
      </c>
      <c r="M72" s="99" t="s">
        <v>507</v>
      </c>
      <c r="N72" s="100" t="s">
        <v>282</v>
      </c>
      <c r="O72" s="90"/>
      <c r="P72" s="90"/>
      <c r="Q72" s="90"/>
      <c r="R72" s="90">
        <v>3324981.63</v>
      </c>
      <c r="S72" s="90">
        <v>3717147.96</v>
      </c>
      <c r="T72" s="214"/>
      <c r="U72" s="214"/>
      <c r="V72" s="238"/>
    </row>
    <row r="73" spans="1:23" s="1" customFormat="1" ht="26.25" customHeight="1" x14ac:dyDescent="0.2">
      <c r="A73" s="263"/>
      <c r="B73" s="263"/>
      <c r="C73" s="266"/>
      <c r="D73" s="288"/>
      <c r="E73" s="271"/>
      <c r="F73" s="263"/>
      <c r="G73" s="263"/>
      <c r="H73" s="263"/>
      <c r="I73" s="263"/>
      <c r="J73" s="263"/>
      <c r="K73" s="154" t="s">
        <v>281</v>
      </c>
      <c r="L73" s="27" t="s">
        <v>94</v>
      </c>
      <c r="M73" s="163" t="s">
        <v>549</v>
      </c>
      <c r="N73" s="164" t="s">
        <v>551</v>
      </c>
      <c r="O73" s="90"/>
      <c r="P73" s="90"/>
      <c r="Q73" s="90"/>
      <c r="R73" s="90">
        <v>1404302.95</v>
      </c>
      <c r="S73" s="90"/>
      <c r="T73" s="214"/>
      <c r="U73" s="214"/>
      <c r="V73" s="238"/>
    </row>
    <row r="74" spans="1:23" s="1" customFormat="1" ht="26.25" customHeight="1" x14ac:dyDescent="0.2">
      <c r="A74" s="263"/>
      <c r="B74" s="263"/>
      <c r="C74" s="266"/>
      <c r="D74" s="288"/>
      <c r="E74" s="271"/>
      <c r="F74" s="263"/>
      <c r="G74" s="263"/>
      <c r="H74" s="263"/>
      <c r="I74" s="263"/>
      <c r="J74" s="263"/>
      <c r="K74" s="154" t="s">
        <v>281</v>
      </c>
      <c r="L74" s="27" t="s">
        <v>94</v>
      </c>
      <c r="M74" s="163" t="s">
        <v>550</v>
      </c>
      <c r="N74" s="164" t="s">
        <v>282</v>
      </c>
      <c r="O74" s="90"/>
      <c r="P74" s="90"/>
      <c r="Q74" s="90">
        <v>350727</v>
      </c>
      <c r="R74" s="90"/>
      <c r="S74" s="90"/>
      <c r="T74" s="214"/>
      <c r="U74" s="214"/>
      <c r="V74" s="238"/>
    </row>
    <row r="75" spans="1:23" s="1" customFormat="1" ht="26.25" customHeight="1" x14ac:dyDescent="0.2">
      <c r="A75" s="263"/>
      <c r="B75" s="263"/>
      <c r="C75" s="266"/>
      <c r="D75" s="288"/>
      <c r="E75" s="271"/>
      <c r="F75" s="263"/>
      <c r="G75" s="263"/>
      <c r="H75" s="263"/>
      <c r="I75" s="263"/>
      <c r="J75" s="263"/>
      <c r="K75" s="85" t="s">
        <v>281</v>
      </c>
      <c r="L75" s="27" t="s">
        <v>256</v>
      </c>
      <c r="M75" s="87" t="s">
        <v>322</v>
      </c>
      <c r="N75" s="88" t="s">
        <v>282</v>
      </c>
      <c r="O75" s="90">
        <v>163857.66</v>
      </c>
      <c r="P75" s="90">
        <v>163857.66</v>
      </c>
      <c r="Q75" s="90">
        <f>1450798+36939</f>
        <v>1487737</v>
      </c>
      <c r="R75" s="149"/>
      <c r="S75" s="149"/>
      <c r="T75" s="212"/>
      <c r="U75" s="212"/>
      <c r="V75" s="238"/>
    </row>
    <row r="76" spans="1:23" s="1" customFormat="1" ht="26.25" customHeight="1" x14ac:dyDescent="0.2">
      <c r="A76" s="263"/>
      <c r="B76" s="263"/>
      <c r="C76" s="266"/>
      <c r="D76" s="288"/>
      <c r="E76" s="271"/>
      <c r="F76" s="263"/>
      <c r="G76" s="263"/>
      <c r="H76" s="263"/>
      <c r="I76" s="263"/>
      <c r="J76" s="263"/>
      <c r="K76" s="85" t="s">
        <v>281</v>
      </c>
      <c r="L76" s="27" t="s">
        <v>256</v>
      </c>
      <c r="M76" s="87" t="s">
        <v>322</v>
      </c>
      <c r="N76" s="88" t="s">
        <v>504</v>
      </c>
      <c r="O76" s="90">
        <v>76.680000000000007</v>
      </c>
      <c r="P76" s="90">
        <v>76.680000000000007</v>
      </c>
      <c r="Q76" s="90">
        <v>0</v>
      </c>
      <c r="R76" s="149"/>
      <c r="S76" s="149"/>
      <c r="T76" s="212"/>
      <c r="U76" s="212"/>
      <c r="V76" s="238"/>
    </row>
    <row r="77" spans="1:23" s="1" customFormat="1" ht="26.25" customHeight="1" x14ac:dyDescent="0.2">
      <c r="A77" s="264"/>
      <c r="B77" s="264"/>
      <c r="C77" s="257"/>
      <c r="D77" s="290"/>
      <c r="E77" s="304"/>
      <c r="F77" s="264"/>
      <c r="G77" s="264"/>
      <c r="H77" s="264"/>
      <c r="I77" s="264"/>
      <c r="J77" s="264"/>
      <c r="K77" s="59" t="s">
        <v>281</v>
      </c>
      <c r="L77" s="27" t="s">
        <v>256</v>
      </c>
      <c r="M77" s="73" t="s">
        <v>322</v>
      </c>
      <c r="N77" s="74" t="s">
        <v>286</v>
      </c>
      <c r="O77" s="90">
        <v>50000</v>
      </c>
      <c r="P77" s="90">
        <v>50000</v>
      </c>
      <c r="Q77" s="90">
        <v>0</v>
      </c>
      <c r="R77" s="149"/>
      <c r="S77" s="149"/>
      <c r="T77" s="212"/>
      <c r="U77" s="212"/>
      <c r="V77" s="238"/>
    </row>
    <row r="78" spans="1:23" s="1" customFormat="1" ht="26.45" customHeight="1" x14ac:dyDescent="0.2">
      <c r="A78" s="305" t="s">
        <v>71</v>
      </c>
      <c r="B78" s="262" t="s">
        <v>72</v>
      </c>
      <c r="C78" s="268" t="s">
        <v>73</v>
      </c>
      <c r="D78" s="265" t="s">
        <v>267</v>
      </c>
      <c r="E78" s="262" t="s">
        <v>268</v>
      </c>
      <c r="F78" s="262" t="s">
        <v>74</v>
      </c>
      <c r="G78" s="262" t="s">
        <v>42</v>
      </c>
      <c r="H78" s="262" t="s">
        <v>418</v>
      </c>
      <c r="I78" s="262" t="s">
        <v>42</v>
      </c>
      <c r="J78" s="312" t="s">
        <v>12</v>
      </c>
      <c r="K78" s="315" t="s">
        <v>281</v>
      </c>
      <c r="L78" s="315" t="s">
        <v>75</v>
      </c>
      <c r="M78" s="33" t="s">
        <v>285</v>
      </c>
      <c r="N78" s="22" t="s">
        <v>285</v>
      </c>
      <c r="O78" s="23">
        <f t="shared" ref="O78" si="12">SUM(O79:O84)</f>
        <v>10390256.08</v>
      </c>
      <c r="P78" s="23">
        <f t="shared" ref="P78:Q78" si="13">SUM(P79:P84)</f>
        <v>10390256.08</v>
      </c>
      <c r="Q78" s="23">
        <f t="shared" si="13"/>
        <v>11364296.939999999</v>
      </c>
      <c r="R78" s="23">
        <f t="shared" ref="R78:S78" si="14">SUM(R79:R84)</f>
        <v>9922642</v>
      </c>
      <c r="S78" s="23">
        <f t="shared" si="14"/>
        <v>9924359</v>
      </c>
      <c r="T78" s="213"/>
      <c r="U78" s="213"/>
      <c r="V78" s="238"/>
    </row>
    <row r="79" spans="1:23" s="1" customFormat="1" ht="26.45" customHeight="1" x14ac:dyDescent="0.2">
      <c r="A79" s="305"/>
      <c r="B79" s="263"/>
      <c r="C79" s="268"/>
      <c r="D79" s="263"/>
      <c r="E79" s="263"/>
      <c r="F79" s="263"/>
      <c r="G79" s="263"/>
      <c r="H79" s="263"/>
      <c r="I79" s="263"/>
      <c r="J79" s="313"/>
      <c r="K79" s="315"/>
      <c r="L79" s="315"/>
      <c r="M79" s="306" t="s">
        <v>340</v>
      </c>
      <c r="N79" s="72" t="s">
        <v>292</v>
      </c>
      <c r="O79" s="90">
        <v>9349800</v>
      </c>
      <c r="P79" s="90">
        <v>9349800</v>
      </c>
      <c r="Q79" s="90">
        <v>11297300</v>
      </c>
      <c r="R79" s="149">
        <v>9855558.3300000001</v>
      </c>
      <c r="S79" s="149">
        <v>9855523.2899999991</v>
      </c>
      <c r="T79" s="212"/>
      <c r="U79" s="212"/>
      <c r="V79" s="244"/>
      <c r="W79" s="1">
        <v>889600</v>
      </c>
    </row>
    <row r="80" spans="1:23" s="1" customFormat="1" ht="26.45" customHeight="1" x14ac:dyDescent="0.2">
      <c r="A80" s="305"/>
      <c r="B80" s="263"/>
      <c r="C80" s="268"/>
      <c r="D80" s="263"/>
      <c r="E80" s="263"/>
      <c r="F80" s="263"/>
      <c r="G80" s="263"/>
      <c r="H80" s="263"/>
      <c r="I80" s="263"/>
      <c r="J80" s="313"/>
      <c r="K80" s="315"/>
      <c r="L80" s="315"/>
      <c r="M80" s="307"/>
      <c r="N80" s="73" t="s">
        <v>293</v>
      </c>
      <c r="O80" s="90">
        <v>342936.8</v>
      </c>
      <c r="P80" s="90">
        <v>342936.8</v>
      </c>
      <c r="Q80" s="90"/>
      <c r="R80" s="149"/>
      <c r="S80" s="149"/>
      <c r="T80" s="212"/>
      <c r="U80" s="212"/>
      <c r="V80" s="238"/>
    </row>
    <row r="81" spans="1:23" s="1" customFormat="1" ht="26.45" customHeight="1" x14ac:dyDescent="0.2">
      <c r="A81" s="305"/>
      <c r="B81" s="263"/>
      <c r="C81" s="268"/>
      <c r="D81" s="263"/>
      <c r="E81" s="264"/>
      <c r="F81" s="263"/>
      <c r="G81" s="263"/>
      <c r="H81" s="263"/>
      <c r="I81" s="263"/>
      <c r="J81" s="313"/>
      <c r="K81" s="315"/>
      <c r="L81" s="315"/>
      <c r="M81" s="13" t="s">
        <v>497</v>
      </c>
      <c r="N81" s="13" t="s">
        <v>293</v>
      </c>
      <c r="O81" s="90">
        <v>620443.28</v>
      </c>
      <c r="P81" s="90">
        <v>620443.28</v>
      </c>
      <c r="Q81" s="90"/>
      <c r="R81" s="149"/>
      <c r="S81" s="149"/>
      <c r="T81" s="212"/>
      <c r="U81" s="212"/>
      <c r="V81" s="238"/>
    </row>
    <row r="82" spans="1:23" s="1" customFormat="1" ht="34.5" hidden="1" customHeight="1" x14ac:dyDescent="0.2">
      <c r="A82" s="305"/>
      <c r="B82" s="263"/>
      <c r="C82" s="268"/>
      <c r="D82" s="308" t="s">
        <v>408</v>
      </c>
      <c r="E82" s="262" t="s">
        <v>42</v>
      </c>
      <c r="F82" s="263"/>
      <c r="G82" s="263"/>
      <c r="H82" s="263" t="s">
        <v>419</v>
      </c>
      <c r="I82" s="263"/>
      <c r="J82" s="313"/>
      <c r="K82" s="315"/>
      <c r="L82" s="315"/>
      <c r="M82" s="13" t="s">
        <v>338</v>
      </c>
      <c r="N82" s="13" t="s">
        <v>293</v>
      </c>
      <c r="O82" s="90"/>
      <c r="P82" s="90"/>
      <c r="Q82" s="90"/>
      <c r="R82" s="149"/>
      <c r="S82" s="149"/>
      <c r="T82" s="212"/>
      <c r="U82" s="212"/>
      <c r="V82" s="238"/>
    </row>
    <row r="83" spans="1:23" s="1" customFormat="1" ht="34.5" hidden="1" customHeight="1" x14ac:dyDescent="0.2">
      <c r="A83" s="305"/>
      <c r="B83" s="263"/>
      <c r="C83" s="268"/>
      <c r="D83" s="308"/>
      <c r="E83" s="263"/>
      <c r="F83" s="263"/>
      <c r="G83" s="263"/>
      <c r="H83" s="310"/>
      <c r="I83" s="263"/>
      <c r="J83" s="313"/>
      <c r="K83" s="315"/>
      <c r="L83" s="315"/>
      <c r="M83" s="13" t="s">
        <v>298</v>
      </c>
      <c r="N83" s="13" t="s">
        <v>293</v>
      </c>
      <c r="O83" s="152"/>
      <c r="P83" s="121"/>
      <c r="Q83" s="149"/>
      <c r="R83" s="149"/>
      <c r="S83" s="149"/>
      <c r="T83" s="212"/>
      <c r="U83" s="212"/>
      <c r="V83" s="238"/>
    </row>
    <row r="84" spans="1:23" s="1" customFormat="1" ht="34.5" customHeight="1" x14ac:dyDescent="0.2">
      <c r="A84" s="305"/>
      <c r="B84" s="264"/>
      <c r="C84" s="268"/>
      <c r="D84" s="309"/>
      <c r="E84" s="264"/>
      <c r="F84" s="264"/>
      <c r="G84" s="264"/>
      <c r="H84" s="311"/>
      <c r="I84" s="264"/>
      <c r="J84" s="314"/>
      <c r="K84" s="315"/>
      <c r="L84" s="315"/>
      <c r="M84" s="17" t="s">
        <v>339</v>
      </c>
      <c r="N84" s="60" t="s">
        <v>293</v>
      </c>
      <c r="O84" s="152">
        <f>77099-23</f>
        <v>77076</v>
      </c>
      <c r="P84" s="152">
        <f>77099-23</f>
        <v>77076</v>
      </c>
      <c r="Q84" s="149">
        <v>66996.94</v>
      </c>
      <c r="R84" s="149">
        <v>67083.67</v>
      </c>
      <c r="S84" s="149">
        <v>68835.710000000006</v>
      </c>
      <c r="T84" s="212"/>
      <c r="U84" s="212"/>
      <c r="V84" s="238"/>
    </row>
    <row r="85" spans="1:23" s="1" customFormat="1" ht="26.45" customHeight="1" x14ac:dyDescent="0.2">
      <c r="A85" s="305" t="s">
        <v>76</v>
      </c>
      <c r="B85" s="262" t="s">
        <v>77</v>
      </c>
      <c r="C85" s="268" t="s">
        <v>78</v>
      </c>
      <c r="D85" s="262" t="s">
        <v>267</v>
      </c>
      <c r="E85" s="262" t="s">
        <v>268</v>
      </c>
      <c r="F85" s="262" t="s">
        <v>79</v>
      </c>
      <c r="G85" s="262" t="s">
        <v>42</v>
      </c>
      <c r="H85" s="262" t="s">
        <v>485</v>
      </c>
      <c r="I85" s="262" t="s">
        <v>42</v>
      </c>
      <c r="J85" s="312" t="s">
        <v>12</v>
      </c>
      <c r="K85" s="322" t="s">
        <v>281</v>
      </c>
      <c r="L85" s="322" t="s">
        <v>75</v>
      </c>
      <c r="M85" s="14" t="s">
        <v>285</v>
      </c>
      <c r="N85" s="14" t="s">
        <v>285</v>
      </c>
      <c r="O85" s="23">
        <f>SUM(O86:O93)</f>
        <v>9149311.1799999997</v>
      </c>
      <c r="P85" s="23">
        <f>SUM(P86:P93)</f>
        <v>9149311.1799999997</v>
      </c>
      <c r="Q85" s="23">
        <f t="shared" ref="Q85:S85" si="15">SUM(Q86:Q93)</f>
        <v>19722778.23</v>
      </c>
      <c r="R85" s="23">
        <f t="shared" si="15"/>
        <v>9705800</v>
      </c>
      <c r="S85" s="23">
        <f t="shared" si="15"/>
        <v>9705800</v>
      </c>
      <c r="T85" s="213"/>
      <c r="U85" s="213"/>
      <c r="V85" s="238"/>
    </row>
    <row r="86" spans="1:23" s="1" customFormat="1" ht="26.45" customHeight="1" x14ac:dyDescent="0.2">
      <c r="A86" s="305"/>
      <c r="B86" s="263"/>
      <c r="C86" s="268"/>
      <c r="D86" s="263"/>
      <c r="E86" s="263"/>
      <c r="F86" s="263"/>
      <c r="G86" s="263"/>
      <c r="H86" s="263"/>
      <c r="I86" s="263"/>
      <c r="J86" s="313"/>
      <c r="K86" s="323"/>
      <c r="L86" s="323"/>
      <c r="M86" s="13" t="s">
        <v>338</v>
      </c>
      <c r="N86" s="13" t="s">
        <v>293</v>
      </c>
      <c r="O86" s="152">
        <v>107458</v>
      </c>
      <c r="P86" s="152">
        <v>107458</v>
      </c>
      <c r="Q86" s="149">
        <v>0</v>
      </c>
      <c r="R86" s="149"/>
      <c r="S86" s="149"/>
      <c r="T86" s="212"/>
      <c r="U86" s="212"/>
      <c r="V86" s="238"/>
    </row>
    <row r="87" spans="1:23" s="1" customFormat="1" ht="26.45" customHeight="1" x14ac:dyDescent="0.2">
      <c r="A87" s="305"/>
      <c r="B87" s="263"/>
      <c r="C87" s="268"/>
      <c r="D87" s="263"/>
      <c r="E87" s="263"/>
      <c r="F87" s="263"/>
      <c r="G87" s="263"/>
      <c r="H87" s="263"/>
      <c r="I87" s="263"/>
      <c r="J87" s="313"/>
      <c r="K87" s="323"/>
      <c r="L87" s="323"/>
      <c r="M87" s="293" t="s">
        <v>335</v>
      </c>
      <c r="N87" s="13" t="s">
        <v>292</v>
      </c>
      <c r="O87" s="90">
        <v>8746000</v>
      </c>
      <c r="P87" s="90">
        <v>8746000</v>
      </c>
      <c r="Q87" s="90">
        <v>10874300</v>
      </c>
      <c r="R87" s="149">
        <v>9705800</v>
      </c>
      <c r="S87" s="149">
        <v>9705800</v>
      </c>
      <c r="T87" s="212"/>
      <c r="U87" s="212"/>
      <c r="V87" s="238"/>
    </row>
    <row r="88" spans="1:23" s="1" customFormat="1" ht="26.45" customHeight="1" x14ac:dyDescent="0.2">
      <c r="A88" s="305"/>
      <c r="B88" s="263"/>
      <c r="C88" s="268"/>
      <c r="D88" s="263"/>
      <c r="E88" s="263"/>
      <c r="F88" s="263"/>
      <c r="G88" s="263"/>
      <c r="H88" s="263"/>
      <c r="I88" s="263"/>
      <c r="J88" s="313"/>
      <c r="K88" s="323"/>
      <c r="L88" s="323"/>
      <c r="M88" s="294"/>
      <c r="N88" s="13" t="s">
        <v>293</v>
      </c>
      <c r="O88" s="90"/>
      <c r="P88" s="90"/>
      <c r="Q88" s="90"/>
      <c r="R88" s="149"/>
      <c r="S88" s="149"/>
      <c r="T88" s="212"/>
      <c r="U88" s="212"/>
      <c r="V88" s="238"/>
    </row>
    <row r="89" spans="1:23" s="1" customFormat="1" ht="26.45" customHeight="1" x14ac:dyDescent="0.2">
      <c r="A89" s="305"/>
      <c r="B89" s="263"/>
      <c r="C89" s="268"/>
      <c r="D89" s="264"/>
      <c r="E89" s="264"/>
      <c r="F89" s="263"/>
      <c r="G89" s="263"/>
      <c r="H89" s="263"/>
      <c r="I89" s="263"/>
      <c r="J89" s="313"/>
      <c r="K89" s="323"/>
      <c r="L89" s="323"/>
      <c r="M89" s="13" t="s">
        <v>336</v>
      </c>
      <c r="N89" s="13" t="s">
        <v>282</v>
      </c>
      <c r="O89" s="90">
        <v>134393.32999999999</v>
      </c>
      <c r="P89" s="90">
        <v>134393.32999999999</v>
      </c>
      <c r="Q89" s="90">
        <v>135500</v>
      </c>
      <c r="R89" s="149"/>
      <c r="S89" s="149"/>
      <c r="T89" s="212"/>
      <c r="U89" s="212"/>
      <c r="V89" s="238"/>
    </row>
    <row r="90" spans="1:23" s="1" customFormat="1" ht="26.45" customHeight="1" x14ac:dyDescent="0.2">
      <c r="A90" s="305"/>
      <c r="B90" s="263"/>
      <c r="C90" s="268"/>
      <c r="D90" s="316" t="s">
        <v>409</v>
      </c>
      <c r="E90" s="317" t="s">
        <v>42</v>
      </c>
      <c r="F90" s="263"/>
      <c r="G90" s="263"/>
      <c r="H90" s="263"/>
      <c r="I90" s="263"/>
      <c r="J90" s="313"/>
      <c r="K90" s="323"/>
      <c r="L90" s="323"/>
      <c r="M90" s="13" t="s">
        <v>336</v>
      </c>
      <c r="N90" s="13" t="s">
        <v>293</v>
      </c>
      <c r="O90" s="90">
        <v>161459.85</v>
      </c>
      <c r="P90" s="90">
        <v>161459.85</v>
      </c>
      <c r="Q90" s="90">
        <v>2290293</v>
      </c>
      <c r="R90" s="149"/>
      <c r="S90" s="149"/>
      <c r="T90" s="212"/>
      <c r="U90" s="212"/>
      <c r="V90" s="244"/>
      <c r="W90" s="1">
        <v>400000</v>
      </c>
    </row>
    <row r="91" spans="1:23" s="1" customFormat="1" ht="26.45" customHeight="1" x14ac:dyDescent="0.2">
      <c r="A91" s="305"/>
      <c r="B91" s="263"/>
      <c r="C91" s="268"/>
      <c r="D91" s="308"/>
      <c r="E91" s="318"/>
      <c r="F91" s="263"/>
      <c r="G91" s="263"/>
      <c r="H91" s="263"/>
      <c r="I91" s="263"/>
      <c r="J91" s="313"/>
      <c r="K91" s="323"/>
      <c r="L91" s="323"/>
      <c r="M91" s="13" t="s">
        <v>337</v>
      </c>
      <c r="N91" s="13" t="s">
        <v>293</v>
      </c>
      <c r="O91" s="152"/>
      <c r="P91" s="121"/>
      <c r="Q91" s="166">
        <v>3446459</v>
      </c>
      <c r="R91" s="149"/>
      <c r="S91" s="149"/>
      <c r="T91" s="212"/>
      <c r="U91" s="212"/>
      <c r="V91" s="238"/>
    </row>
    <row r="92" spans="1:23" s="1" customFormat="1" ht="26.45" customHeight="1" x14ac:dyDescent="0.2">
      <c r="A92" s="305"/>
      <c r="B92" s="263"/>
      <c r="C92" s="268"/>
      <c r="D92" s="308"/>
      <c r="E92" s="318"/>
      <c r="F92" s="263"/>
      <c r="G92" s="263"/>
      <c r="H92" s="263"/>
      <c r="I92" s="263"/>
      <c r="J92" s="313"/>
      <c r="K92" s="323"/>
      <c r="L92" s="323"/>
      <c r="M92" s="13" t="s">
        <v>512</v>
      </c>
      <c r="N92" s="13" t="s">
        <v>293</v>
      </c>
      <c r="O92" s="152"/>
      <c r="P92" s="121"/>
      <c r="Q92" s="166">
        <f>2902860+73366.23</f>
        <v>2976226.23</v>
      </c>
      <c r="R92" s="149"/>
      <c r="S92" s="149"/>
      <c r="T92" s="212"/>
      <c r="U92" s="212"/>
      <c r="V92" s="238"/>
    </row>
    <row r="93" spans="1:23" s="1" customFormat="1" ht="26.45" customHeight="1" x14ac:dyDescent="0.2">
      <c r="A93" s="305"/>
      <c r="B93" s="267"/>
      <c r="C93" s="268"/>
      <c r="D93" s="308"/>
      <c r="E93" s="318"/>
      <c r="F93" s="267"/>
      <c r="G93" s="267"/>
      <c r="H93" s="267"/>
      <c r="I93" s="267"/>
      <c r="J93" s="321"/>
      <c r="K93" s="324"/>
      <c r="L93" s="324"/>
      <c r="M93" s="13" t="s">
        <v>299</v>
      </c>
      <c r="N93" s="13" t="s">
        <v>293</v>
      </c>
      <c r="O93" s="152"/>
      <c r="P93" s="121"/>
      <c r="Q93" s="149"/>
      <c r="R93" s="149"/>
      <c r="S93" s="149"/>
      <c r="T93" s="212"/>
      <c r="U93" s="212"/>
      <c r="V93" s="238"/>
    </row>
    <row r="94" spans="1:23" s="1" customFormat="1" ht="48.75" customHeight="1" x14ac:dyDescent="0.2">
      <c r="A94" s="319" t="s">
        <v>80</v>
      </c>
      <c r="B94" s="287" t="s">
        <v>81</v>
      </c>
      <c r="C94" s="287" t="s">
        <v>82</v>
      </c>
      <c r="D94" s="189" t="s">
        <v>267</v>
      </c>
      <c r="E94" s="84" t="s">
        <v>268</v>
      </c>
      <c r="F94" s="287" t="s">
        <v>486</v>
      </c>
      <c r="G94" s="287" t="s">
        <v>42</v>
      </c>
      <c r="H94" s="287" t="s">
        <v>447</v>
      </c>
      <c r="I94" s="287" t="s">
        <v>42</v>
      </c>
      <c r="J94" s="287" t="s">
        <v>12</v>
      </c>
      <c r="K94" s="255" t="s">
        <v>281</v>
      </c>
      <c r="L94" s="22" t="s">
        <v>301</v>
      </c>
      <c r="M94" s="22" t="s">
        <v>285</v>
      </c>
      <c r="N94" s="22" t="s">
        <v>285</v>
      </c>
      <c r="O94" s="23">
        <f t="shared" ref="O94:S94" si="16">O95+O96</f>
        <v>4249576.8599999994</v>
      </c>
      <c r="P94" s="23">
        <f t="shared" si="16"/>
        <v>4249570.92</v>
      </c>
      <c r="Q94" s="23">
        <f t="shared" si="16"/>
        <v>737759.08000000007</v>
      </c>
      <c r="R94" s="23">
        <f t="shared" si="16"/>
        <v>0</v>
      </c>
      <c r="S94" s="23">
        <f t="shared" si="16"/>
        <v>0</v>
      </c>
      <c r="T94" s="213"/>
      <c r="U94" s="213"/>
      <c r="V94" s="238"/>
    </row>
    <row r="95" spans="1:23" s="1" customFormat="1" ht="36.75" customHeight="1" x14ac:dyDescent="0.2">
      <c r="A95" s="251"/>
      <c r="B95" s="288"/>
      <c r="C95" s="288"/>
      <c r="D95" s="250" t="s">
        <v>410</v>
      </c>
      <c r="E95" s="250" t="s">
        <v>42</v>
      </c>
      <c r="F95" s="288"/>
      <c r="G95" s="288"/>
      <c r="H95" s="288"/>
      <c r="I95" s="288"/>
      <c r="J95" s="288"/>
      <c r="K95" s="378"/>
      <c r="L95" s="99" t="s">
        <v>300</v>
      </c>
      <c r="M95" s="99" t="s">
        <v>399</v>
      </c>
      <c r="N95" s="99" t="s">
        <v>282</v>
      </c>
      <c r="O95" s="152">
        <v>3917761.86</v>
      </c>
      <c r="P95" s="152">
        <v>3917755.92</v>
      </c>
      <c r="Q95" s="149">
        <v>456764.08</v>
      </c>
      <c r="R95" s="149"/>
      <c r="S95" s="149"/>
      <c r="T95" s="212"/>
      <c r="U95" s="212"/>
      <c r="V95" s="238"/>
    </row>
    <row r="96" spans="1:23" s="1" customFormat="1" ht="36.75" customHeight="1" x14ac:dyDescent="0.2">
      <c r="A96" s="320"/>
      <c r="B96" s="290"/>
      <c r="C96" s="290"/>
      <c r="D96" s="250"/>
      <c r="E96" s="250"/>
      <c r="F96" s="290"/>
      <c r="G96" s="290"/>
      <c r="H96" s="290"/>
      <c r="I96" s="290"/>
      <c r="J96" s="290"/>
      <c r="K96" s="253"/>
      <c r="L96" s="99" t="s">
        <v>75</v>
      </c>
      <c r="M96" s="99" t="s">
        <v>334</v>
      </c>
      <c r="N96" s="99" t="s">
        <v>282</v>
      </c>
      <c r="O96" s="152">
        <v>331815</v>
      </c>
      <c r="P96" s="152">
        <v>331815</v>
      </c>
      <c r="Q96" s="149">
        <v>280995</v>
      </c>
      <c r="R96" s="149"/>
      <c r="S96" s="149"/>
      <c r="T96" s="212"/>
      <c r="U96" s="212"/>
      <c r="V96" s="238"/>
    </row>
    <row r="97" spans="1:22" s="1" customFormat="1" ht="26.45" customHeight="1" x14ac:dyDescent="0.2">
      <c r="A97" s="332" t="s">
        <v>83</v>
      </c>
      <c r="B97" s="331" t="s">
        <v>84</v>
      </c>
      <c r="C97" s="380" t="s">
        <v>85</v>
      </c>
      <c r="D97" s="265" t="s">
        <v>267</v>
      </c>
      <c r="E97" s="265" t="s">
        <v>268</v>
      </c>
      <c r="F97" s="265" t="s">
        <v>411</v>
      </c>
      <c r="G97" s="265" t="s">
        <v>42</v>
      </c>
      <c r="H97" s="265" t="s">
        <v>487</v>
      </c>
      <c r="I97" s="379" t="s">
        <v>42</v>
      </c>
      <c r="J97" s="250" t="s">
        <v>16</v>
      </c>
      <c r="K97" s="183" t="s">
        <v>285</v>
      </c>
      <c r="L97" s="255" t="s">
        <v>86</v>
      </c>
      <c r="M97" s="181" t="s">
        <v>284</v>
      </c>
      <c r="N97" s="104" t="s">
        <v>285</v>
      </c>
      <c r="O97" s="152">
        <f>O98+O105</f>
        <v>316916.40999999997</v>
      </c>
      <c r="P97" s="159">
        <f>P98+P105</f>
        <v>306516.40999999997</v>
      </c>
      <c r="Q97" s="159">
        <f>Q98+Q105</f>
        <v>135573231</v>
      </c>
      <c r="R97" s="159">
        <f>R98+R105</f>
        <v>195168058.30000001</v>
      </c>
      <c r="S97" s="159">
        <f>S98+S105</f>
        <v>49450</v>
      </c>
      <c r="T97" s="212"/>
      <c r="U97" s="212"/>
      <c r="V97" s="238"/>
    </row>
    <row r="98" spans="1:22" s="1" customFormat="1" ht="26.45" customHeight="1" x14ac:dyDescent="0.2">
      <c r="A98" s="333"/>
      <c r="B98" s="313"/>
      <c r="C98" s="333"/>
      <c r="D98" s="263"/>
      <c r="E98" s="263"/>
      <c r="F98" s="263"/>
      <c r="G98" s="263"/>
      <c r="H98" s="263"/>
      <c r="I98" s="266"/>
      <c r="J98" s="250"/>
      <c r="K98" s="254" t="s">
        <v>281</v>
      </c>
      <c r="L98" s="378"/>
      <c r="M98" s="172" t="s">
        <v>284</v>
      </c>
      <c r="N98" s="25" t="s">
        <v>285</v>
      </c>
      <c r="O98" s="159">
        <f>SUM(O101:O104)</f>
        <v>316916.40999999997</v>
      </c>
      <c r="P98" s="159">
        <f>SUM(P101:P104)</f>
        <v>306516.40999999997</v>
      </c>
      <c r="Q98" s="159">
        <f>SUM(Q99:Q104)</f>
        <v>135432786</v>
      </c>
      <c r="R98" s="177">
        <f>SUM(R99:R104)</f>
        <v>195168058.30000001</v>
      </c>
      <c r="S98" s="177">
        <f>SUM(S99:S104)</f>
        <v>0</v>
      </c>
      <c r="T98" s="212"/>
      <c r="U98" s="212"/>
      <c r="V98" s="238"/>
    </row>
    <row r="99" spans="1:22" s="1" customFormat="1" ht="26.45" customHeight="1" x14ac:dyDescent="0.2">
      <c r="A99" s="333"/>
      <c r="B99" s="313"/>
      <c r="C99" s="333"/>
      <c r="D99" s="263"/>
      <c r="E99" s="263"/>
      <c r="F99" s="263"/>
      <c r="G99" s="263"/>
      <c r="H99" s="263"/>
      <c r="I99" s="266"/>
      <c r="J99" s="250"/>
      <c r="K99" s="254"/>
      <c r="L99" s="378"/>
      <c r="M99" s="172" t="s">
        <v>561</v>
      </c>
      <c r="N99" s="25" t="s">
        <v>304</v>
      </c>
      <c r="O99" s="177"/>
      <c r="P99" s="177"/>
      <c r="Q99" s="177">
        <v>131314000</v>
      </c>
      <c r="R99" s="177">
        <v>195168058.30000001</v>
      </c>
      <c r="S99" s="177"/>
      <c r="T99" s="212"/>
      <c r="U99" s="212"/>
      <c r="V99" s="238"/>
    </row>
    <row r="100" spans="1:22" s="1" customFormat="1" ht="26.45" customHeight="1" x14ac:dyDescent="0.2">
      <c r="A100" s="333"/>
      <c r="B100" s="313"/>
      <c r="C100" s="333"/>
      <c r="D100" s="263"/>
      <c r="E100" s="263"/>
      <c r="F100" s="263"/>
      <c r="G100" s="263"/>
      <c r="H100" s="263"/>
      <c r="I100" s="266"/>
      <c r="J100" s="250"/>
      <c r="K100" s="254"/>
      <c r="L100" s="378"/>
      <c r="M100" s="172" t="s">
        <v>562</v>
      </c>
      <c r="N100" s="25" t="s">
        <v>304</v>
      </c>
      <c r="O100" s="177"/>
      <c r="P100" s="177"/>
      <c r="Q100" s="177">
        <v>3832986</v>
      </c>
      <c r="R100" s="177"/>
      <c r="S100" s="177"/>
      <c r="T100" s="212"/>
      <c r="U100" s="212"/>
      <c r="V100" s="238"/>
    </row>
    <row r="101" spans="1:22" s="1" customFormat="1" ht="26.45" customHeight="1" x14ac:dyDescent="0.2">
      <c r="A101" s="333"/>
      <c r="B101" s="313"/>
      <c r="C101" s="333"/>
      <c r="D101" s="263"/>
      <c r="E101" s="263"/>
      <c r="F101" s="263"/>
      <c r="G101" s="263"/>
      <c r="H101" s="263"/>
      <c r="I101" s="266"/>
      <c r="J101" s="250"/>
      <c r="K101" s="254"/>
      <c r="L101" s="378"/>
      <c r="M101" s="298" t="s">
        <v>324</v>
      </c>
      <c r="N101" s="13" t="s">
        <v>26</v>
      </c>
      <c r="O101" s="90">
        <v>21600</v>
      </c>
      <c r="P101" s="90">
        <v>21600</v>
      </c>
      <c r="Q101" s="90">
        <v>0</v>
      </c>
      <c r="R101" s="149"/>
      <c r="S101" s="149"/>
      <c r="T101" s="212"/>
      <c r="U101" s="212"/>
      <c r="V101" s="238"/>
    </row>
    <row r="102" spans="1:22" s="1" customFormat="1" ht="26.45" customHeight="1" x14ac:dyDescent="0.2">
      <c r="A102" s="333"/>
      <c r="B102" s="313"/>
      <c r="C102" s="333"/>
      <c r="D102" s="263"/>
      <c r="E102" s="263"/>
      <c r="F102" s="263"/>
      <c r="G102" s="263"/>
      <c r="H102" s="263"/>
      <c r="I102" s="266"/>
      <c r="J102" s="250"/>
      <c r="K102" s="254"/>
      <c r="L102" s="378"/>
      <c r="M102" s="299"/>
      <c r="N102" s="13" t="s">
        <v>282</v>
      </c>
      <c r="O102" s="90">
        <v>285316.40999999997</v>
      </c>
      <c r="P102" s="90">
        <v>274916.40999999997</v>
      </c>
      <c r="Q102" s="90">
        <v>275800</v>
      </c>
      <c r="R102" s="149"/>
      <c r="S102" s="149"/>
      <c r="T102" s="212"/>
      <c r="U102" s="212"/>
      <c r="V102" s="238"/>
    </row>
    <row r="103" spans="1:22" s="1" customFormat="1" ht="26.45" customHeight="1" x14ac:dyDescent="0.2">
      <c r="A103" s="333"/>
      <c r="B103" s="313"/>
      <c r="C103" s="333"/>
      <c r="D103" s="263"/>
      <c r="E103" s="263"/>
      <c r="F103" s="263"/>
      <c r="G103" s="263"/>
      <c r="H103" s="263"/>
      <c r="I103" s="266"/>
      <c r="J103" s="250"/>
      <c r="K103" s="254"/>
      <c r="L103" s="378"/>
      <c r="M103" s="182" t="s">
        <v>325</v>
      </c>
      <c r="N103" s="99" t="s">
        <v>282</v>
      </c>
      <c r="O103" s="90">
        <v>10000</v>
      </c>
      <c r="P103" s="90">
        <v>10000</v>
      </c>
      <c r="Q103" s="90">
        <v>10000</v>
      </c>
      <c r="R103" s="149"/>
      <c r="S103" s="149"/>
      <c r="T103" s="212"/>
      <c r="U103" s="212"/>
      <c r="V103" s="238"/>
    </row>
    <row r="104" spans="1:22" s="1" customFormat="1" ht="26.45" customHeight="1" x14ac:dyDescent="0.2">
      <c r="A104" s="333"/>
      <c r="B104" s="313"/>
      <c r="C104" s="333"/>
      <c r="D104" s="263"/>
      <c r="E104" s="263"/>
      <c r="F104" s="263"/>
      <c r="G104" s="263"/>
      <c r="H104" s="263"/>
      <c r="I104" s="266"/>
      <c r="J104" s="250"/>
      <c r="K104" s="254"/>
      <c r="L104" s="378"/>
      <c r="M104" s="163" t="s">
        <v>283</v>
      </c>
      <c r="N104" s="164" t="s">
        <v>282</v>
      </c>
      <c r="O104" s="178"/>
      <c r="P104" s="178"/>
      <c r="Q104" s="149"/>
      <c r="R104" s="149"/>
      <c r="S104" s="149"/>
      <c r="T104" s="212"/>
      <c r="U104" s="212"/>
      <c r="V104" s="238"/>
    </row>
    <row r="105" spans="1:22" s="1" customFormat="1" ht="26.45" customHeight="1" x14ac:dyDescent="0.2">
      <c r="A105" s="334"/>
      <c r="B105" s="314"/>
      <c r="C105" s="334"/>
      <c r="D105" s="264"/>
      <c r="E105" s="264"/>
      <c r="F105" s="264"/>
      <c r="G105" s="264"/>
      <c r="H105" s="264"/>
      <c r="I105" s="257"/>
      <c r="J105" s="250"/>
      <c r="K105" s="163" t="s">
        <v>289</v>
      </c>
      <c r="L105" s="253"/>
      <c r="M105" s="163" t="s">
        <v>547</v>
      </c>
      <c r="N105" s="163" t="s">
        <v>282</v>
      </c>
      <c r="O105" s="159"/>
      <c r="P105" s="159"/>
      <c r="Q105" s="159">
        <v>140445</v>
      </c>
      <c r="R105" s="159"/>
      <c r="S105" s="159">
        <v>49450</v>
      </c>
      <c r="T105" s="212"/>
      <c r="U105" s="212">
        <v>49450</v>
      </c>
      <c r="V105" s="238"/>
    </row>
    <row r="106" spans="1:22" s="1" customFormat="1" ht="26.45" customHeight="1" x14ac:dyDescent="0.2">
      <c r="A106" s="262" t="s">
        <v>87</v>
      </c>
      <c r="B106" s="262" t="s">
        <v>88</v>
      </c>
      <c r="C106" s="262" t="s">
        <v>89</v>
      </c>
      <c r="D106" s="262" t="s">
        <v>267</v>
      </c>
      <c r="E106" s="262" t="s">
        <v>268</v>
      </c>
      <c r="F106" s="328"/>
      <c r="G106" s="262"/>
      <c r="H106" s="262" t="s">
        <v>488</v>
      </c>
      <c r="I106" s="262" t="s">
        <v>42</v>
      </c>
      <c r="J106" s="263" t="s">
        <v>11</v>
      </c>
      <c r="K106" s="104" t="s">
        <v>285</v>
      </c>
      <c r="L106" s="104" t="s">
        <v>285</v>
      </c>
      <c r="M106" s="179" t="s">
        <v>285</v>
      </c>
      <c r="N106" s="162" t="s">
        <v>285</v>
      </c>
      <c r="O106" s="180">
        <f t="shared" ref="O106:S106" si="17">O107+O108+O109</f>
        <v>128400</v>
      </c>
      <c r="P106" s="180">
        <f t="shared" si="17"/>
        <v>87207.1</v>
      </c>
      <c r="Q106" s="152">
        <f t="shared" si="17"/>
        <v>128400</v>
      </c>
      <c r="R106" s="152">
        <f t="shared" si="17"/>
        <v>0</v>
      </c>
      <c r="S106" s="152">
        <f t="shared" si="17"/>
        <v>123400</v>
      </c>
      <c r="T106" s="212"/>
      <c r="U106" s="212"/>
      <c r="V106" s="238"/>
    </row>
    <row r="107" spans="1:22" s="1" customFormat="1" ht="26.45" customHeight="1" x14ac:dyDescent="0.2">
      <c r="A107" s="263"/>
      <c r="B107" s="263"/>
      <c r="C107" s="263"/>
      <c r="D107" s="263"/>
      <c r="E107" s="263"/>
      <c r="F107" s="329"/>
      <c r="G107" s="263"/>
      <c r="H107" s="263"/>
      <c r="I107" s="263"/>
      <c r="J107" s="263"/>
      <c r="K107" s="104" t="s">
        <v>281</v>
      </c>
      <c r="L107" s="104" t="s">
        <v>302</v>
      </c>
      <c r="M107" s="13" t="s">
        <v>333</v>
      </c>
      <c r="N107" s="104" t="s">
        <v>282</v>
      </c>
      <c r="O107" s="90">
        <v>5000</v>
      </c>
      <c r="P107" s="90">
        <v>5000</v>
      </c>
      <c r="Q107" s="90">
        <v>5000</v>
      </c>
      <c r="R107" s="149"/>
      <c r="S107" s="149"/>
      <c r="T107" s="212"/>
      <c r="U107" s="212"/>
      <c r="V107" s="238"/>
    </row>
    <row r="108" spans="1:22" s="1" customFormat="1" ht="26.45" customHeight="1" x14ac:dyDescent="0.2">
      <c r="A108" s="263"/>
      <c r="B108" s="263"/>
      <c r="C108" s="263"/>
      <c r="D108" s="263"/>
      <c r="E108" s="263"/>
      <c r="F108" s="329"/>
      <c r="G108" s="263"/>
      <c r="H108" s="263"/>
      <c r="I108" s="263"/>
      <c r="J108" s="263"/>
      <c r="K108" s="325" t="s">
        <v>289</v>
      </c>
      <c r="L108" s="325" t="s">
        <v>303</v>
      </c>
      <c r="M108" s="325" t="s">
        <v>347</v>
      </c>
      <c r="N108" s="13" t="s">
        <v>26</v>
      </c>
      <c r="O108" s="90">
        <v>1200</v>
      </c>
      <c r="P108" s="90">
        <v>1200</v>
      </c>
      <c r="Q108" s="90"/>
      <c r="R108" s="149"/>
      <c r="S108" s="149"/>
      <c r="T108" s="212"/>
      <c r="U108" s="212"/>
      <c r="V108" s="238"/>
    </row>
    <row r="109" spans="1:22" s="1" customFormat="1" ht="26.45" customHeight="1" x14ac:dyDescent="0.2">
      <c r="A109" s="264"/>
      <c r="B109" s="264"/>
      <c r="C109" s="264"/>
      <c r="D109" s="264"/>
      <c r="E109" s="264"/>
      <c r="F109" s="330"/>
      <c r="G109" s="264"/>
      <c r="H109" s="264"/>
      <c r="I109" s="264"/>
      <c r="J109" s="264"/>
      <c r="K109" s="326"/>
      <c r="L109" s="326"/>
      <c r="M109" s="326"/>
      <c r="N109" s="13" t="s">
        <v>282</v>
      </c>
      <c r="O109" s="90">
        <v>122200</v>
      </c>
      <c r="P109" s="90">
        <v>81007.100000000006</v>
      </c>
      <c r="Q109" s="90">
        <v>123400</v>
      </c>
      <c r="R109" s="149"/>
      <c r="S109" s="149">
        <v>123400</v>
      </c>
      <c r="T109" s="212"/>
      <c r="U109" s="212">
        <v>123400</v>
      </c>
      <c r="V109" s="238"/>
    </row>
    <row r="110" spans="1:22" s="1" customFormat="1" ht="26.25" customHeight="1" x14ac:dyDescent="0.2">
      <c r="A110" s="262" t="s">
        <v>90</v>
      </c>
      <c r="B110" s="262" t="s">
        <v>91</v>
      </c>
      <c r="C110" s="262" t="s">
        <v>92</v>
      </c>
      <c r="D110" s="262" t="s">
        <v>93</v>
      </c>
      <c r="E110" s="262" t="s">
        <v>42</v>
      </c>
      <c r="F110" s="126" t="s">
        <v>490</v>
      </c>
      <c r="G110" s="126" t="s">
        <v>42</v>
      </c>
      <c r="H110" s="126" t="s">
        <v>447</v>
      </c>
      <c r="I110" s="126" t="s">
        <v>42</v>
      </c>
      <c r="J110" s="126" t="s">
        <v>21</v>
      </c>
      <c r="K110" s="13" t="s">
        <v>281</v>
      </c>
      <c r="L110" s="13" t="s">
        <v>94</v>
      </c>
      <c r="M110" s="13" t="s">
        <v>375</v>
      </c>
      <c r="N110" s="13" t="s">
        <v>282</v>
      </c>
      <c r="O110" s="90"/>
      <c r="P110" s="90"/>
      <c r="Q110" s="90"/>
      <c r="R110" s="149"/>
      <c r="S110" s="149"/>
      <c r="T110" s="212"/>
      <c r="U110" s="212"/>
      <c r="V110" s="238"/>
    </row>
    <row r="111" spans="1:22" s="1" customFormat="1" ht="26.25" customHeight="1" x14ac:dyDescent="0.2">
      <c r="A111" s="264"/>
      <c r="B111" s="264"/>
      <c r="C111" s="264"/>
      <c r="D111" s="264"/>
      <c r="E111" s="264"/>
      <c r="F111" s="34" t="s">
        <v>522</v>
      </c>
      <c r="G111" s="123" t="s">
        <v>42</v>
      </c>
      <c r="H111" s="123" t="s">
        <v>536</v>
      </c>
      <c r="I111" s="122"/>
      <c r="J111" s="117"/>
      <c r="K111" s="120" t="s">
        <v>281</v>
      </c>
      <c r="L111" s="125" t="s">
        <v>127</v>
      </c>
      <c r="M111" s="120" t="s">
        <v>523</v>
      </c>
      <c r="N111" s="13"/>
      <c r="O111" s="91">
        <v>450</v>
      </c>
      <c r="P111" s="165">
        <v>450</v>
      </c>
      <c r="Q111" s="165">
        <v>600</v>
      </c>
      <c r="R111" s="165">
        <v>600</v>
      </c>
      <c r="S111" s="165">
        <v>600</v>
      </c>
      <c r="T111" s="215"/>
      <c r="U111" s="215"/>
      <c r="V111" s="238"/>
    </row>
    <row r="112" spans="1:22" s="1" customFormat="1" ht="37.5" customHeight="1" x14ac:dyDescent="0.2">
      <c r="A112" s="107" t="s">
        <v>509</v>
      </c>
      <c r="B112" s="98" t="s">
        <v>508</v>
      </c>
      <c r="C112" s="98">
        <v>1055</v>
      </c>
      <c r="D112" s="98" t="s">
        <v>267</v>
      </c>
      <c r="E112" s="98" t="s">
        <v>521</v>
      </c>
      <c r="F112" s="98"/>
      <c r="G112" s="98"/>
      <c r="H112" s="98"/>
      <c r="I112" s="98"/>
      <c r="J112" s="98"/>
      <c r="K112" s="103" t="s">
        <v>281</v>
      </c>
      <c r="L112" s="13" t="s">
        <v>510</v>
      </c>
      <c r="M112" s="13" t="s">
        <v>511</v>
      </c>
      <c r="N112" s="13" t="s">
        <v>282</v>
      </c>
      <c r="O112" s="90">
        <f>35600+81716.09</f>
        <v>117316.09</v>
      </c>
      <c r="P112" s="90">
        <v>0</v>
      </c>
      <c r="Q112" s="90">
        <v>217485.65</v>
      </c>
      <c r="R112" s="90">
        <v>68533</v>
      </c>
      <c r="S112" s="90">
        <v>68533</v>
      </c>
      <c r="T112" s="214"/>
      <c r="U112" s="214"/>
      <c r="V112" s="238"/>
    </row>
    <row r="113" spans="1:23" s="1" customFormat="1" ht="26.45" customHeight="1" x14ac:dyDescent="0.2">
      <c r="A113" s="305" t="s">
        <v>95</v>
      </c>
      <c r="B113" s="262" t="s">
        <v>96</v>
      </c>
      <c r="C113" s="317" t="s">
        <v>97</v>
      </c>
      <c r="D113" s="262" t="s">
        <v>267</v>
      </c>
      <c r="E113" s="262" t="s">
        <v>520</v>
      </c>
      <c r="F113" s="262" t="s">
        <v>491</v>
      </c>
      <c r="G113" s="262" t="s">
        <v>42</v>
      </c>
      <c r="H113" s="262" t="s">
        <v>447</v>
      </c>
      <c r="I113" s="262" t="s">
        <v>42</v>
      </c>
      <c r="J113" s="262" t="s">
        <v>20</v>
      </c>
      <c r="K113" s="325" t="s">
        <v>281</v>
      </c>
      <c r="L113" s="13" t="s">
        <v>301</v>
      </c>
      <c r="M113" s="13" t="s">
        <v>285</v>
      </c>
      <c r="N113" s="13" t="s">
        <v>285</v>
      </c>
      <c r="O113" s="152">
        <f t="shared" ref="O113:S113" si="18">SUM(O114:O118)</f>
        <v>17866806.469999999</v>
      </c>
      <c r="P113" s="159">
        <f t="shared" si="18"/>
        <v>17466535.699999999</v>
      </c>
      <c r="Q113" s="159">
        <f t="shared" si="18"/>
        <v>20254652.890000001</v>
      </c>
      <c r="R113" s="159">
        <f t="shared" si="18"/>
        <v>0</v>
      </c>
      <c r="S113" s="159">
        <f t="shared" si="18"/>
        <v>581700</v>
      </c>
      <c r="T113" s="212"/>
      <c r="U113" s="212"/>
      <c r="V113" s="238"/>
    </row>
    <row r="114" spans="1:23" s="1" customFormat="1" ht="26.45" customHeight="1" x14ac:dyDescent="0.2">
      <c r="A114" s="305"/>
      <c r="B114" s="263"/>
      <c r="C114" s="318"/>
      <c r="D114" s="263"/>
      <c r="E114" s="263"/>
      <c r="F114" s="263"/>
      <c r="G114" s="263"/>
      <c r="H114" s="263"/>
      <c r="I114" s="263"/>
      <c r="J114" s="263"/>
      <c r="K114" s="335"/>
      <c r="L114" s="13" t="s">
        <v>138</v>
      </c>
      <c r="M114" s="13" t="s">
        <v>367</v>
      </c>
      <c r="N114" s="13" t="s">
        <v>282</v>
      </c>
      <c r="O114" s="90">
        <v>86962.31</v>
      </c>
      <c r="P114" s="90">
        <v>81651.360000000001</v>
      </c>
      <c r="Q114" s="90">
        <v>87000</v>
      </c>
      <c r="R114" s="149"/>
      <c r="S114" s="149">
        <v>81700</v>
      </c>
      <c r="T114" s="212"/>
      <c r="U114" s="212">
        <v>81700</v>
      </c>
      <c r="V114" s="238"/>
    </row>
    <row r="115" spans="1:23" s="1" customFormat="1" ht="26.45" customHeight="1" x14ac:dyDescent="0.2">
      <c r="A115" s="305"/>
      <c r="B115" s="263"/>
      <c r="C115" s="318"/>
      <c r="D115" s="263"/>
      <c r="E115" s="263"/>
      <c r="F115" s="263"/>
      <c r="G115" s="263"/>
      <c r="H115" s="263"/>
      <c r="I115" s="263"/>
      <c r="J115" s="263"/>
      <c r="K115" s="335"/>
      <c r="L115" s="13" t="s">
        <v>138</v>
      </c>
      <c r="M115" s="13" t="s">
        <v>371</v>
      </c>
      <c r="N115" s="13" t="s">
        <v>304</v>
      </c>
      <c r="O115" s="90">
        <v>200278.26</v>
      </c>
      <c r="P115" s="90">
        <v>200278.26</v>
      </c>
      <c r="Q115" s="90">
        <v>0</v>
      </c>
      <c r="R115" s="149"/>
      <c r="S115" s="149"/>
      <c r="T115" s="212"/>
      <c r="U115" s="212"/>
      <c r="V115" s="238"/>
    </row>
    <row r="116" spans="1:23" s="1" customFormat="1" ht="26.45" customHeight="1" x14ac:dyDescent="0.2">
      <c r="A116" s="305"/>
      <c r="B116" s="263"/>
      <c r="C116" s="318"/>
      <c r="D116" s="263"/>
      <c r="E116" s="263"/>
      <c r="F116" s="263"/>
      <c r="G116" s="263"/>
      <c r="H116" s="263"/>
      <c r="I116" s="263"/>
      <c r="J116" s="263"/>
      <c r="K116" s="335"/>
      <c r="L116" s="13" t="s">
        <v>138</v>
      </c>
      <c r="M116" s="13" t="s">
        <v>368</v>
      </c>
      <c r="N116" s="13" t="s">
        <v>304</v>
      </c>
      <c r="O116" s="152">
        <v>0</v>
      </c>
      <c r="P116" s="121"/>
      <c r="Q116" s="149"/>
      <c r="R116" s="149"/>
      <c r="S116" s="149"/>
      <c r="T116" s="212"/>
      <c r="U116" s="212"/>
      <c r="V116" s="238"/>
    </row>
    <row r="117" spans="1:23" s="1" customFormat="1" ht="26.45" customHeight="1" x14ac:dyDescent="0.2">
      <c r="A117" s="305"/>
      <c r="B117" s="263"/>
      <c r="C117" s="318"/>
      <c r="D117" s="263"/>
      <c r="E117" s="263"/>
      <c r="F117" s="263"/>
      <c r="G117" s="263"/>
      <c r="H117" s="263"/>
      <c r="I117" s="263"/>
      <c r="J117" s="263"/>
      <c r="K117" s="335"/>
      <c r="L117" s="13" t="s">
        <v>98</v>
      </c>
      <c r="M117" s="13" t="s">
        <v>539</v>
      </c>
      <c r="N117" s="13" t="s">
        <v>304</v>
      </c>
      <c r="O117" s="152">
        <v>8049490</v>
      </c>
      <c r="P117" s="143">
        <v>7659524.3899999997</v>
      </c>
      <c r="Q117" s="149"/>
      <c r="R117" s="149"/>
      <c r="S117" s="149"/>
      <c r="T117" s="212"/>
      <c r="U117" s="212"/>
      <c r="V117" s="238"/>
    </row>
    <row r="118" spans="1:23" s="1" customFormat="1" ht="26.45" customHeight="1" x14ac:dyDescent="0.2">
      <c r="A118" s="305"/>
      <c r="B118" s="264"/>
      <c r="C118" s="327"/>
      <c r="D118" s="264"/>
      <c r="E118" s="264"/>
      <c r="F118" s="264"/>
      <c r="G118" s="264"/>
      <c r="H118" s="264"/>
      <c r="I118" s="264"/>
      <c r="J118" s="264"/>
      <c r="K118" s="326"/>
      <c r="L118" s="13" t="s">
        <v>98</v>
      </c>
      <c r="M118" s="13" t="s">
        <v>369</v>
      </c>
      <c r="N118" s="13" t="s">
        <v>304</v>
      </c>
      <c r="O118" s="152">
        <v>9530075.9000000004</v>
      </c>
      <c r="P118" s="121">
        <v>9525081.6899999995</v>
      </c>
      <c r="Q118" s="149">
        <f>22300358.14-2132705.25</f>
        <v>20167652.890000001</v>
      </c>
      <c r="R118" s="149"/>
      <c r="S118" s="149">
        <v>500000</v>
      </c>
      <c r="T118" s="212"/>
      <c r="U118" s="212">
        <v>500000</v>
      </c>
      <c r="V118" s="238"/>
    </row>
    <row r="119" spans="1:23" s="1" customFormat="1" ht="48.75" customHeight="1" x14ac:dyDescent="0.2">
      <c r="A119" s="336" t="s">
        <v>99</v>
      </c>
      <c r="B119" s="262" t="s">
        <v>100</v>
      </c>
      <c r="C119" s="337" t="s">
        <v>101</v>
      </c>
      <c r="D119" s="262" t="s">
        <v>267</v>
      </c>
      <c r="E119" s="262" t="s">
        <v>268</v>
      </c>
      <c r="F119" s="262" t="s">
        <v>412</v>
      </c>
      <c r="G119" s="262" t="s">
        <v>42</v>
      </c>
      <c r="H119" s="262" t="s">
        <v>535</v>
      </c>
      <c r="I119" s="262" t="s">
        <v>42</v>
      </c>
      <c r="J119" s="262" t="s">
        <v>19</v>
      </c>
      <c r="K119" s="325" t="s">
        <v>281</v>
      </c>
      <c r="L119" s="14" t="s">
        <v>301</v>
      </c>
      <c r="M119" s="14" t="s">
        <v>285</v>
      </c>
      <c r="N119" s="14" t="s">
        <v>285</v>
      </c>
      <c r="O119" s="23">
        <f>SUM(O120:O123)</f>
        <v>5247368.9000000004</v>
      </c>
      <c r="P119" s="23">
        <f t="shared" ref="P119:S119" si="19">SUM(P120:P123)</f>
        <v>5230701.9000000004</v>
      </c>
      <c r="Q119" s="23">
        <f t="shared" si="19"/>
        <v>7477508.7599999998</v>
      </c>
      <c r="R119" s="23">
        <f t="shared" si="19"/>
        <v>7324348.2599999998</v>
      </c>
      <c r="S119" s="23">
        <f t="shared" si="19"/>
        <v>7473626.4300000006</v>
      </c>
      <c r="T119" s="213"/>
      <c r="U119" s="213"/>
      <c r="V119" s="238"/>
    </row>
    <row r="120" spans="1:23" s="39" customFormat="1" ht="24" customHeight="1" x14ac:dyDescent="0.2">
      <c r="A120" s="336"/>
      <c r="B120" s="263"/>
      <c r="C120" s="337"/>
      <c r="D120" s="263"/>
      <c r="E120" s="263"/>
      <c r="F120" s="263"/>
      <c r="G120" s="263"/>
      <c r="H120" s="263"/>
      <c r="I120" s="263"/>
      <c r="J120" s="263"/>
      <c r="K120" s="335"/>
      <c r="L120" s="18" t="s">
        <v>127</v>
      </c>
      <c r="M120" s="18" t="s">
        <v>530</v>
      </c>
      <c r="N120" s="18" t="s">
        <v>282</v>
      </c>
      <c r="O120" s="91">
        <v>450</v>
      </c>
      <c r="P120" s="91">
        <v>450</v>
      </c>
      <c r="Q120" s="91">
        <v>600</v>
      </c>
      <c r="R120" s="149">
        <v>600</v>
      </c>
      <c r="S120" s="149">
        <v>600</v>
      </c>
      <c r="T120" s="212"/>
      <c r="U120" s="212"/>
      <c r="V120" s="246"/>
    </row>
    <row r="121" spans="1:23" s="1" customFormat="1" ht="24" customHeight="1" x14ac:dyDescent="0.2">
      <c r="A121" s="336"/>
      <c r="B121" s="263"/>
      <c r="C121" s="337"/>
      <c r="D121" s="263"/>
      <c r="E121" s="263"/>
      <c r="F121" s="263"/>
      <c r="G121" s="263"/>
      <c r="H121" s="263"/>
      <c r="I121" s="263"/>
      <c r="J121" s="263"/>
      <c r="K121" s="335"/>
      <c r="L121" s="13" t="s">
        <v>256</v>
      </c>
      <c r="M121" s="13" t="s">
        <v>366</v>
      </c>
      <c r="N121" s="13" t="s">
        <v>282</v>
      </c>
      <c r="O121" s="152">
        <v>111337.58</v>
      </c>
      <c r="P121" s="152">
        <v>111337.58</v>
      </c>
      <c r="Q121" s="149">
        <v>153889.56</v>
      </c>
      <c r="R121" s="149">
        <v>729.06</v>
      </c>
      <c r="S121" s="149">
        <v>150007.23000000001</v>
      </c>
      <c r="T121" s="212">
        <v>729.06</v>
      </c>
      <c r="U121" s="212">
        <v>150007.23000000001</v>
      </c>
      <c r="V121" s="238"/>
    </row>
    <row r="122" spans="1:23" s="1" customFormat="1" ht="24" customHeight="1" x14ac:dyDescent="0.2">
      <c r="A122" s="336"/>
      <c r="B122" s="263"/>
      <c r="C122" s="337"/>
      <c r="D122" s="263"/>
      <c r="E122" s="263"/>
      <c r="F122" s="263"/>
      <c r="G122" s="263"/>
      <c r="H122" s="263"/>
      <c r="I122" s="263"/>
      <c r="J122" s="263"/>
      <c r="K122" s="335"/>
      <c r="L122" s="13" t="s">
        <v>494</v>
      </c>
      <c r="M122" s="13" t="s">
        <v>513</v>
      </c>
      <c r="N122" s="13" t="s">
        <v>291</v>
      </c>
      <c r="O122" s="152">
        <v>1216667</v>
      </c>
      <c r="P122" s="121">
        <v>1200000</v>
      </c>
      <c r="Q122" s="149">
        <v>0</v>
      </c>
      <c r="R122" s="149"/>
      <c r="S122" s="149"/>
      <c r="T122" s="212"/>
      <c r="U122" s="212"/>
      <c r="V122" s="238"/>
    </row>
    <row r="123" spans="1:23" s="1" customFormat="1" ht="24" customHeight="1" x14ac:dyDescent="0.2">
      <c r="A123" s="336" t="s">
        <v>0</v>
      </c>
      <c r="B123" s="264"/>
      <c r="C123" s="337" t="s">
        <v>0</v>
      </c>
      <c r="D123" s="264"/>
      <c r="E123" s="264"/>
      <c r="F123" s="264"/>
      <c r="G123" s="264"/>
      <c r="H123" s="264"/>
      <c r="I123" s="264"/>
      <c r="J123" s="264"/>
      <c r="K123" s="326"/>
      <c r="L123" s="13" t="s">
        <v>102</v>
      </c>
      <c r="M123" s="13" t="s">
        <v>327</v>
      </c>
      <c r="N123" s="13" t="s">
        <v>288</v>
      </c>
      <c r="O123" s="152">
        <v>3918914.32</v>
      </c>
      <c r="P123" s="152">
        <v>3918914.32</v>
      </c>
      <c r="Q123" s="149">
        <v>7323019.2000000002</v>
      </c>
      <c r="R123" s="149">
        <v>7323019.2000000002</v>
      </c>
      <c r="S123" s="159">
        <v>7323019.2000000002</v>
      </c>
      <c r="T123" s="212"/>
      <c r="U123" s="212"/>
      <c r="V123" s="238"/>
    </row>
    <row r="124" spans="1:23" s="1" customFormat="1" ht="35.25" customHeight="1" x14ac:dyDescent="0.2">
      <c r="A124" s="262" t="s">
        <v>103</v>
      </c>
      <c r="B124" s="262" t="s">
        <v>104</v>
      </c>
      <c r="C124" s="262" t="s">
        <v>105</v>
      </c>
      <c r="D124" s="262" t="s">
        <v>267</v>
      </c>
      <c r="E124" s="262" t="s">
        <v>268</v>
      </c>
      <c r="F124" s="262" t="s">
        <v>413</v>
      </c>
      <c r="G124" s="262" t="s">
        <v>42</v>
      </c>
      <c r="H124" s="262" t="s">
        <v>489</v>
      </c>
      <c r="I124" s="262" t="s">
        <v>42</v>
      </c>
      <c r="J124" s="262" t="s">
        <v>17</v>
      </c>
      <c r="K124" s="338" t="s">
        <v>281</v>
      </c>
      <c r="L124" s="338" t="s">
        <v>106</v>
      </c>
      <c r="M124" s="14" t="s">
        <v>285</v>
      </c>
      <c r="N124" s="14" t="s">
        <v>285</v>
      </c>
      <c r="O124" s="23">
        <f t="shared" ref="O124:S124" si="20">O125+O126+O127+O128+O129</f>
        <v>3891907.9</v>
      </c>
      <c r="P124" s="23">
        <f t="shared" si="20"/>
        <v>3883979.59</v>
      </c>
      <c r="Q124" s="23">
        <f t="shared" si="20"/>
        <v>4588250</v>
      </c>
      <c r="R124" s="23">
        <f t="shared" si="20"/>
        <v>4415600</v>
      </c>
      <c r="S124" s="23">
        <f t="shared" si="20"/>
        <v>4415600</v>
      </c>
      <c r="T124" s="213"/>
      <c r="U124" s="213"/>
      <c r="V124" s="238"/>
    </row>
    <row r="125" spans="1:23" s="1" customFormat="1" ht="35.25" customHeight="1" x14ac:dyDescent="0.2">
      <c r="A125" s="263"/>
      <c r="B125" s="263"/>
      <c r="C125" s="263"/>
      <c r="D125" s="263"/>
      <c r="E125" s="263"/>
      <c r="F125" s="263"/>
      <c r="G125" s="263"/>
      <c r="H125" s="263"/>
      <c r="I125" s="263"/>
      <c r="J125" s="263"/>
      <c r="K125" s="339"/>
      <c r="L125" s="339"/>
      <c r="M125" s="293" t="s">
        <v>397</v>
      </c>
      <c r="N125" s="13" t="s">
        <v>25</v>
      </c>
      <c r="O125" s="90">
        <v>2023137.72</v>
      </c>
      <c r="P125" s="90">
        <v>2019825.88</v>
      </c>
      <c r="Q125" s="90">
        <v>2499603</v>
      </c>
      <c r="R125" s="90">
        <v>2367000</v>
      </c>
      <c r="S125" s="90">
        <v>2367000</v>
      </c>
      <c r="T125" s="214"/>
      <c r="U125" s="214"/>
      <c r="V125" s="244"/>
      <c r="W125" s="1">
        <v>132603</v>
      </c>
    </row>
    <row r="126" spans="1:23" s="1" customFormat="1" ht="35.25" customHeight="1" x14ac:dyDescent="0.2">
      <c r="A126" s="263"/>
      <c r="B126" s="263"/>
      <c r="C126" s="263"/>
      <c r="D126" s="263"/>
      <c r="E126" s="263"/>
      <c r="F126" s="263"/>
      <c r="G126" s="263"/>
      <c r="H126" s="263"/>
      <c r="I126" s="263"/>
      <c r="J126" s="263"/>
      <c r="K126" s="339"/>
      <c r="L126" s="339"/>
      <c r="M126" s="295"/>
      <c r="N126" s="13" t="s">
        <v>27</v>
      </c>
      <c r="O126" s="90">
        <v>598427.94999999995</v>
      </c>
      <c r="P126" s="90">
        <v>597411.48</v>
      </c>
      <c r="Q126" s="90">
        <v>754947</v>
      </c>
      <c r="R126" s="90">
        <v>714900</v>
      </c>
      <c r="S126" s="90">
        <v>714900</v>
      </c>
      <c r="T126" s="214"/>
      <c r="U126" s="214"/>
      <c r="V126" s="244"/>
      <c r="W126" s="1">
        <v>40047</v>
      </c>
    </row>
    <row r="127" spans="1:23" s="1" customFormat="1" ht="35.25" customHeight="1" x14ac:dyDescent="0.2">
      <c r="A127" s="263"/>
      <c r="B127" s="263"/>
      <c r="C127" s="263"/>
      <c r="D127" s="263"/>
      <c r="E127" s="263"/>
      <c r="F127" s="263"/>
      <c r="G127" s="263"/>
      <c r="H127" s="263"/>
      <c r="I127" s="263"/>
      <c r="J127" s="263"/>
      <c r="K127" s="339"/>
      <c r="L127" s="339"/>
      <c r="M127" s="295"/>
      <c r="N127" s="13" t="s">
        <v>282</v>
      </c>
      <c r="O127" s="90">
        <v>1034742.23</v>
      </c>
      <c r="P127" s="90">
        <v>1031142.23</v>
      </c>
      <c r="Q127" s="90">
        <v>1188300</v>
      </c>
      <c r="R127" s="90">
        <v>1188300</v>
      </c>
      <c r="S127" s="90">
        <v>1188300</v>
      </c>
      <c r="T127" s="214"/>
      <c r="U127" s="214"/>
      <c r="V127" s="238"/>
    </row>
    <row r="128" spans="1:23" s="1" customFormat="1" ht="35.25" customHeight="1" x14ac:dyDescent="0.2">
      <c r="A128" s="263"/>
      <c r="B128" s="263"/>
      <c r="C128" s="263"/>
      <c r="D128" s="263"/>
      <c r="E128" s="263"/>
      <c r="F128" s="263"/>
      <c r="G128" s="263"/>
      <c r="H128" s="263"/>
      <c r="I128" s="263"/>
      <c r="J128" s="263"/>
      <c r="K128" s="339"/>
      <c r="L128" s="339"/>
      <c r="M128" s="294"/>
      <c r="N128" s="13" t="s">
        <v>281</v>
      </c>
      <c r="O128" s="90">
        <v>26400</v>
      </c>
      <c r="P128" s="90">
        <v>26400</v>
      </c>
      <c r="Q128" s="90">
        <v>23000</v>
      </c>
      <c r="R128" s="90">
        <v>23000</v>
      </c>
      <c r="S128" s="90">
        <v>23000</v>
      </c>
      <c r="T128" s="214"/>
      <c r="U128" s="214"/>
      <c r="V128" s="238"/>
    </row>
    <row r="129" spans="1:22" s="1" customFormat="1" ht="35.25" customHeight="1" x14ac:dyDescent="0.2">
      <c r="A129" s="264"/>
      <c r="B129" s="264"/>
      <c r="C129" s="264"/>
      <c r="D129" s="264"/>
      <c r="E129" s="264"/>
      <c r="F129" s="264"/>
      <c r="G129" s="264"/>
      <c r="H129" s="264"/>
      <c r="I129" s="264"/>
      <c r="J129" s="264"/>
      <c r="K129" s="340"/>
      <c r="L129" s="340"/>
      <c r="M129" s="113" t="s">
        <v>398</v>
      </c>
      <c r="N129" s="13" t="s">
        <v>282</v>
      </c>
      <c r="O129" s="90">
        <v>209200</v>
      </c>
      <c r="P129" s="90">
        <v>209200</v>
      </c>
      <c r="Q129" s="90">
        <v>122400</v>
      </c>
      <c r="R129" s="90">
        <v>122400</v>
      </c>
      <c r="S129" s="90">
        <v>122400</v>
      </c>
      <c r="T129" s="214"/>
      <c r="U129" s="214"/>
      <c r="V129" s="238"/>
    </row>
    <row r="130" spans="1:22" s="1" customFormat="1" ht="16.5" customHeight="1" x14ac:dyDescent="0.2">
      <c r="A130" s="262" t="s">
        <v>107</v>
      </c>
      <c r="B130" s="262" t="s">
        <v>108</v>
      </c>
      <c r="C130" s="262" t="s">
        <v>109</v>
      </c>
      <c r="D130" s="262" t="s">
        <v>110</v>
      </c>
      <c r="E130" s="262" t="s">
        <v>42</v>
      </c>
      <c r="F130" s="262" t="s">
        <v>492</v>
      </c>
      <c r="G130" s="262" t="s">
        <v>42</v>
      </c>
      <c r="H130" s="262" t="s">
        <v>568</v>
      </c>
      <c r="I130" s="262" t="s">
        <v>42</v>
      </c>
      <c r="J130" s="262" t="s">
        <v>9</v>
      </c>
      <c r="K130" s="293" t="s">
        <v>281</v>
      </c>
      <c r="L130" s="392" t="s">
        <v>111</v>
      </c>
      <c r="M130" s="127" t="s">
        <v>284</v>
      </c>
      <c r="N130" s="17" t="s">
        <v>285</v>
      </c>
      <c r="O130" s="152">
        <f>O131+O132+O133+O134+O135</f>
        <v>4067476.8</v>
      </c>
      <c r="P130" s="159">
        <f t="shared" ref="P130:S130" si="21">P131+P132+P133+P134+P135</f>
        <v>4067476.8</v>
      </c>
      <c r="Q130" s="159">
        <f t="shared" si="21"/>
        <v>4443958.4000000004</v>
      </c>
      <c r="R130" s="159">
        <f t="shared" si="21"/>
        <v>3303000</v>
      </c>
      <c r="S130" s="159">
        <f t="shared" si="21"/>
        <v>4800000</v>
      </c>
      <c r="T130" s="212"/>
      <c r="U130" s="212"/>
      <c r="V130" s="238"/>
    </row>
    <row r="131" spans="1:22" s="1" customFormat="1" ht="32.25" customHeight="1" x14ac:dyDescent="0.2">
      <c r="A131" s="263"/>
      <c r="B131" s="263"/>
      <c r="C131" s="263"/>
      <c r="D131" s="263"/>
      <c r="E131" s="263"/>
      <c r="F131" s="263"/>
      <c r="G131" s="263"/>
      <c r="H131" s="263"/>
      <c r="I131" s="263"/>
      <c r="J131" s="263"/>
      <c r="K131" s="295"/>
      <c r="L131" s="393"/>
      <c r="M131" s="157" t="s">
        <v>533</v>
      </c>
      <c r="N131" s="17" t="s">
        <v>282</v>
      </c>
      <c r="O131" s="152">
        <v>100800</v>
      </c>
      <c r="P131" s="152">
        <v>100800</v>
      </c>
      <c r="Q131" s="149">
        <v>104900</v>
      </c>
      <c r="R131" s="149"/>
      <c r="S131" s="149"/>
      <c r="T131" s="212"/>
      <c r="U131" s="212"/>
      <c r="V131" s="238"/>
    </row>
    <row r="132" spans="1:22" s="1" customFormat="1" ht="32.25" customHeight="1" x14ac:dyDescent="0.2">
      <c r="A132" s="263"/>
      <c r="B132" s="263"/>
      <c r="C132" s="263"/>
      <c r="D132" s="263"/>
      <c r="E132" s="263"/>
      <c r="F132" s="263"/>
      <c r="G132" s="263"/>
      <c r="H132" s="263"/>
      <c r="I132" s="263"/>
      <c r="J132" s="263"/>
      <c r="K132" s="295"/>
      <c r="L132" s="393"/>
      <c r="M132" s="157" t="s">
        <v>396</v>
      </c>
      <c r="N132" s="17" t="s">
        <v>305</v>
      </c>
      <c r="O132" s="90">
        <v>3841676.8</v>
      </c>
      <c r="P132" s="90">
        <v>3841676.8</v>
      </c>
      <c r="Q132" s="90">
        <v>4339058.4000000004</v>
      </c>
      <c r="R132" s="149">
        <f>2150000+1153000</f>
        <v>3303000</v>
      </c>
      <c r="S132" s="149">
        <f>2150000+2650000</f>
        <v>4800000</v>
      </c>
      <c r="T132" s="212">
        <v>1153000</v>
      </c>
      <c r="U132" s="212">
        <v>2650000</v>
      </c>
      <c r="V132" s="238"/>
    </row>
    <row r="133" spans="1:22" s="1" customFormat="1" ht="32.25" customHeight="1" x14ac:dyDescent="0.2">
      <c r="A133" s="263"/>
      <c r="B133" s="263"/>
      <c r="C133" s="263"/>
      <c r="D133" s="263"/>
      <c r="E133" s="263"/>
      <c r="F133" s="263"/>
      <c r="G133" s="263"/>
      <c r="H133" s="263"/>
      <c r="I133" s="263"/>
      <c r="J133" s="263"/>
      <c r="K133" s="295"/>
      <c r="L133" s="393"/>
      <c r="M133" s="157" t="s">
        <v>542</v>
      </c>
      <c r="N133" s="17" t="s">
        <v>282</v>
      </c>
      <c r="O133" s="90">
        <v>125000</v>
      </c>
      <c r="P133" s="90">
        <v>125000</v>
      </c>
      <c r="Q133" s="90"/>
      <c r="R133" s="149"/>
      <c r="S133" s="149"/>
      <c r="T133" s="212"/>
      <c r="U133" s="212"/>
      <c r="V133" s="238"/>
    </row>
    <row r="134" spans="1:22" s="1" customFormat="1" ht="24" hidden="1" customHeight="1" x14ac:dyDescent="0.2">
      <c r="A134" s="263"/>
      <c r="B134" s="263"/>
      <c r="C134" s="263"/>
      <c r="D134" s="263"/>
      <c r="E134" s="263"/>
      <c r="F134" s="263"/>
      <c r="G134" s="263"/>
      <c r="H134" s="263"/>
      <c r="I134" s="263"/>
      <c r="J134" s="263"/>
      <c r="K134" s="295"/>
      <c r="L134" s="295"/>
      <c r="M134" s="295" t="s">
        <v>496</v>
      </c>
      <c r="N134" s="13" t="s">
        <v>320</v>
      </c>
      <c r="O134" s="90"/>
      <c r="P134" s="90">
        <v>0</v>
      </c>
      <c r="Q134" s="90"/>
      <c r="R134" s="149"/>
      <c r="S134" s="149"/>
      <c r="T134" s="212"/>
      <c r="U134" s="212"/>
      <c r="V134" s="238"/>
    </row>
    <row r="135" spans="1:22" s="1" customFormat="1" ht="24" hidden="1" customHeight="1" x14ac:dyDescent="0.2">
      <c r="A135" s="264"/>
      <c r="B135" s="264"/>
      <c r="C135" s="264"/>
      <c r="D135" s="264"/>
      <c r="E135" s="264"/>
      <c r="F135" s="264"/>
      <c r="G135" s="264"/>
      <c r="H135" s="264"/>
      <c r="I135" s="264"/>
      <c r="J135" s="264"/>
      <c r="K135" s="294"/>
      <c r="L135" s="294"/>
      <c r="M135" s="294"/>
      <c r="N135" s="13" t="s">
        <v>282</v>
      </c>
      <c r="O135" s="90"/>
      <c r="P135" s="90"/>
      <c r="Q135" s="90"/>
      <c r="R135" s="149"/>
      <c r="S135" s="149"/>
      <c r="T135" s="212"/>
      <c r="U135" s="212"/>
      <c r="V135" s="238"/>
    </row>
    <row r="136" spans="1:22" s="1" customFormat="1" ht="26.45" customHeight="1" x14ac:dyDescent="0.2">
      <c r="A136" s="6" t="s">
        <v>112</v>
      </c>
      <c r="B136" s="79" t="s">
        <v>113</v>
      </c>
      <c r="C136" s="79" t="s">
        <v>114</v>
      </c>
      <c r="D136" s="79" t="s">
        <v>267</v>
      </c>
      <c r="E136" s="79" t="s">
        <v>268</v>
      </c>
      <c r="F136" s="79" t="s">
        <v>0</v>
      </c>
      <c r="G136" s="79" t="s">
        <v>0</v>
      </c>
      <c r="H136" s="79" t="s">
        <v>0</v>
      </c>
      <c r="I136" s="79" t="s">
        <v>0</v>
      </c>
      <c r="J136" s="79" t="s">
        <v>0</v>
      </c>
      <c r="K136" s="13"/>
      <c r="L136" s="13"/>
      <c r="M136" s="13"/>
      <c r="N136" s="13"/>
      <c r="O136" s="152">
        <f>O137+O141+O144+O145+O146+O147+O148</f>
        <v>5819678.3399999999</v>
      </c>
      <c r="P136" s="159">
        <f t="shared" ref="P136:S136" si="22">P137+P141+P144+P145+P146+P147+P148</f>
        <v>5818018.6399999997</v>
      </c>
      <c r="Q136" s="159">
        <f t="shared" si="22"/>
        <v>5893600</v>
      </c>
      <c r="R136" s="159">
        <f t="shared" si="22"/>
        <v>5893600</v>
      </c>
      <c r="S136" s="159">
        <f t="shared" si="22"/>
        <v>5893600</v>
      </c>
      <c r="T136" s="212"/>
      <c r="U136" s="212"/>
      <c r="V136" s="238"/>
    </row>
    <row r="137" spans="1:22" s="1" customFormat="1" ht="28.5" customHeight="1" x14ac:dyDescent="0.2">
      <c r="A137" s="262" t="s">
        <v>115</v>
      </c>
      <c r="B137" s="262" t="s">
        <v>116</v>
      </c>
      <c r="C137" s="262" t="s">
        <v>117</v>
      </c>
      <c r="D137" s="262" t="s">
        <v>267</v>
      </c>
      <c r="E137" s="262" t="s">
        <v>268</v>
      </c>
      <c r="F137" s="262" t="s">
        <v>79</v>
      </c>
      <c r="G137" s="262" t="s">
        <v>42</v>
      </c>
      <c r="H137" s="262" t="s">
        <v>493</v>
      </c>
      <c r="I137" s="262" t="s">
        <v>42</v>
      </c>
      <c r="J137" s="262" t="s">
        <v>12</v>
      </c>
      <c r="K137" s="325" t="s">
        <v>281</v>
      </c>
      <c r="L137" s="325" t="s">
        <v>75</v>
      </c>
      <c r="M137" s="325" t="s">
        <v>332</v>
      </c>
      <c r="N137" s="13" t="s">
        <v>285</v>
      </c>
      <c r="O137" s="152">
        <f t="shared" ref="O137:S137" si="23">O138+O139+O140</f>
        <v>5571588</v>
      </c>
      <c r="P137" s="159">
        <f t="shared" si="23"/>
        <v>5571588</v>
      </c>
      <c r="Q137" s="159">
        <f t="shared" si="23"/>
        <v>5600000</v>
      </c>
      <c r="R137" s="159">
        <f t="shared" si="23"/>
        <v>5600000</v>
      </c>
      <c r="S137" s="159">
        <f t="shared" si="23"/>
        <v>5600000</v>
      </c>
      <c r="T137" s="212"/>
      <c r="U137" s="212"/>
      <c r="V137" s="238"/>
    </row>
    <row r="138" spans="1:22" s="1" customFormat="1" ht="28.5" customHeight="1" x14ac:dyDescent="0.2">
      <c r="A138" s="263"/>
      <c r="B138" s="263"/>
      <c r="C138" s="263"/>
      <c r="D138" s="263"/>
      <c r="E138" s="263"/>
      <c r="F138" s="263"/>
      <c r="G138" s="263"/>
      <c r="H138" s="263"/>
      <c r="I138" s="263"/>
      <c r="J138" s="263"/>
      <c r="K138" s="335"/>
      <c r="L138" s="335"/>
      <c r="M138" s="335"/>
      <c r="N138" s="13" t="s">
        <v>282</v>
      </c>
      <c r="O138" s="152">
        <v>153900</v>
      </c>
      <c r="P138" s="152">
        <v>153900</v>
      </c>
      <c r="Q138" s="149">
        <v>381500</v>
      </c>
      <c r="R138" s="159">
        <v>381500</v>
      </c>
      <c r="S138" s="159">
        <v>381500</v>
      </c>
      <c r="T138" s="212"/>
      <c r="U138" s="212"/>
      <c r="V138" s="238"/>
    </row>
    <row r="139" spans="1:22" s="1" customFormat="1" ht="28.5" customHeight="1" x14ac:dyDescent="0.2">
      <c r="A139" s="263"/>
      <c r="B139" s="263"/>
      <c r="C139" s="263"/>
      <c r="D139" s="263"/>
      <c r="E139" s="263"/>
      <c r="F139" s="263"/>
      <c r="G139" s="263"/>
      <c r="H139" s="263"/>
      <c r="I139" s="263"/>
      <c r="J139" s="263"/>
      <c r="K139" s="335"/>
      <c r="L139" s="335"/>
      <c r="M139" s="335"/>
      <c r="N139" s="13" t="s">
        <v>292</v>
      </c>
      <c r="O139" s="152">
        <v>5304088</v>
      </c>
      <c r="P139" s="152">
        <v>5304088</v>
      </c>
      <c r="Q139" s="149">
        <v>5110400</v>
      </c>
      <c r="R139" s="159">
        <v>5110400</v>
      </c>
      <c r="S139" s="159">
        <v>5110400</v>
      </c>
      <c r="T139" s="212"/>
      <c r="U139" s="212"/>
      <c r="V139" s="238"/>
    </row>
    <row r="140" spans="1:22" s="1" customFormat="1" ht="28.5" customHeight="1" x14ac:dyDescent="0.2">
      <c r="A140" s="264"/>
      <c r="B140" s="264"/>
      <c r="C140" s="264"/>
      <c r="D140" s="264"/>
      <c r="E140" s="264"/>
      <c r="F140" s="263"/>
      <c r="G140" s="263"/>
      <c r="H140" s="263"/>
      <c r="I140" s="263"/>
      <c r="J140" s="264"/>
      <c r="K140" s="326"/>
      <c r="L140" s="326"/>
      <c r="M140" s="326"/>
      <c r="N140" s="13" t="s">
        <v>293</v>
      </c>
      <c r="O140" s="152">
        <v>113600</v>
      </c>
      <c r="P140" s="152">
        <v>113600</v>
      </c>
      <c r="Q140" s="149">
        <v>108100</v>
      </c>
      <c r="R140" s="159">
        <v>108100</v>
      </c>
      <c r="S140" s="159">
        <v>108100</v>
      </c>
      <c r="T140" s="212"/>
      <c r="U140" s="212"/>
      <c r="V140" s="238"/>
    </row>
    <row r="141" spans="1:22" s="1" customFormat="1" ht="29.25" customHeight="1" x14ac:dyDescent="0.2">
      <c r="A141" s="262" t="s">
        <v>118</v>
      </c>
      <c r="B141" s="262" t="s">
        <v>119</v>
      </c>
      <c r="C141" s="262" t="s">
        <v>86</v>
      </c>
      <c r="D141" s="262" t="s">
        <v>267</v>
      </c>
      <c r="E141" s="256" t="s">
        <v>268</v>
      </c>
      <c r="F141" s="250" t="s">
        <v>519</v>
      </c>
      <c r="G141" s="250" t="s">
        <v>42</v>
      </c>
      <c r="H141" s="250" t="s">
        <v>478</v>
      </c>
      <c r="I141" s="123" t="s">
        <v>42</v>
      </c>
      <c r="J141" s="36" t="s">
        <v>6</v>
      </c>
      <c r="K141" s="13" t="s">
        <v>285</v>
      </c>
      <c r="L141" s="13" t="s">
        <v>285</v>
      </c>
      <c r="M141" s="13" t="s">
        <v>285</v>
      </c>
      <c r="N141" s="13" t="s">
        <v>285</v>
      </c>
      <c r="O141" s="152">
        <f>O142+O143</f>
        <v>20400</v>
      </c>
      <c r="P141" s="121">
        <f t="shared" ref="P141" si="24">P142+P143</f>
        <v>20400</v>
      </c>
      <c r="Q141" s="149">
        <f>Q142+Q143</f>
        <v>20400</v>
      </c>
      <c r="R141" s="149">
        <f t="shared" ref="R141:S141" si="25">R142+R143</f>
        <v>20400</v>
      </c>
      <c r="S141" s="149">
        <f t="shared" si="25"/>
        <v>20400</v>
      </c>
      <c r="T141" s="212"/>
      <c r="U141" s="212"/>
      <c r="V141" s="238"/>
    </row>
    <row r="142" spans="1:22" s="1" customFormat="1" ht="29.25" customHeight="1" x14ac:dyDescent="0.2">
      <c r="A142" s="263"/>
      <c r="B142" s="263"/>
      <c r="C142" s="263"/>
      <c r="D142" s="263"/>
      <c r="E142" s="266"/>
      <c r="F142" s="250"/>
      <c r="G142" s="250"/>
      <c r="H142" s="250"/>
      <c r="I142" s="123"/>
      <c r="J142" s="36"/>
      <c r="K142" s="59" t="s">
        <v>286</v>
      </c>
      <c r="L142" s="293" t="s">
        <v>120</v>
      </c>
      <c r="M142" s="59" t="s">
        <v>379</v>
      </c>
      <c r="N142" s="13" t="s">
        <v>282</v>
      </c>
      <c r="O142" s="91">
        <v>2400</v>
      </c>
      <c r="P142" s="91">
        <v>2400</v>
      </c>
      <c r="Q142" s="91">
        <v>2400</v>
      </c>
      <c r="R142" s="91">
        <v>2400</v>
      </c>
      <c r="S142" s="91">
        <v>2400</v>
      </c>
      <c r="T142" s="215"/>
      <c r="U142" s="215"/>
      <c r="V142" s="238"/>
    </row>
    <row r="143" spans="1:22" s="1" customFormat="1" ht="29.25" customHeight="1" x14ac:dyDescent="0.2">
      <c r="A143" s="264"/>
      <c r="B143" s="264"/>
      <c r="C143" s="264"/>
      <c r="D143" s="264"/>
      <c r="E143" s="257"/>
      <c r="F143" s="250"/>
      <c r="G143" s="250"/>
      <c r="H143" s="250"/>
      <c r="I143" s="123"/>
      <c r="J143" s="36"/>
      <c r="K143" s="59" t="s">
        <v>307</v>
      </c>
      <c r="L143" s="294"/>
      <c r="M143" s="59" t="s">
        <v>306</v>
      </c>
      <c r="N143" s="13" t="s">
        <v>282</v>
      </c>
      <c r="O143" s="91">
        <v>18000</v>
      </c>
      <c r="P143" s="91">
        <v>18000</v>
      </c>
      <c r="Q143" s="91">
        <v>18000</v>
      </c>
      <c r="R143" s="91">
        <v>18000</v>
      </c>
      <c r="S143" s="91">
        <v>18000</v>
      </c>
      <c r="T143" s="215"/>
      <c r="U143" s="215"/>
      <c r="V143" s="238"/>
    </row>
    <row r="144" spans="1:22" s="39" customFormat="1" ht="29.25" customHeight="1" x14ac:dyDescent="0.2">
      <c r="A144" s="350" t="s">
        <v>121</v>
      </c>
      <c r="B144" s="312" t="s">
        <v>122</v>
      </c>
      <c r="C144" s="312" t="s">
        <v>123</v>
      </c>
      <c r="D144" s="312" t="s">
        <v>267</v>
      </c>
      <c r="E144" s="343" t="s">
        <v>268</v>
      </c>
      <c r="F144" s="260" t="s">
        <v>475</v>
      </c>
      <c r="G144" s="260" t="s">
        <v>42</v>
      </c>
      <c r="H144" s="122" t="s">
        <v>447</v>
      </c>
      <c r="I144" s="260" t="s">
        <v>42</v>
      </c>
      <c r="J144" s="347" t="s">
        <v>16</v>
      </c>
      <c r="K144" s="293" t="s">
        <v>281</v>
      </c>
      <c r="L144" s="293" t="s">
        <v>86</v>
      </c>
      <c r="M144" s="293" t="s">
        <v>323</v>
      </c>
      <c r="N144" s="18" t="s">
        <v>26</v>
      </c>
      <c r="O144" s="91">
        <v>19000</v>
      </c>
      <c r="P144" s="91">
        <v>19000</v>
      </c>
      <c r="Q144" s="91"/>
      <c r="R144" s="149"/>
      <c r="S144" s="149"/>
      <c r="T144" s="212"/>
      <c r="U144" s="212"/>
      <c r="V144" s="246"/>
    </row>
    <row r="145" spans="1:23" s="39" customFormat="1" ht="29.25" customHeight="1" x14ac:dyDescent="0.2">
      <c r="A145" s="351"/>
      <c r="B145" s="314"/>
      <c r="C145" s="314"/>
      <c r="D145" s="314"/>
      <c r="E145" s="352"/>
      <c r="F145" s="260"/>
      <c r="G145" s="260"/>
      <c r="H145" s="122" t="s">
        <v>476</v>
      </c>
      <c r="I145" s="260"/>
      <c r="J145" s="348"/>
      <c r="K145" s="294"/>
      <c r="L145" s="294"/>
      <c r="M145" s="294"/>
      <c r="N145" s="18" t="s">
        <v>282</v>
      </c>
      <c r="O145" s="152">
        <v>204165.34</v>
      </c>
      <c r="P145" s="91">
        <v>202505.64</v>
      </c>
      <c r="Q145" s="149">
        <v>268000</v>
      </c>
      <c r="R145" s="159">
        <v>268000</v>
      </c>
      <c r="S145" s="159">
        <v>268000</v>
      </c>
      <c r="T145" s="212"/>
      <c r="U145" s="212"/>
      <c r="V145" s="246"/>
    </row>
    <row r="146" spans="1:23" s="39" customFormat="1" ht="31.5" customHeight="1" x14ac:dyDescent="0.2">
      <c r="A146" s="37" t="s">
        <v>124</v>
      </c>
      <c r="B146" s="35" t="s">
        <v>125</v>
      </c>
      <c r="C146" s="35" t="s">
        <v>126</v>
      </c>
      <c r="D146" s="35" t="s">
        <v>267</v>
      </c>
      <c r="E146" s="35" t="s">
        <v>268</v>
      </c>
      <c r="F146" s="124" t="s">
        <v>415</v>
      </c>
      <c r="G146" s="124" t="s">
        <v>42</v>
      </c>
      <c r="H146" s="115" t="s">
        <v>477</v>
      </c>
      <c r="I146" s="124" t="s">
        <v>42</v>
      </c>
      <c r="J146" s="35" t="s">
        <v>6</v>
      </c>
      <c r="K146" s="18" t="s">
        <v>281</v>
      </c>
      <c r="L146" s="18" t="s">
        <v>127</v>
      </c>
      <c r="M146" s="18" t="s">
        <v>380</v>
      </c>
      <c r="N146" s="18" t="s">
        <v>282</v>
      </c>
      <c r="O146" s="91">
        <v>2500</v>
      </c>
      <c r="P146" s="91">
        <v>2500</v>
      </c>
      <c r="Q146" s="91">
        <v>2500</v>
      </c>
      <c r="R146" s="91">
        <v>2500</v>
      </c>
      <c r="S146" s="91">
        <v>2500</v>
      </c>
      <c r="T146" s="215"/>
      <c r="U146" s="215"/>
      <c r="V146" s="246"/>
    </row>
    <row r="147" spans="1:23" s="39" customFormat="1" ht="124.5" customHeight="1" x14ac:dyDescent="0.2">
      <c r="A147" s="131" t="s">
        <v>524</v>
      </c>
      <c r="B147" s="35" t="s">
        <v>528</v>
      </c>
      <c r="C147" s="35" t="s">
        <v>526</v>
      </c>
      <c r="D147" s="35" t="s">
        <v>267</v>
      </c>
      <c r="E147" s="35" t="s">
        <v>268</v>
      </c>
      <c r="F147" s="35"/>
      <c r="G147" s="35" t="s">
        <v>42</v>
      </c>
      <c r="H147" s="122" t="s">
        <v>538</v>
      </c>
      <c r="I147" s="35" t="s">
        <v>42</v>
      </c>
      <c r="J147" s="35" t="s">
        <v>6</v>
      </c>
      <c r="K147" s="18" t="s">
        <v>281</v>
      </c>
      <c r="L147" s="18" t="s">
        <v>127</v>
      </c>
      <c r="M147" s="18" t="s">
        <v>531</v>
      </c>
      <c r="N147" s="18" t="s">
        <v>282</v>
      </c>
      <c r="O147" s="91">
        <v>450</v>
      </c>
      <c r="P147" s="91">
        <v>450</v>
      </c>
      <c r="Q147" s="91">
        <v>600</v>
      </c>
      <c r="R147" s="91">
        <v>600</v>
      </c>
      <c r="S147" s="91">
        <v>600</v>
      </c>
      <c r="T147" s="215"/>
      <c r="U147" s="215"/>
      <c r="V147" s="246"/>
    </row>
    <row r="148" spans="1:23" s="39" customFormat="1" ht="85.5" customHeight="1" x14ac:dyDescent="0.2">
      <c r="A148" s="131" t="s">
        <v>525</v>
      </c>
      <c r="B148" s="35" t="s">
        <v>529</v>
      </c>
      <c r="C148" s="35" t="s">
        <v>527</v>
      </c>
      <c r="D148" s="35" t="s">
        <v>267</v>
      </c>
      <c r="E148" s="35" t="s">
        <v>268</v>
      </c>
      <c r="F148" s="35"/>
      <c r="G148" s="35" t="s">
        <v>42</v>
      </c>
      <c r="H148" s="122" t="s">
        <v>537</v>
      </c>
      <c r="I148" s="35" t="s">
        <v>42</v>
      </c>
      <c r="J148" s="35" t="s">
        <v>6</v>
      </c>
      <c r="K148" s="18" t="s">
        <v>281</v>
      </c>
      <c r="L148" s="18" t="s">
        <v>127</v>
      </c>
      <c r="M148" s="18" t="s">
        <v>532</v>
      </c>
      <c r="N148" s="18" t="s">
        <v>282</v>
      </c>
      <c r="O148" s="91">
        <v>1575</v>
      </c>
      <c r="P148" s="91">
        <v>1575</v>
      </c>
      <c r="Q148" s="91">
        <v>2100</v>
      </c>
      <c r="R148" s="91">
        <v>2100</v>
      </c>
      <c r="S148" s="91">
        <v>2100</v>
      </c>
      <c r="T148" s="215"/>
      <c r="U148" s="215"/>
      <c r="V148" s="246"/>
    </row>
    <row r="149" spans="1:23" ht="26.45" customHeight="1" x14ac:dyDescent="0.2">
      <c r="A149" s="4" t="s">
        <v>128</v>
      </c>
      <c r="B149" s="75" t="s">
        <v>129</v>
      </c>
      <c r="C149" s="76" t="s">
        <v>130</v>
      </c>
      <c r="D149" s="76" t="s">
        <v>0</v>
      </c>
      <c r="E149" s="76" t="s">
        <v>0</v>
      </c>
      <c r="F149" s="76" t="s">
        <v>0</v>
      </c>
      <c r="G149" s="76" t="s">
        <v>0</v>
      </c>
      <c r="H149" s="116" t="s">
        <v>0</v>
      </c>
      <c r="I149" s="76" t="s">
        <v>0</v>
      </c>
      <c r="J149" s="75" t="s">
        <v>0</v>
      </c>
      <c r="K149" s="12"/>
      <c r="L149" s="12"/>
      <c r="M149" s="12"/>
      <c r="N149" s="12"/>
      <c r="O149" s="153">
        <f>O150+O176+O177+O178+O179+O180+O181+O194+O195+O197+O199+O200</f>
        <v>47559130.49000001</v>
      </c>
      <c r="P149" s="153">
        <f>P150+P176+P177+P178+P179+P180+P181+P194+P195+P197+P199+P200</f>
        <v>45662147.74000001</v>
      </c>
      <c r="Q149" s="153">
        <f>Q150+Q176+Q177+Q178+Q179+Q180+Q181+Q194+Q195+Q197+Q199+Q200</f>
        <v>54442315.169999994</v>
      </c>
      <c r="R149" s="153">
        <f>R150+R176+R177+R178+R179+R180+R181+R194+R195+R197+R199+R200</f>
        <v>47057002.519999996</v>
      </c>
      <c r="S149" s="153">
        <f>S150+S176+S177+S178+S179+S180+S181+S194+S195+S197+S199+S200</f>
        <v>46937730.689999998</v>
      </c>
      <c r="T149" s="216"/>
      <c r="U149" s="216"/>
    </row>
    <row r="150" spans="1:23" s="1" customFormat="1" ht="26.45" customHeight="1" x14ac:dyDescent="0.2">
      <c r="A150" s="341" t="s">
        <v>131</v>
      </c>
      <c r="B150" s="343" t="s">
        <v>132</v>
      </c>
      <c r="C150" s="249" t="s">
        <v>133</v>
      </c>
      <c r="D150" s="260" t="s">
        <v>267</v>
      </c>
      <c r="E150" s="250" t="s">
        <v>42</v>
      </c>
      <c r="F150" s="260" t="s">
        <v>473</v>
      </c>
      <c r="G150" s="260" t="s">
        <v>42</v>
      </c>
      <c r="H150" s="84" t="s">
        <v>0</v>
      </c>
      <c r="I150" s="84" t="s">
        <v>0</v>
      </c>
      <c r="J150" s="269" t="s">
        <v>6</v>
      </c>
      <c r="K150" s="55" t="s">
        <v>455</v>
      </c>
      <c r="L150" s="55"/>
      <c r="M150" s="55"/>
      <c r="N150" s="43"/>
      <c r="O150" s="92">
        <f t="shared" ref="O150:S150" si="26">SUM(O151:O175)</f>
        <v>12978696.700000003</v>
      </c>
      <c r="P150" s="92">
        <f t="shared" si="26"/>
        <v>12106285.530000003</v>
      </c>
      <c r="Q150" s="92">
        <f t="shared" si="26"/>
        <v>14448170.1</v>
      </c>
      <c r="R150" s="92">
        <f t="shared" si="26"/>
        <v>12444800</v>
      </c>
      <c r="S150" s="92">
        <f t="shared" si="26"/>
        <v>12444800</v>
      </c>
      <c r="T150" s="217"/>
      <c r="U150" s="217"/>
      <c r="V150" s="238"/>
    </row>
    <row r="151" spans="1:23" s="1" customFormat="1" ht="26.45" customHeight="1" x14ac:dyDescent="0.2">
      <c r="A151" s="341"/>
      <c r="B151" s="344"/>
      <c r="C151" s="249"/>
      <c r="D151" s="260"/>
      <c r="E151" s="250"/>
      <c r="F151" s="260"/>
      <c r="G151" s="260"/>
      <c r="H151" s="250" t="s">
        <v>447</v>
      </c>
      <c r="I151" s="260" t="s">
        <v>42</v>
      </c>
      <c r="J151" s="270"/>
      <c r="K151" s="349" t="s">
        <v>281</v>
      </c>
      <c r="L151" s="70" t="s">
        <v>127</v>
      </c>
      <c r="M151" s="59" t="s">
        <v>384</v>
      </c>
      <c r="N151" s="59" t="s">
        <v>311</v>
      </c>
      <c r="O151" s="90">
        <v>420638.78</v>
      </c>
      <c r="P151" s="90">
        <v>420638.78</v>
      </c>
      <c r="Q151" s="90">
        <v>396100</v>
      </c>
      <c r="R151" s="90">
        <v>396100</v>
      </c>
      <c r="S151" s="90">
        <v>396100</v>
      </c>
      <c r="T151" s="214"/>
      <c r="U151" s="214"/>
      <c r="V151" s="238"/>
    </row>
    <row r="152" spans="1:23" s="1" customFormat="1" ht="26.45" customHeight="1" x14ac:dyDescent="0.2">
      <c r="A152" s="341"/>
      <c r="B152" s="344"/>
      <c r="C152" s="249"/>
      <c r="D152" s="260"/>
      <c r="E152" s="250"/>
      <c r="F152" s="260"/>
      <c r="G152" s="260"/>
      <c r="H152" s="250"/>
      <c r="I152" s="260"/>
      <c r="J152" s="270"/>
      <c r="K152" s="356"/>
      <c r="L152" s="349" t="s">
        <v>127</v>
      </c>
      <c r="M152" s="296" t="s">
        <v>385</v>
      </c>
      <c r="N152" s="13" t="s">
        <v>29</v>
      </c>
      <c r="O152" s="152">
        <v>5304</v>
      </c>
      <c r="P152" s="90">
        <v>4104</v>
      </c>
      <c r="Q152" s="165">
        <v>109400</v>
      </c>
      <c r="R152" s="165">
        <v>109400</v>
      </c>
      <c r="S152" s="165">
        <v>109400</v>
      </c>
      <c r="T152" s="218"/>
      <c r="U152" s="218"/>
      <c r="V152" s="238"/>
    </row>
    <row r="153" spans="1:23" s="1" customFormat="1" ht="26.45" customHeight="1" x14ac:dyDescent="0.2">
      <c r="A153" s="341"/>
      <c r="B153" s="344"/>
      <c r="C153" s="249"/>
      <c r="D153" s="260"/>
      <c r="E153" s="250"/>
      <c r="F153" s="260"/>
      <c r="G153" s="260"/>
      <c r="H153" s="250"/>
      <c r="I153" s="260"/>
      <c r="J153" s="270"/>
      <c r="K153" s="356"/>
      <c r="L153" s="356"/>
      <c r="M153" s="296"/>
      <c r="N153" s="13" t="s">
        <v>311</v>
      </c>
      <c r="O153" s="90">
        <v>4265500</v>
      </c>
      <c r="P153" s="90">
        <v>4122420.93</v>
      </c>
      <c r="Q153" s="90">
        <v>5260500</v>
      </c>
      <c r="R153" s="90">
        <v>4452400</v>
      </c>
      <c r="S153" s="90">
        <v>4452400</v>
      </c>
      <c r="T153" s="214"/>
      <c r="U153" s="214"/>
      <c r="V153" s="244"/>
      <c r="W153" s="1">
        <v>808100</v>
      </c>
    </row>
    <row r="154" spans="1:23" s="1" customFormat="1" ht="26.45" customHeight="1" x14ac:dyDescent="0.2">
      <c r="A154" s="341"/>
      <c r="B154" s="344"/>
      <c r="C154" s="249"/>
      <c r="D154" s="260"/>
      <c r="E154" s="250"/>
      <c r="F154" s="260"/>
      <c r="G154" s="260"/>
      <c r="H154" s="250"/>
      <c r="I154" s="260"/>
      <c r="J154" s="270"/>
      <c r="K154" s="356"/>
      <c r="L154" s="356"/>
      <c r="M154" s="296"/>
      <c r="N154" s="73" t="s">
        <v>282</v>
      </c>
      <c r="O154" s="90">
        <v>3607128.14</v>
      </c>
      <c r="P154" s="90">
        <v>3111307.55</v>
      </c>
      <c r="Q154" s="90">
        <v>3731762</v>
      </c>
      <c r="R154" s="90">
        <v>3055900</v>
      </c>
      <c r="S154" s="90">
        <v>3055900</v>
      </c>
      <c r="T154" s="214"/>
      <c r="U154" s="214"/>
      <c r="V154" s="238"/>
    </row>
    <row r="155" spans="1:23" s="1" customFormat="1" ht="26.45" customHeight="1" x14ac:dyDescent="0.2">
      <c r="A155" s="341"/>
      <c r="B155" s="344"/>
      <c r="C155" s="249"/>
      <c r="D155" s="260"/>
      <c r="E155" s="250"/>
      <c r="F155" s="260"/>
      <c r="G155" s="260"/>
      <c r="H155" s="250"/>
      <c r="I155" s="260"/>
      <c r="J155" s="270"/>
      <c r="K155" s="356"/>
      <c r="L155" s="356"/>
      <c r="M155" s="296"/>
      <c r="N155" s="73" t="s">
        <v>315</v>
      </c>
      <c r="O155" s="90">
        <v>1972800</v>
      </c>
      <c r="P155" s="90">
        <v>1756347.14</v>
      </c>
      <c r="Q155" s="90">
        <v>1907600</v>
      </c>
      <c r="R155" s="90">
        <v>1907600</v>
      </c>
      <c r="S155" s="90">
        <v>1907600</v>
      </c>
      <c r="T155" s="214"/>
      <c r="U155" s="214"/>
      <c r="V155" s="238"/>
    </row>
    <row r="156" spans="1:23" s="1" customFormat="1" ht="26.45" customHeight="1" x14ac:dyDescent="0.2">
      <c r="A156" s="341"/>
      <c r="B156" s="344"/>
      <c r="C156" s="249"/>
      <c r="D156" s="260"/>
      <c r="E156" s="250"/>
      <c r="F156" s="260"/>
      <c r="G156" s="260"/>
      <c r="H156" s="250"/>
      <c r="I156" s="260"/>
      <c r="J156" s="270"/>
      <c r="K156" s="356"/>
      <c r="L156" s="356"/>
      <c r="M156" s="296"/>
      <c r="N156" s="73" t="s">
        <v>288</v>
      </c>
      <c r="O156" s="90"/>
      <c r="P156" s="90"/>
      <c r="Q156" s="90"/>
      <c r="R156" s="90"/>
      <c r="S156" s="90"/>
      <c r="T156" s="214"/>
      <c r="U156" s="214"/>
      <c r="V156" s="238"/>
    </row>
    <row r="157" spans="1:23" s="1" customFormat="1" ht="26.45" customHeight="1" x14ac:dyDescent="0.2">
      <c r="A157" s="341"/>
      <c r="B157" s="344"/>
      <c r="C157" s="249"/>
      <c r="D157" s="260"/>
      <c r="E157" s="250"/>
      <c r="F157" s="260"/>
      <c r="G157" s="260"/>
      <c r="H157" s="250"/>
      <c r="I157" s="260"/>
      <c r="J157" s="270"/>
      <c r="K157" s="356"/>
      <c r="L157" s="356"/>
      <c r="M157" s="296"/>
      <c r="N157" s="73" t="s">
        <v>281</v>
      </c>
      <c r="O157" s="90">
        <v>62818</v>
      </c>
      <c r="P157" s="90">
        <v>62818</v>
      </c>
      <c r="Q157" s="90">
        <v>65600</v>
      </c>
      <c r="R157" s="90">
        <v>65600</v>
      </c>
      <c r="S157" s="90">
        <v>65600</v>
      </c>
      <c r="T157" s="214"/>
      <c r="U157" s="214"/>
      <c r="V157" s="238"/>
    </row>
    <row r="158" spans="1:23" s="1" customFormat="1" ht="26.45" customHeight="1" x14ac:dyDescent="0.2">
      <c r="A158" s="341"/>
      <c r="B158" s="344"/>
      <c r="C158" s="249"/>
      <c r="D158" s="260"/>
      <c r="E158" s="250"/>
      <c r="F158" s="260"/>
      <c r="G158" s="260"/>
      <c r="H158" s="250"/>
      <c r="I158" s="260"/>
      <c r="J158" s="270"/>
      <c r="K158" s="356"/>
      <c r="L158" s="356"/>
      <c r="M158" s="296"/>
      <c r="N158" s="73" t="s">
        <v>289</v>
      </c>
      <c r="O158" s="90">
        <v>19200</v>
      </c>
      <c r="P158" s="90">
        <v>19200</v>
      </c>
      <c r="Q158" s="90">
        <v>19200</v>
      </c>
      <c r="R158" s="90">
        <v>19200</v>
      </c>
      <c r="S158" s="90">
        <v>19200</v>
      </c>
      <c r="T158" s="214"/>
      <c r="U158" s="214"/>
      <c r="V158" s="238"/>
    </row>
    <row r="159" spans="1:23" s="1" customFormat="1" ht="26.45" customHeight="1" x14ac:dyDescent="0.2">
      <c r="A159" s="341"/>
      <c r="B159" s="344"/>
      <c r="C159" s="249"/>
      <c r="D159" s="260"/>
      <c r="E159" s="250"/>
      <c r="F159" s="260"/>
      <c r="G159" s="260"/>
      <c r="H159" s="250"/>
      <c r="I159" s="260"/>
      <c r="J159" s="270"/>
      <c r="K159" s="356"/>
      <c r="L159" s="356"/>
      <c r="M159" s="358"/>
      <c r="N159" s="73" t="s">
        <v>286</v>
      </c>
      <c r="O159" s="90"/>
      <c r="P159" s="90"/>
      <c r="Q159" s="90"/>
      <c r="R159" s="149"/>
      <c r="S159" s="149"/>
      <c r="T159" s="212"/>
      <c r="U159" s="212"/>
      <c r="V159" s="238"/>
    </row>
    <row r="160" spans="1:23" s="1" customFormat="1" ht="26.45" customHeight="1" x14ac:dyDescent="0.2">
      <c r="A160" s="341"/>
      <c r="B160" s="344"/>
      <c r="C160" s="249"/>
      <c r="D160" s="260"/>
      <c r="E160" s="250"/>
      <c r="F160" s="260"/>
      <c r="G160" s="260"/>
      <c r="H160" s="250" t="s">
        <v>449</v>
      </c>
      <c r="I160" s="260" t="s">
        <v>42</v>
      </c>
      <c r="J160" s="270"/>
      <c r="K160" s="356"/>
      <c r="L160" s="356"/>
      <c r="M160" s="26" t="s">
        <v>314</v>
      </c>
      <c r="N160" s="73" t="s">
        <v>311</v>
      </c>
      <c r="O160" s="165">
        <v>116479.09</v>
      </c>
      <c r="P160" s="165">
        <v>116479.09</v>
      </c>
      <c r="Q160" s="90"/>
      <c r="R160" s="149"/>
      <c r="S160" s="149"/>
      <c r="T160" s="212"/>
      <c r="U160" s="212"/>
      <c r="V160" s="238"/>
    </row>
    <row r="161" spans="1:23" s="1" customFormat="1" ht="26.45" customHeight="1" x14ac:dyDescent="0.2">
      <c r="A161" s="341"/>
      <c r="B161" s="344"/>
      <c r="C161" s="249"/>
      <c r="D161" s="260"/>
      <c r="E161" s="250"/>
      <c r="F161" s="260"/>
      <c r="G161" s="260"/>
      <c r="H161" s="250"/>
      <c r="I161" s="260"/>
      <c r="J161" s="270"/>
      <c r="K161" s="357"/>
      <c r="L161" s="357"/>
      <c r="M161" s="26" t="s">
        <v>313</v>
      </c>
      <c r="N161" s="73" t="s">
        <v>311</v>
      </c>
      <c r="O161" s="165">
        <v>104395.46</v>
      </c>
      <c r="P161" s="165">
        <v>104395.46</v>
      </c>
      <c r="Q161" s="166">
        <v>72530.789999999994</v>
      </c>
      <c r="R161" s="149"/>
      <c r="S161" s="149"/>
      <c r="T161" s="212"/>
      <c r="U161" s="212"/>
      <c r="V161" s="238"/>
    </row>
    <row r="162" spans="1:23" s="1" customFormat="1" ht="26.45" customHeight="1" x14ac:dyDescent="0.2">
      <c r="A162" s="341"/>
      <c r="B162" s="344"/>
      <c r="C162" s="249"/>
      <c r="D162" s="260"/>
      <c r="E162" s="250"/>
      <c r="F162" s="260"/>
      <c r="G162" s="260"/>
      <c r="H162" s="250"/>
      <c r="I162" s="260"/>
      <c r="J162" s="270"/>
      <c r="K162" s="349" t="s">
        <v>289</v>
      </c>
      <c r="L162" s="349" t="s">
        <v>66</v>
      </c>
      <c r="M162" s="349" t="s">
        <v>346</v>
      </c>
      <c r="N162" s="73" t="s">
        <v>29</v>
      </c>
      <c r="O162" s="152"/>
      <c r="P162" s="121"/>
      <c r="Q162" s="192"/>
      <c r="R162" s="149"/>
      <c r="S162" s="149"/>
      <c r="T162" s="212"/>
      <c r="U162" s="212"/>
      <c r="V162" s="238"/>
    </row>
    <row r="163" spans="1:23" s="1" customFormat="1" ht="26.45" customHeight="1" x14ac:dyDescent="0.2">
      <c r="A163" s="341"/>
      <c r="B163" s="344"/>
      <c r="C163" s="249"/>
      <c r="D163" s="260" t="s">
        <v>134</v>
      </c>
      <c r="E163" s="250" t="s">
        <v>42</v>
      </c>
      <c r="F163" s="260"/>
      <c r="G163" s="260"/>
      <c r="H163" s="250" t="s">
        <v>468</v>
      </c>
      <c r="I163" s="260" t="s">
        <v>42</v>
      </c>
      <c r="J163" s="270"/>
      <c r="K163" s="356"/>
      <c r="L163" s="356"/>
      <c r="M163" s="357"/>
      <c r="N163" s="73" t="s">
        <v>311</v>
      </c>
      <c r="O163" s="165">
        <v>312759.89</v>
      </c>
      <c r="P163" s="165">
        <v>312758.21000000002</v>
      </c>
      <c r="Q163" s="165">
        <v>402700</v>
      </c>
      <c r="R163" s="165">
        <v>340900</v>
      </c>
      <c r="S163" s="165">
        <v>340900</v>
      </c>
      <c r="T163" s="218"/>
      <c r="U163" s="218"/>
      <c r="V163" s="244"/>
      <c r="W163" s="1">
        <v>61800</v>
      </c>
    </row>
    <row r="164" spans="1:23" s="1" customFormat="1" ht="26.45" customHeight="1" x14ac:dyDescent="0.2">
      <c r="A164" s="341"/>
      <c r="B164" s="344"/>
      <c r="C164" s="249"/>
      <c r="D164" s="260"/>
      <c r="E164" s="250"/>
      <c r="F164" s="260"/>
      <c r="G164" s="260"/>
      <c r="H164" s="250"/>
      <c r="I164" s="260"/>
      <c r="J164" s="270"/>
      <c r="K164" s="356"/>
      <c r="L164" s="356"/>
      <c r="M164" s="26" t="s">
        <v>318</v>
      </c>
      <c r="N164" s="73" t="s">
        <v>311</v>
      </c>
      <c r="O164" s="165">
        <v>13733.15</v>
      </c>
      <c r="P164" s="165">
        <v>13733.15</v>
      </c>
      <c r="Q164" s="165"/>
      <c r="R164" s="165"/>
      <c r="S164" s="165"/>
      <c r="T164" s="218"/>
      <c r="U164" s="218"/>
      <c r="V164" s="238"/>
    </row>
    <row r="165" spans="1:23" s="1" customFormat="1" ht="26.45" customHeight="1" x14ac:dyDescent="0.2">
      <c r="A165" s="341"/>
      <c r="B165" s="344"/>
      <c r="C165" s="249"/>
      <c r="D165" s="260"/>
      <c r="E165" s="250"/>
      <c r="F165" s="260"/>
      <c r="G165" s="260"/>
      <c r="H165" s="250"/>
      <c r="I165" s="260"/>
      <c r="J165" s="270"/>
      <c r="K165" s="357"/>
      <c r="L165" s="357"/>
      <c r="M165" s="26" t="s">
        <v>313</v>
      </c>
      <c r="N165" s="73" t="s">
        <v>311</v>
      </c>
      <c r="O165" s="165">
        <v>13016.8</v>
      </c>
      <c r="P165" s="165">
        <v>13016.8</v>
      </c>
      <c r="Q165" s="165">
        <v>13046.49</v>
      </c>
      <c r="R165" s="165"/>
      <c r="S165" s="165"/>
      <c r="T165" s="218"/>
      <c r="U165" s="218"/>
      <c r="V165" s="238"/>
    </row>
    <row r="166" spans="1:23" s="1" customFormat="1" ht="26.45" customHeight="1" x14ac:dyDescent="0.2">
      <c r="A166" s="341"/>
      <c r="B166" s="344"/>
      <c r="C166" s="249"/>
      <c r="D166" s="260"/>
      <c r="E166" s="250"/>
      <c r="F166" s="260"/>
      <c r="G166" s="260"/>
      <c r="H166" s="250"/>
      <c r="I166" s="260"/>
      <c r="J166" s="270"/>
      <c r="K166" s="349" t="s">
        <v>286</v>
      </c>
      <c r="L166" s="349" t="s">
        <v>120</v>
      </c>
      <c r="M166" s="349" t="s">
        <v>389</v>
      </c>
      <c r="N166" s="73" t="s">
        <v>29</v>
      </c>
      <c r="O166" s="165">
        <v>0</v>
      </c>
      <c r="P166" s="165">
        <v>0</v>
      </c>
      <c r="Q166" s="165">
        <v>14000</v>
      </c>
      <c r="R166" s="165">
        <v>14000</v>
      </c>
      <c r="S166" s="165">
        <v>14000</v>
      </c>
      <c r="T166" s="218"/>
      <c r="U166" s="218"/>
      <c r="V166" s="238"/>
    </row>
    <row r="167" spans="1:23" s="1" customFormat="1" ht="26.45" customHeight="1" x14ac:dyDescent="0.2">
      <c r="A167" s="341"/>
      <c r="B167" s="344"/>
      <c r="C167" s="249"/>
      <c r="D167" s="260"/>
      <c r="E167" s="250"/>
      <c r="F167" s="260"/>
      <c r="G167" s="260"/>
      <c r="H167" s="250"/>
      <c r="I167" s="260"/>
      <c r="J167" s="270"/>
      <c r="K167" s="356"/>
      <c r="L167" s="356"/>
      <c r="M167" s="356"/>
      <c r="N167" s="73" t="s">
        <v>311</v>
      </c>
      <c r="O167" s="165">
        <v>1416800</v>
      </c>
      <c r="P167" s="165">
        <v>1413155.62</v>
      </c>
      <c r="Q167" s="165">
        <v>1756500</v>
      </c>
      <c r="R167" s="165">
        <v>1488700</v>
      </c>
      <c r="S167" s="165">
        <v>1488700</v>
      </c>
      <c r="T167" s="218"/>
      <c r="U167" s="218"/>
      <c r="V167" s="244"/>
      <c r="W167" s="1">
        <v>267800</v>
      </c>
    </row>
    <row r="168" spans="1:23" s="1" customFormat="1" ht="26.45" customHeight="1" x14ac:dyDescent="0.2">
      <c r="A168" s="341"/>
      <c r="B168" s="344"/>
      <c r="C168" s="249"/>
      <c r="D168" s="260"/>
      <c r="E168" s="250"/>
      <c r="F168" s="260"/>
      <c r="G168" s="260"/>
      <c r="H168" s="250"/>
      <c r="I168" s="260"/>
      <c r="J168" s="270"/>
      <c r="K168" s="356"/>
      <c r="L168" s="356"/>
      <c r="M168" s="357"/>
      <c r="N168" s="73" t="s">
        <v>282</v>
      </c>
      <c r="O168" s="165">
        <v>250100</v>
      </c>
      <c r="P168" s="165">
        <v>239111.42</v>
      </c>
      <c r="Q168" s="165">
        <v>280000</v>
      </c>
      <c r="R168" s="165">
        <v>280000</v>
      </c>
      <c r="S168" s="165">
        <v>280000</v>
      </c>
      <c r="T168" s="218"/>
      <c r="U168" s="218"/>
      <c r="V168" s="238"/>
    </row>
    <row r="169" spans="1:23" s="1" customFormat="1" ht="26.45" customHeight="1" x14ac:dyDescent="0.2">
      <c r="A169" s="341"/>
      <c r="B169" s="344"/>
      <c r="C169" s="249"/>
      <c r="D169" s="260"/>
      <c r="E169" s="250"/>
      <c r="F169" s="260"/>
      <c r="G169" s="260"/>
      <c r="H169" s="250" t="s">
        <v>474</v>
      </c>
      <c r="I169" s="260" t="s">
        <v>42</v>
      </c>
      <c r="J169" s="270"/>
      <c r="K169" s="356"/>
      <c r="L169" s="356"/>
      <c r="M169" s="26" t="s">
        <v>312</v>
      </c>
      <c r="N169" s="73" t="s">
        <v>311</v>
      </c>
      <c r="O169" s="165">
        <v>50709.42</v>
      </c>
      <c r="P169" s="165">
        <v>50709.42</v>
      </c>
      <c r="Q169" s="165"/>
      <c r="R169" s="165"/>
      <c r="S169" s="165"/>
      <c r="T169" s="218"/>
      <c r="U169" s="218"/>
      <c r="V169" s="238"/>
    </row>
    <row r="170" spans="1:23" s="1" customFormat="1" ht="26.45" customHeight="1" x14ac:dyDescent="0.2">
      <c r="A170" s="341"/>
      <c r="B170" s="344"/>
      <c r="C170" s="249"/>
      <c r="D170" s="260"/>
      <c r="E170" s="250"/>
      <c r="F170" s="260"/>
      <c r="G170" s="260"/>
      <c r="H170" s="250"/>
      <c r="I170" s="260"/>
      <c r="J170" s="270"/>
      <c r="K170" s="357"/>
      <c r="L170" s="357"/>
      <c r="M170" s="26" t="s">
        <v>313</v>
      </c>
      <c r="N170" s="73" t="s">
        <v>311</v>
      </c>
      <c r="O170" s="165">
        <v>44547.42</v>
      </c>
      <c r="P170" s="165">
        <v>44547.42</v>
      </c>
      <c r="Q170" s="165">
        <v>44650.82</v>
      </c>
      <c r="R170" s="165"/>
      <c r="S170" s="165"/>
      <c r="T170" s="218"/>
      <c r="U170" s="218"/>
      <c r="V170" s="238"/>
    </row>
    <row r="171" spans="1:23" s="1" customFormat="1" ht="26.45" customHeight="1" x14ac:dyDescent="0.2">
      <c r="A171" s="341"/>
      <c r="B171" s="344"/>
      <c r="C171" s="249"/>
      <c r="D171" s="260"/>
      <c r="E171" s="250"/>
      <c r="F171" s="260"/>
      <c r="G171" s="260"/>
      <c r="H171" s="250"/>
      <c r="I171" s="260"/>
      <c r="J171" s="270"/>
      <c r="K171" s="296" t="s">
        <v>308</v>
      </c>
      <c r="L171" s="296" t="s">
        <v>309</v>
      </c>
      <c r="M171" s="296" t="s">
        <v>310</v>
      </c>
      <c r="N171" s="73" t="s">
        <v>311</v>
      </c>
      <c r="O171" s="165">
        <v>78357.2</v>
      </c>
      <c r="P171" s="165">
        <v>78357.2</v>
      </c>
      <c r="Q171" s="165">
        <v>101100</v>
      </c>
      <c r="R171" s="165">
        <v>83500</v>
      </c>
      <c r="S171" s="165">
        <v>83500</v>
      </c>
      <c r="T171" s="218"/>
      <c r="U171" s="218"/>
      <c r="V171" s="244"/>
      <c r="W171" s="1">
        <v>17600</v>
      </c>
    </row>
    <row r="172" spans="1:23" s="1" customFormat="1" ht="26.45" customHeight="1" x14ac:dyDescent="0.2">
      <c r="A172" s="341"/>
      <c r="B172" s="344"/>
      <c r="C172" s="249"/>
      <c r="D172" s="260"/>
      <c r="E172" s="250"/>
      <c r="F172" s="260"/>
      <c r="G172" s="260"/>
      <c r="H172" s="250"/>
      <c r="I172" s="260"/>
      <c r="J172" s="270"/>
      <c r="K172" s="296"/>
      <c r="L172" s="296"/>
      <c r="M172" s="296"/>
      <c r="N172" s="73" t="s">
        <v>282</v>
      </c>
      <c r="O172" s="165">
        <v>48941.64</v>
      </c>
      <c r="P172" s="165">
        <v>47741.64</v>
      </c>
      <c r="Q172" s="165">
        <v>47800</v>
      </c>
      <c r="R172" s="165">
        <v>47800</v>
      </c>
      <c r="S172" s="165">
        <v>47800</v>
      </c>
      <c r="T172" s="218"/>
      <c r="U172" s="218"/>
      <c r="V172" s="238"/>
    </row>
    <row r="173" spans="1:23" s="1" customFormat="1" ht="26.45" customHeight="1" x14ac:dyDescent="0.2">
      <c r="A173" s="341"/>
      <c r="B173" s="344"/>
      <c r="C173" s="249"/>
      <c r="D173" s="260"/>
      <c r="E173" s="250"/>
      <c r="F173" s="260"/>
      <c r="G173" s="260"/>
      <c r="H173" s="250"/>
      <c r="I173" s="260"/>
      <c r="J173" s="270"/>
      <c r="K173" s="296" t="s">
        <v>307</v>
      </c>
      <c r="L173" s="296" t="s">
        <v>120</v>
      </c>
      <c r="M173" s="296" t="s">
        <v>310</v>
      </c>
      <c r="N173" s="73" t="s">
        <v>29</v>
      </c>
      <c r="O173" s="165">
        <v>2400</v>
      </c>
      <c r="P173" s="165">
        <v>2376</v>
      </c>
      <c r="Q173" s="165">
        <v>2400</v>
      </c>
      <c r="R173" s="165">
        <v>1200</v>
      </c>
      <c r="S173" s="165">
        <v>1200</v>
      </c>
      <c r="T173" s="218"/>
      <c r="U173" s="218"/>
      <c r="V173" s="238"/>
    </row>
    <row r="174" spans="1:23" s="1" customFormat="1" ht="26.45" customHeight="1" x14ac:dyDescent="0.2">
      <c r="A174" s="341"/>
      <c r="B174" s="344"/>
      <c r="C174" s="249"/>
      <c r="D174" s="260"/>
      <c r="E174" s="250"/>
      <c r="F174" s="260"/>
      <c r="G174" s="260"/>
      <c r="H174" s="250"/>
      <c r="I174" s="260"/>
      <c r="J174" s="270"/>
      <c r="K174" s="296"/>
      <c r="L174" s="296"/>
      <c r="M174" s="296"/>
      <c r="N174" s="73" t="s">
        <v>311</v>
      </c>
      <c r="O174" s="165">
        <v>168567.71</v>
      </c>
      <c r="P174" s="165">
        <v>168567.7</v>
      </c>
      <c r="Q174" s="165">
        <v>218780</v>
      </c>
      <c r="R174" s="165">
        <v>179500</v>
      </c>
      <c r="S174" s="165">
        <v>179500</v>
      </c>
      <c r="T174" s="218"/>
      <c r="U174" s="218"/>
      <c r="V174" s="244"/>
      <c r="W174" s="1">
        <v>39280</v>
      </c>
    </row>
    <row r="175" spans="1:23" s="1" customFormat="1" ht="26.45" customHeight="1" x14ac:dyDescent="0.2">
      <c r="A175" s="342"/>
      <c r="B175" s="344"/>
      <c r="C175" s="345"/>
      <c r="D175" s="260"/>
      <c r="E175" s="287"/>
      <c r="F175" s="346"/>
      <c r="G175" s="346"/>
      <c r="H175" s="287"/>
      <c r="I175" s="346"/>
      <c r="J175" s="270"/>
      <c r="K175" s="349"/>
      <c r="L175" s="349"/>
      <c r="M175" s="349"/>
      <c r="N175" s="173" t="s">
        <v>282</v>
      </c>
      <c r="O175" s="201">
        <v>4500</v>
      </c>
      <c r="P175" s="165">
        <v>4500</v>
      </c>
      <c r="Q175" s="165">
        <v>4500</v>
      </c>
      <c r="R175" s="165">
        <v>3000</v>
      </c>
      <c r="S175" s="165">
        <v>3000</v>
      </c>
      <c r="T175" s="218"/>
      <c r="U175" s="218"/>
      <c r="V175" s="238"/>
    </row>
    <row r="176" spans="1:23" s="1" customFormat="1" ht="138" customHeight="1" x14ac:dyDescent="0.2">
      <c r="A176" s="204" t="s">
        <v>552</v>
      </c>
      <c r="B176" s="170" t="s">
        <v>553</v>
      </c>
      <c r="C176" s="171">
        <v>1211</v>
      </c>
      <c r="D176" s="169" t="s">
        <v>267</v>
      </c>
      <c r="E176" s="169" t="s">
        <v>554</v>
      </c>
      <c r="F176" s="170" t="s">
        <v>555</v>
      </c>
      <c r="G176" s="170" t="s">
        <v>556</v>
      </c>
      <c r="H176" s="169"/>
      <c r="I176" s="170"/>
      <c r="J176" s="169">
        <v>1</v>
      </c>
      <c r="K176" s="176" t="s">
        <v>281</v>
      </c>
      <c r="L176" s="176" t="s">
        <v>557</v>
      </c>
      <c r="M176" s="176" t="s">
        <v>559</v>
      </c>
      <c r="N176" s="176" t="s">
        <v>558</v>
      </c>
      <c r="O176" s="165"/>
      <c r="P176" s="165"/>
      <c r="Q176" s="205">
        <v>246097.62</v>
      </c>
      <c r="R176" s="205"/>
      <c r="S176" s="205"/>
      <c r="T176" s="219"/>
      <c r="U176" s="219"/>
      <c r="V176" s="244"/>
      <c r="W176" s="1">
        <v>165136.62</v>
      </c>
    </row>
    <row r="177" spans="1:23" s="1" customFormat="1" ht="110.25" hidden="1" customHeight="1" x14ac:dyDescent="0.2">
      <c r="A177" s="202" t="s">
        <v>135</v>
      </c>
      <c r="B177" s="168" t="s">
        <v>136</v>
      </c>
      <c r="C177" s="61" t="s">
        <v>137</v>
      </c>
      <c r="D177" s="61" t="s">
        <v>267</v>
      </c>
      <c r="E177" s="61" t="s">
        <v>268</v>
      </c>
      <c r="F177" s="61" t="s">
        <v>472</v>
      </c>
      <c r="G177" s="61" t="s">
        <v>42</v>
      </c>
      <c r="H177" s="61" t="s">
        <v>447</v>
      </c>
      <c r="I177" s="61" t="s">
        <v>0</v>
      </c>
      <c r="J177" s="168" t="s">
        <v>20</v>
      </c>
      <c r="K177" s="175" t="s">
        <v>281</v>
      </c>
      <c r="L177" s="175" t="s">
        <v>138</v>
      </c>
      <c r="M177" s="175" t="s">
        <v>319</v>
      </c>
      <c r="N177" s="175" t="s">
        <v>320</v>
      </c>
      <c r="O177" s="203"/>
      <c r="P177" s="165"/>
      <c r="Q177" s="165"/>
      <c r="R177" s="165"/>
      <c r="S177" s="165"/>
      <c r="T177" s="218"/>
      <c r="U177" s="218"/>
      <c r="V177" s="238"/>
    </row>
    <row r="178" spans="1:23" s="1" customFormat="1" ht="100.5" customHeight="1" x14ac:dyDescent="0.2">
      <c r="A178" s="78" t="s">
        <v>139</v>
      </c>
      <c r="B178" s="79" t="s">
        <v>140</v>
      </c>
      <c r="C178" s="79" t="s">
        <v>141</v>
      </c>
      <c r="D178" s="79" t="s">
        <v>267</v>
      </c>
      <c r="E178" s="79" t="s">
        <v>268</v>
      </c>
      <c r="F178" s="79" t="s">
        <v>416</v>
      </c>
      <c r="G178" s="79" t="s">
        <v>42</v>
      </c>
      <c r="H178" s="79" t="s">
        <v>447</v>
      </c>
      <c r="I178" s="79" t="s">
        <v>0</v>
      </c>
      <c r="J178" s="79" t="s">
        <v>6</v>
      </c>
      <c r="K178" s="59" t="s">
        <v>281</v>
      </c>
      <c r="L178" s="59" t="s">
        <v>127</v>
      </c>
      <c r="M178" s="73" t="s">
        <v>388</v>
      </c>
      <c r="N178" s="17" t="s">
        <v>286</v>
      </c>
      <c r="O178" s="152">
        <v>78000</v>
      </c>
      <c r="P178" s="121">
        <v>78000</v>
      </c>
      <c r="Q178" s="192">
        <v>78000</v>
      </c>
      <c r="R178" s="192">
        <v>78000</v>
      </c>
      <c r="S178" s="192">
        <v>78000</v>
      </c>
      <c r="T178" s="212">
        <v>78000</v>
      </c>
      <c r="U178" s="212">
        <v>78000</v>
      </c>
      <c r="V178" s="238"/>
    </row>
    <row r="179" spans="1:23" s="1" customFormat="1" ht="42.75" customHeight="1" x14ac:dyDescent="0.2">
      <c r="A179" s="262" t="s">
        <v>142</v>
      </c>
      <c r="B179" s="262" t="s">
        <v>143</v>
      </c>
      <c r="C179" s="262" t="s">
        <v>144</v>
      </c>
      <c r="D179" s="262" t="s">
        <v>145</v>
      </c>
      <c r="E179" s="262" t="s">
        <v>42</v>
      </c>
      <c r="F179" s="312" t="s">
        <v>517</v>
      </c>
      <c r="G179" s="262" t="s">
        <v>518</v>
      </c>
      <c r="H179" s="262" t="s">
        <v>447</v>
      </c>
      <c r="I179" s="262" t="s">
        <v>42</v>
      </c>
      <c r="J179" s="16" t="s">
        <v>6</v>
      </c>
      <c r="K179" s="73" t="s">
        <v>281</v>
      </c>
      <c r="L179" s="73" t="s">
        <v>127</v>
      </c>
      <c r="M179" s="73" t="s">
        <v>386</v>
      </c>
      <c r="N179" s="17" t="s">
        <v>282</v>
      </c>
      <c r="O179" s="152">
        <v>100000</v>
      </c>
      <c r="P179" s="121">
        <v>100000</v>
      </c>
      <c r="Q179" s="192">
        <v>100000</v>
      </c>
      <c r="R179" s="192">
        <v>100000</v>
      </c>
      <c r="S179" s="192">
        <v>100000</v>
      </c>
      <c r="T179" s="212">
        <v>100000</v>
      </c>
      <c r="U179" s="212">
        <v>100000</v>
      </c>
      <c r="V179" s="238"/>
    </row>
    <row r="180" spans="1:23" s="1" customFormat="1" ht="42.75" customHeight="1" x14ac:dyDescent="0.2">
      <c r="A180" s="264"/>
      <c r="B180" s="264"/>
      <c r="C180" s="264"/>
      <c r="D180" s="263"/>
      <c r="E180" s="263"/>
      <c r="F180" s="313"/>
      <c r="G180" s="263"/>
      <c r="H180" s="263"/>
      <c r="I180" s="263"/>
      <c r="J180" s="195"/>
      <c r="K180" s="188" t="s">
        <v>281</v>
      </c>
      <c r="L180" s="188" t="s">
        <v>127</v>
      </c>
      <c r="M180" s="188" t="s">
        <v>387</v>
      </c>
      <c r="N180" s="199" t="s">
        <v>282</v>
      </c>
      <c r="O180" s="178">
        <v>51875.360000000001</v>
      </c>
      <c r="P180" s="178">
        <v>51875.360000000001</v>
      </c>
      <c r="Q180" s="178">
        <v>100000</v>
      </c>
      <c r="R180" s="178">
        <v>100000</v>
      </c>
      <c r="S180" s="178">
        <v>100000</v>
      </c>
      <c r="T180" s="212">
        <v>100000</v>
      </c>
      <c r="U180" s="212">
        <v>100000</v>
      </c>
      <c r="V180" s="238"/>
    </row>
    <row r="181" spans="1:23" s="39" customFormat="1" ht="26.45" customHeight="1" x14ac:dyDescent="0.2">
      <c r="A181" s="341" t="s">
        <v>146</v>
      </c>
      <c r="B181" s="312" t="s">
        <v>147</v>
      </c>
      <c r="C181" s="275" t="s">
        <v>148</v>
      </c>
      <c r="D181" s="260" t="s">
        <v>267</v>
      </c>
      <c r="E181" s="260" t="s">
        <v>268</v>
      </c>
      <c r="F181" s="280" t="s">
        <v>426</v>
      </c>
      <c r="G181" s="260" t="s">
        <v>42</v>
      </c>
      <c r="H181" s="260" t="s">
        <v>424</v>
      </c>
      <c r="I181" s="353" t="s">
        <v>0</v>
      </c>
      <c r="J181" s="353" t="s">
        <v>6</v>
      </c>
      <c r="K181" s="42"/>
      <c r="L181" s="42"/>
      <c r="M181" s="42"/>
      <c r="N181" s="42"/>
      <c r="O181" s="190">
        <f t="shared" ref="O181:S181" si="27">SUM(O182:O193)</f>
        <v>23311275.43</v>
      </c>
      <c r="P181" s="190">
        <f t="shared" si="27"/>
        <v>23265962.180000003</v>
      </c>
      <c r="Q181" s="190">
        <f t="shared" si="27"/>
        <v>27370488.899999999</v>
      </c>
      <c r="R181" s="190">
        <f t="shared" si="27"/>
        <v>22983800</v>
      </c>
      <c r="S181" s="190">
        <f t="shared" si="27"/>
        <v>22983800</v>
      </c>
      <c r="T181" s="220"/>
      <c r="U181" s="220"/>
      <c r="V181" s="246"/>
    </row>
    <row r="182" spans="1:23" s="39" customFormat="1" ht="26.45" customHeight="1" x14ac:dyDescent="0.2">
      <c r="A182" s="341"/>
      <c r="B182" s="313"/>
      <c r="C182" s="275"/>
      <c r="D182" s="260"/>
      <c r="E182" s="260"/>
      <c r="F182" s="280"/>
      <c r="G182" s="260"/>
      <c r="H182" s="260"/>
      <c r="I182" s="353"/>
      <c r="J182" s="353"/>
      <c r="K182" s="184" t="s">
        <v>281</v>
      </c>
      <c r="L182" s="184" t="s">
        <v>127</v>
      </c>
      <c r="M182" s="184" t="s">
        <v>384</v>
      </c>
      <c r="N182" s="184" t="s">
        <v>28</v>
      </c>
      <c r="O182" s="90">
        <v>1413265.5</v>
      </c>
      <c r="P182" s="90">
        <v>1413265.5</v>
      </c>
      <c r="Q182" s="90">
        <v>1311500</v>
      </c>
      <c r="R182" s="90">
        <v>1311500</v>
      </c>
      <c r="S182" s="90">
        <v>1311500</v>
      </c>
      <c r="T182" s="214"/>
      <c r="U182" s="214"/>
      <c r="V182" s="246"/>
    </row>
    <row r="183" spans="1:23" s="39" customFormat="1" ht="26.45" customHeight="1" x14ac:dyDescent="0.2">
      <c r="A183" s="341"/>
      <c r="B183" s="313"/>
      <c r="C183" s="275"/>
      <c r="D183" s="260"/>
      <c r="E183" s="260"/>
      <c r="F183" s="280"/>
      <c r="G183" s="260"/>
      <c r="H183" s="260"/>
      <c r="I183" s="353"/>
      <c r="J183" s="353"/>
      <c r="K183" s="184" t="s">
        <v>281</v>
      </c>
      <c r="L183" s="184" t="s">
        <v>127</v>
      </c>
      <c r="M183" s="184" t="s">
        <v>385</v>
      </c>
      <c r="N183" s="184" t="s">
        <v>28</v>
      </c>
      <c r="O183" s="90">
        <v>14124100</v>
      </c>
      <c r="P183" s="90">
        <v>14082684.49</v>
      </c>
      <c r="Q183" s="90">
        <v>17418900</v>
      </c>
      <c r="R183" s="90">
        <v>14743000</v>
      </c>
      <c r="S183" s="90">
        <v>14743000</v>
      </c>
      <c r="T183" s="214"/>
      <c r="U183" s="214"/>
      <c r="V183" s="244"/>
      <c r="W183" s="39">
        <v>2675900</v>
      </c>
    </row>
    <row r="184" spans="1:23" s="39" customFormat="1" ht="26.45" customHeight="1" x14ac:dyDescent="0.2">
      <c r="A184" s="341"/>
      <c r="B184" s="313"/>
      <c r="C184" s="275"/>
      <c r="D184" s="260"/>
      <c r="E184" s="260"/>
      <c r="F184" s="280"/>
      <c r="G184" s="260"/>
      <c r="H184" s="260"/>
      <c r="I184" s="353"/>
      <c r="J184" s="353"/>
      <c r="K184" s="184" t="s">
        <v>281</v>
      </c>
      <c r="L184" s="184" t="s">
        <v>127</v>
      </c>
      <c r="M184" s="184" t="s">
        <v>314</v>
      </c>
      <c r="N184" s="184" t="s">
        <v>28</v>
      </c>
      <c r="O184" s="90">
        <v>385692.34</v>
      </c>
      <c r="P184" s="90">
        <v>385692.34</v>
      </c>
      <c r="Q184" s="90"/>
      <c r="R184" s="90"/>
      <c r="S184" s="90"/>
      <c r="T184" s="214"/>
      <c r="U184" s="214"/>
      <c r="V184" s="244"/>
    </row>
    <row r="185" spans="1:23" s="39" customFormat="1" ht="26.45" customHeight="1" x14ac:dyDescent="0.2">
      <c r="A185" s="341"/>
      <c r="B185" s="313"/>
      <c r="C185" s="275"/>
      <c r="D185" s="260"/>
      <c r="E185" s="260"/>
      <c r="F185" s="280"/>
      <c r="G185" s="260"/>
      <c r="H185" s="260"/>
      <c r="I185" s="353"/>
      <c r="J185" s="353"/>
      <c r="K185" s="184" t="s">
        <v>281</v>
      </c>
      <c r="L185" s="184" t="s">
        <v>127</v>
      </c>
      <c r="M185" s="184" t="s">
        <v>313</v>
      </c>
      <c r="N185" s="184" t="s">
        <v>28</v>
      </c>
      <c r="O185" s="166">
        <v>345680.32</v>
      </c>
      <c r="P185" s="166">
        <v>345680.32</v>
      </c>
      <c r="Q185" s="166">
        <v>240168.2</v>
      </c>
      <c r="R185" s="166"/>
      <c r="S185" s="166"/>
      <c r="T185" s="221"/>
      <c r="U185" s="221"/>
      <c r="V185" s="244"/>
    </row>
    <row r="186" spans="1:23" s="39" customFormat="1" ht="26.45" customHeight="1" x14ac:dyDescent="0.2">
      <c r="A186" s="341"/>
      <c r="B186" s="313"/>
      <c r="C186" s="275"/>
      <c r="D186" s="260" t="s">
        <v>417</v>
      </c>
      <c r="E186" s="260" t="s">
        <v>42</v>
      </c>
      <c r="F186" s="280"/>
      <c r="G186" s="260"/>
      <c r="H186" s="260" t="s">
        <v>425</v>
      </c>
      <c r="I186" s="353"/>
      <c r="J186" s="353"/>
      <c r="K186" s="184" t="s">
        <v>289</v>
      </c>
      <c r="L186" s="184" t="s">
        <v>66</v>
      </c>
      <c r="M186" s="184" t="s">
        <v>346</v>
      </c>
      <c r="N186" s="184" t="s">
        <v>28</v>
      </c>
      <c r="O186" s="166">
        <v>1050440.1100000001</v>
      </c>
      <c r="P186" s="166">
        <v>1050440.1100000001</v>
      </c>
      <c r="Q186" s="166">
        <v>1333500</v>
      </c>
      <c r="R186" s="166">
        <v>1128800</v>
      </c>
      <c r="S186" s="166">
        <v>1128800</v>
      </c>
      <c r="T186" s="221"/>
      <c r="U186" s="221"/>
      <c r="V186" s="244"/>
      <c r="W186" s="39">
        <v>204700</v>
      </c>
    </row>
    <row r="187" spans="1:23" s="39" customFormat="1" ht="26.45" customHeight="1" x14ac:dyDescent="0.2">
      <c r="A187" s="341"/>
      <c r="B187" s="313"/>
      <c r="C187" s="275"/>
      <c r="D187" s="260"/>
      <c r="E187" s="260"/>
      <c r="F187" s="280"/>
      <c r="G187" s="260"/>
      <c r="H187" s="260"/>
      <c r="I187" s="353"/>
      <c r="J187" s="353"/>
      <c r="K187" s="184" t="s">
        <v>289</v>
      </c>
      <c r="L187" s="184" t="s">
        <v>66</v>
      </c>
      <c r="M187" s="184" t="s">
        <v>318</v>
      </c>
      <c r="N187" s="184" t="s">
        <v>28</v>
      </c>
      <c r="O187" s="166">
        <v>45474</v>
      </c>
      <c r="P187" s="166">
        <v>45474</v>
      </c>
      <c r="Q187" s="166"/>
      <c r="R187" s="166"/>
      <c r="S187" s="166"/>
      <c r="T187" s="221"/>
      <c r="U187" s="221"/>
      <c r="V187" s="244"/>
    </row>
    <row r="188" spans="1:23" s="39" customFormat="1" ht="26.45" customHeight="1" x14ac:dyDescent="0.2">
      <c r="A188" s="341"/>
      <c r="B188" s="313"/>
      <c r="C188" s="275"/>
      <c r="D188" s="260"/>
      <c r="E188" s="260"/>
      <c r="F188" s="280"/>
      <c r="G188" s="260"/>
      <c r="H188" s="260"/>
      <c r="I188" s="353"/>
      <c r="J188" s="353"/>
      <c r="K188" s="184" t="s">
        <v>289</v>
      </c>
      <c r="L188" s="184" t="s">
        <v>66</v>
      </c>
      <c r="M188" s="184" t="s">
        <v>313</v>
      </c>
      <c r="N188" s="184" t="s">
        <v>28</v>
      </c>
      <c r="O188" s="166">
        <v>43102</v>
      </c>
      <c r="P188" s="166">
        <v>43102</v>
      </c>
      <c r="Q188" s="166">
        <v>43200.3</v>
      </c>
      <c r="R188" s="166"/>
      <c r="S188" s="166"/>
      <c r="T188" s="221"/>
      <c r="U188" s="221"/>
      <c r="V188" s="244"/>
    </row>
    <row r="189" spans="1:23" s="39" customFormat="1" ht="26.45" customHeight="1" x14ac:dyDescent="0.2">
      <c r="A189" s="341"/>
      <c r="B189" s="313"/>
      <c r="C189" s="275"/>
      <c r="D189" s="260"/>
      <c r="E189" s="260"/>
      <c r="F189" s="280"/>
      <c r="G189" s="260"/>
      <c r="H189" s="260"/>
      <c r="I189" s="353"/>
      <c r="J189" s="353"/>
      <c r="K189" s="184" t="s">
        <v>286</v>
      </c>
      <c r="L189" s="184" t="s">
        <v>120</v>
      </c>
      <c r="M189" s="184" t="s">
        <v>389</v>
      </c>
      <c r="N189" s="184" t="s">
        <v>28</v>
      </c>
      <c r="O189" s="166">
        <v>4751800</v>
      </c>
      <c r="P189" s="166">
        <v>4747902.26</v>
      </c>
      <c r="Q189" s="166">
        <v>5816100</v>
      </c>
      <c r="R189" s="166">
        <v>4929500</v>
      </c>
      <c r="S189" s="166">
        <v>4929500</v>
      </c>
      <c r="T189" s="221"/>
      <c r="U189" s="221"/>
      <c r="V189" s="244"/>
      <c r="W189" s="39">
        <v>886600</v>
      </c>
    </row>
    <row r="190" spans="1:23" s="39" customFormat="1" ht="26.45" customHeight="1" x14ac:dyDescent="0.2">
      <c r="A190" s="341"/>
      <c r="B190" s="313"/>
      <c r="C190" s="275"/>
      <c r="D190" s="260"/>
      <c r="E190" s="260"/>
      <c r="F190" s="280"/>
      <c r="G190" s="260"/>
      <c r="H190" s="260"/>
      <c r="I190" s="353"/>
      <c r="J190" s="353"/>
      <c r="K190" s="184" t="s">
        <v>286</v>
      </c>
      <c r="L190" s="184" t="s">
        <v>120</v>
      </c>
      <c r="M190" s="184" t="s">
        <v>312</v>
      </c>
      <c r="N190" s="184" t="s">
        <v>28</v>
      </c>
      <c r="O190" s="166">
        <v>167912</v>
      </c>
      <c r="P190" s="166">
        <v>167912</v>
      </c>
      <c r="Q190" s="166"/>
      <c r="R190" s="166"/>
      <c r="S190" s="166"/>
      <c r="T190" s="221"/>
      <c r="U190" s="221"/>
      <c r="V190" s="244"/>
    </row>
    <row r="191" spans="1:23" s="39" customFormat="1" ht="26.45" customHeight="1" x14ac:dyDescent="0.2">
      <c r="A191" s="341"/>
      <c r="B191" s="313"/>
      <c r="C191" s="275"/>
      <c r="D191" s="260"/>
      <c r="E191" s="260"/>
      <c r="F191" s="280"/>
      <c r="G191" s="260"/>
      <c r="H191" s="260"/>
      <c r="I191" s="353"/>
      <c r="J191" s="353"/>
      <c r="K191" s="184" t="s">
        <v>286</v>
      </c>
      <c r="L191" s="184" t="s">
        <v>120</v>
      </c>
      <c r="M191" s="184" t="s">
        <v>313</v>
      </c>
      <c r="N191" s="184" t="s">
        <v>28</v>
      </c>
      <c r="O191" s="166">
        <v>147508</v>
      </c>
      <c r="P191" s="166">
        <v>147508</v>
      </c>
      <c r="Q191" s="166">
        <v>147850.4</v>
      </c>
      <c r="R191" s="166"/>
      <c r="S191" s="166"/>
      <c r="T191" s="221"/>
      <c r="U191" s="221"/>
      <c r="V191" s="244"/>
    </row>
    <row r="192" spans="1:23" s="39" customFormat="1" ht="26.45" customHeight="1" x14ac:dyDescent="0.2">
      <c r="A192" s="341"/>
      <c r="B192" s="313"/>
      <c r="C192" s="275"/>
      <c r="D192" s="260"/>
      <c r="E192" s="260"/>
      <c r="F192" s="280"/>
      <c r="G192" s="260"/>
      <c r="H192" s="260"/>
      <c r="I192" s="353"/>
      <c r="J192" s="353"/>
      <c r="K192" s="184" t="s">
        <v>308</v>
      </c>
      <c r="L192" s="184" t="s">
        <v>309</v>
      </c>
      <c r="M192" s="184" t="s">
        <v>310</v>
      </c>
      <c r="N192" s="184" t="s">
        <v>28</v>
      </c>
      <c r="O192" s="166">
        <v>265401.15999999997</v>
      </c>
      <c r="P192" s="166">
        <v>265401.15999999997</v>
      </c>
      <c r="Q192" s="166">
        <v>334900</v>
      </c>
      <c r="R192" s="166">
        <v>276700</v>
      </c>
      <c r="S192" s="166">
        <v>276700</v>
      </c>
      <c r="T192" s="221"/>
      <c r="U192" s="221"/>
      <c r="V192" s="244"/>
      <c r="W192" s="39">
        <v>58200</v>
      </c>
    </row>
    <row r="193" spans="1:24" s="39" customFormat="1" ht="26.45" customHeight="1" x14ac:dyDescent="0.2">
      <c r="A193" s="341"/>
      <c r="B193" s="314"/>
      <c r="C193" s="275"/>
      <c r="D193" s="260"/>
      <c r="E193" s="260"/>
      <c r="F193" s="280"/>
      <c r="G193" s="260"/>
      <c r="H193" s="260"/>
      <c r="I193" s="353"/>
      <c r="J193" s="353"/>
      <c r="K193" s="184" t="s">
        <v>307</v>
      </c>
      <c r="L193" s="184" t="s">
        <v>120</v>
      </c>
      <c r="M193" s="184" t="s">
        <v>317</v>
      </c>
      <c r="N193" s="184" t="s">
        <v>28</v>
      </c>
      <c r="O193" s="166">
        <v>570900</v>
      </c>
      <c r="P193" s="166">
        <v>570900</v>
      </c>
      <c r="Q193" s="166">
        <v>724370</v>
      </c>
      <c r="R193" s="166">
        <v>594300</v>
      </c>
      <c r="S193" s="166">
        <v>594300</v>
      </c>
      <c r="T193" s="221"/>
      <c r="U193" s="221"/>
      <c r="V193" s="244"/>
      <c r="W193" s="39">
        <v>130070</v>
      </c>
    </row>
    <row r="194" spans="1:24" s="39" customFormat="1" ht="162.75" customHeight="1" x14ac:dyDescent="0.2">
      <c r="A194" s="37" t="s">
        <v>149</v>
      </c>
      <c r="B194" s="35" t="s">
        <v>150</v>
      </c>
      <c r="C194" s="35" t="s">
        <v>151</v>
      </c>
      <c r="D194" s="186" t="s">
        <v>267</v>
      </c>
      <c r="E194" s="187" t="s">
        <v>268</v>
      </c>
      <c r="F194" s="187" t="s">
        <v>427</v>
      </c>
      <c r="G194" s="187" t="s">
        <v>42</v>
      </c>
      <c r="H194" s="187" t="s">
        <v>420</v>
      </c>
      <c r="I194" s="187" t="s">
        <v>42</v>
      </c>
      <c r="J194" s="194" t="s">
        <v>20</v>
      </c>
      <c r="K194" s="193" t="s">
        <v>281</v>
      </c>
      <c r="L194" s="232" t="s">
        <v>152</v>
      </c>
      <c r="M194" s="232" t="s">
        <v>390</v>
      </c>
      <c r="N194" s="233" t="s">
        <v>282</v>
      </c>
      <c r="O194" s="234">
        <v>35500</v>
      </c>
      <c r="P194" s="234">
        <v>35500</v>
      </c>
      <c r="Q194" s="234">
        <v>35500</v>
      </c>
      <c r="R194" s="234"/>
      <c r="S194" s="234"/>
      <c r="T194" s="222"/>
      <c r="U194" s="222"/>
      <c r="V194" s="244"/>
    </row>
    <row r="195" spans="1:24" s="39" customFormat="1" ht="68.25" customHeight="1" x14ac:dyDescent="0.2">
      <c r="A195" s="350" t="s">
        <v>153</v>
      </c>
      <c r="B195" s="312" t="s">
        <v>154</v>
      </c>
      <c r="C195" s="343" t="s">
        <v>155</v>
      </c>
      <c r="D195" s="63" t="s">
        <v>267</v>
      </c>
      <c r="E195" s="44" t="s">
        <v>268</v>
      </c>
      <c r="F195" s="312" t="s">
        <v>426</v>
      </c>
      <c r="G195" s="312" t="s">
        <v>430</v>
      </c>
      <c r="H195" s="312" t="s">
        <v>471</v>
      </c>
      <c r="I195" s="312" t="s">
        <v>42</v>
      </c>
      <c r="J195" s="360" t="s">
        <v>15</v>
      </c>
      <c r="K195" s="362" t="s">
        <v>281</v>
      </c>
      <c r="L195" s="354" t="s">
        <v>35</v>
      </c>
      <c r="M195" s="354" t="s">
        <v>328</v>
      </c>
      <c r="N195" s="362" t="s">
        <v>288</v>
      </c>
      <c r="O195" s="359">
        <v>3189168.45</v>
      </c>
      <c r="P195" s="359">
        <v>3189168.45</v>
      </c>
      <c r="Q195" s="359">
        <v>3538793</v>
      </c>
      <c r="R195" s="359">
        <v>3468800</v>
      </c>
      <c r="S195" s="359">
        <v>3468800</v>
      </c>
      <c r="T195" s="220"/>
      <c r="U195" s="220"/>
      <c r="V195" s="244"/>
      <c r="W195" s="39">
        <v>69993</v>
      </c>
    </row>
    <row r="196" spans="1:24" s="39" customFormat="1" ht="78.75" hidden="1" customHeight="1" x14ac:dyDescent="0.2">
      <c r="A196" s="351"/>
      <c r="B196" s="314"/>
      <c r="C196" s="352"/>
      <c r="D196" s="63" t="s">
        <v>428</v>
      </c>
      <c r="E196" s="44" t="s">
        <v>429</v>
      </c>
      <c r="F196" s="314"/>
      <c r="G196" s="314"/>
      <c r="H196" s="314"/>
      <c r="I196" s="314"/>
      <c r="J196" s="361"/>
      <c r="K196" s="355"/>
      <c r="L196" s="355"/>
      <c r="M196" s="355"/>
      <c r="N196" s="355"/>
      <c r="O196" s="359"/>
      <c r="P196" s="359"/>
      <c r="Q196" s="359"/>
      <c r="R196" s="359"/>
      <c r="S196" s="359"/>
      <c r="T196" s="220"/>
      <c r="U196" s="220"/>
      <c r="V196" s="244"/>
    </row>
    <row r="197" spans="1:24" s="39" customFormat="1" ht="123" customHeight="1" x14ac:dyDescent="0.2">
      <c r="A197" s="341" t="s">
        <v>156</v>
      </c>
      <c r="B197" s="312" t="s">
        <v>157</v>
      </c>
      <c r="C197" s="274" t="s">
        <v>158</v>
      </c>
      <c r="D197" s="331" t="s">
        <v>267</v>
      </c>
      <c r="E197" s="312" t="s">
        <v>268</v>
      </c>
      <c r="F197" s="312" t="s">
        <v>46</v>
      </c>
      <c r="G197" s="312" t="s">
        <v>42</v>
      </c>
      <c r="H197" s="312" t="s">
        <v>449</v>
      </c>
      <c r="I197" s="312" t="s">
        <v>42</v>
      </c>
      <c r="J197" s="360" t="s">
        <v>11</v>
      </c>
      <c r="K197" s="41" t="s">
        <v>289</v>
      </c>
      <c r="L197" s="41" t="s">
        <v>51</v>
      </c>
      <c r="M197" s="41" t="s">
        <v>345</v>
      </c>
      <c r="N197" s="41" t="s">
        <v>293</v>
      </c>
      <c r="O197" s="150">
        <f>4889415.11-0.56</f>
        <v>4889414.5500000007</v>
      </c>
      <c r="P197" s="118">
        <v>3910156.22</v>
      </c>
      <c r="Q197" s="118">
        <f>4738991.14-20.59</f>
        <v>4738970.55</v>
      </c>
      <c r="R197" s="118">
        <f>4513532.47-29.95</f>
        <v>4513502.5199999996</v>
      </c>
      <c r="S197" s="118">
        <f>4394246.08-15.39</f>
        <v>4394230.6900000004</v>
      </c>
      <c r="T197" s="220"/>
      <c r="U197" s="220"/>
      <c r="V197" s="244"/>
    </row>
    <row r="198" spans="1:24" s="40" customFormat="1" ht="123" customHeight="1" x14ac:dyDescent="0.2">
      <c r="A198" s="341" t="s">
        <v>0</v>
      </c>
      <c r="B198" s="314"/>
      <c r="C198" s="274" t="s">
        <v>0</v>
      </c>
      <c r="D198" s="314"/>
      <c r="E198" s="314"/>
      <c r="F198" s="314"/>
      <c r="G198" s="314"/>
      <c r="H198" s="314"/>
      <c r="I198" s="314"/>
      <c r="J198" s="361"/>
      <c r="K198" s="57"/>
      <c r="L198" s="57"/>
      <c r="M198" s="57"/>
      <c r="N198" s="11"/>
      <c r="O198" s="93"/>
      <c r="P198" s="93"/>
      <c r="Q198" s="93"/>
      <c r="R198" s="93"/>
      <c r="S198" s="93"/>
      <c r="T198" s="223"/>
      <c r="U198" s="223"/>
      <c r="V198" s="244"/>
    </row>
    <row r="199" spans="1:24" s="39" customFormat="1" ht="71.25" customHeight="1" x14ac:dyDescent="0.2">
      <c r="A199" s="312" t="s">
        <v>159</v>
      </c>
      <c r="B199" s="312" t="s">
        <v>160</v>
      </c>
      <c r="C199" s="312" t="s">
        <v>161</v>
      </c>
      <c r="D199" s="54" t="s">
        <v>432</v>
      </c>
      <c r="E199" s="50" t="s">
        <v>433</v>
      </c>
      <c r="F199" s="312" t="s">
        <v>445</v>
      </c>
      <c r="G199" s="312" t="s">
        <v>42</v>
      </c>
      <c r="H199" s="79" t="s">
        <v>443</v>
      </c>
      <c r="I199" s="35" t="s">
        <v>42</v>
      </c>
      <c r="J199" s="34" t="s">
        <v>6</v>
      </c>
      <c r="K199" s="69" t="s">
        <v>281</v>
      </c>
      <c r="L199" s="69" t="s">
        <v>152</v>
      </c>
      <c r="M199" s="69" t="s">
        <v>391</v>
      </c>
      <c r="N199" s="38" t="s">
        <v>292</v>
      </c>
      <c r="O199" s="151">
        <v>2925200</v>
      </c>
      <c r="P199" s="151">
        <v>2925200</v>
      </c>
      <c r="Q199" s="119">
        <v>3786295</v>
      </c>
      <c r="R199" s="158">
        <v>3368100</v>
      </c>
      <c r="S199" s="158">
        <v>3368100</v>
      </c>
      <c r="T199" s="224"/>
      <c r="U199" s="224"/>
      <c r="V199" s="244"/>
      <c r="W199" s="39">
        <v>418195</v>
      </c>
    </row>
    <row r="200" spans="1:24" s="39" customFormat="1" ht="71.25" customHeight="1" x14ac:dyDescent="0.2">
      <c r="A200" s="314"/>
      <c r="B200" s="314"/>
      <c r="C200" s="314"/>
      <c r="D200" s="35" t="s">
        <v>431</v>
      </c>
      <c r="E200" s="35"/>
      <c r="F200" s="314"/>
      <c r="G200" s="314"/>
      <c r="H200" s="35" t="s">
        <v>444</v>
      </c>
      <c r="I200" s="35" t="s">
        <v>42</v>
      </c>
      <c r="J200" s="35">
        <v>1</v>
      </c>
      <c r="K200" s="69" t="s">
        <v>281</v>
      </c>
      <c r="L200" s="69" t="s">
        <v>152</v>
      </c>
      <c r="M200" s="69" t="s">
        <v>391</v>
      </c>
      <c r="N200" s="18" t="s">
        <v>293</v>
      </c>
      <c r="O200" s="151">
        <v>0</v>
      </c>
      <c r="P200" s="151">
        <v>0</v>
      </c>
      <c r="Q200" s="119">
        <v>0</v>
      </c>
      <c r="R200" s="119">
        <v>0</v>
      </c>
      <c r="S200" s="119">
        <v>0</v>
      </c>
      <c r="T200" s="224"/>
      <c r="U200" s="224"/>
      <c r="V200" s="244"/>
    </row>
    <row r="201" spans="1:24" ht="26.45" customHeight="1" x14ac:dyDescent="0.2">
      <c r="A201" s="4" t="s">
        <v>162</v>
      </c>
      <c r="B201" s="75" t="s">
        <v>163</v>
      </c>
      <c r="C201" s="75" t="s">
        <v>164</v>
      </c>
      <c r="D201" s="79"/>
      <c r="E201" s="79"/>
      <c r="F201" s="75" t="s">
        <v>0</v>
      </c>
      <c r="G201" s="75" t="s">
        <v>0</v>
      </c>
      <c r="H201" s="75" t="s">
        <v>0</v>
      </c>
      <c r="I201" s="75" t="s">
        <v>0</v>
      </c>
      <c r="J201" s="75" t="s">
        <v>0</v>
      </c>
      <c r="K201" s="12"/>
      <c r="L201" s="12"/>
      <c r="M201" s="12"/>
      <c r="N201" s="12"/>
      <c r="O201" s="133">
        <f>O202+O210</f>
        <v>21979318.75</v>
      </c>
      <c r="P201" s="133">
        <f>P202+P210</f>
        <v>19394027.539999999</v>
      </c>
      <c r="Q201" s="133">
        <f>Q202+Q210</f>
        <v>26438151.100000001</v>
      </c>
      <c r="R201" s="133">
        <f>R202+R210</f>
        <v>32743141.100000001</v>
      </c>
      <c r="S201" s="133">
        <f>S202+S210</f>
        <v>35431783.100000001</v>
      </c>
      <c r="T201" s="225"/>
      <c r="U201" s="225"/>
      <c r="V201" s="244"/>
    </row>
    <row r="202" spans="1:24" ht="26.45" customHeight="1" x14ac:dyDescent="0.2">
      <c r="A202" s="5" t="s">
        <v>165</v>
      </c>
      <c r="B202" s="75" t="s">
        <v>166</v>
      </c>
      <c r="C202" s="75" t="s">
        <v>167</v>
      </c>
      <c r="D202" s="75" t="s">
        <v>0</v>
      </c>
      <c r="E202" s="75" t="s">
        <v>0</v>
      </c>
      <c r="F202" s="75" t="s">
        <v>0</v>
      </c>
      <c r="G202" s="75" t="s">
        <v>0</v>
      </c>
      <c r="H202" s="75" t="s">
        <v>0</v>
      </c>
      <c r="I202" s="75" t="s">
        <v>0</v>
      </c>
      <c r="J202" s="75" t="s">
        <v>168</v>
      </c>
      <c r="K202" s="12"/>
      <c r="L202" s="12"/>
      <c r="M202" s="12"/>
      <c r="N202" s="12"/>
      <c r="O202" s="134">
        <f>O203+O204+O209</f>
        <v>576103.19999999995</v>
      </c>
      <c r="P202" s="134">
        <f>P203+P204+P209</f>
        <v>576103.19999999995</v>
      </c>
      <c r="Q202" s="134">
        <f t="shared" ref="Q202:S202" si="28">Q203+Q204+Q209</f>
        <v>695092</v>
      </c>
      <c r="R202" s="134">
        <f t="shared" si="28"/>
        <v>763382</v>
      </c>
      <c r="S202" s="134">
        <f t="shared" si="28"/>
        <v>868124</v>
      </c>
      <c r="T202" s="226"/>
      <c r="U202" s="226"/>
      <c r="V202" s="244"/>
    </row>
    <row r="203" spans="1:24" s="1" customFormat="1" ht="27" customHeight="1" x14ac:dyDescent="0.2">
      <c r="A203" s="78" t="s">
        <v>169</v>
      </c>
      <c r="B203" s="79" t="s">
        <v>170</v>
      </c>
      <c r="C203" s="79" t="s">
        <v>171</v>
      </c>
      <c r="D203" s="79" t="s">
        <v>172</v>
      </c>
      <c r="E203" s="79" t="s">
        <v>42</v>
      </c>
      <c r="F203" s="79" t="s">
        <v>434</v>
      </c>
      <c r="G203" s="79" t="s">
        <v>42</v>
      </c>
      <c r="H203" s="63" t="s">
        <v>447</v>
      </c>
      <c r="I203" s="79" t="s">
        <v>0</v>
      </c>
      <c r="J203" s="79" t="s">
        <v>168</v>
      </c>
      <c r="K203" s="59" t="s">
        <v>281</v>
      </c>
      <c r="L203" s="59" t="s">
        <v>173</v>
      </c>
      <c r="M203" s="59" t="s">
        <v>495</v>
      </c>
      <c r="N203" s="13" t="s">
        <v>282</v>
      </c>
      <c r="O203" s="152">
        <v>1359</v>
      </c>
      <c r="P203" s="152">
        <v>1359</v>
      </c>
      <c r="Q203" s="121">
        <v>4200</v>
      </c>
      <c r="R203" s="121">
        <v>4360</v>
      </c>
      <c r="S203" s="121">
        <v>38869</v>
      </c>
      <c r="T203" s="212"/>
      <c r="U203" s="212"/>
      <c r="V203" s="238"/>
    </row>
    <row r="204" spans="1:24" s="39" customFormat="1" ht="29.25" customHeight="1" x14ac:dyDescent="0.2">
      <c r="A204" s="341" t="s">
        <v>174</v>
      </c>
      <c r="B204" s="312" t="s">
        <v>175</v>
      </c>
      <c r="C204" s="274" t="s">
        <v>176</v>
      </c>
      <c r="D204" s="312" t="s">
        <v>267</v>
      </c>
      <c r="E204" s="332" t="s">
        <v>42</v>
      </c>
      <c r="F204" s="312" t="s">
        <v>422</v>
      </c>
      <c r="G204" s="312" t="s">
        <v>42</v>
      </c>
      <c r="H204" s="312" t="s">
        <v>421</v>
      </c>
      <c r="I204" s="312" t="s">
        <v>42</v>
      </c>
      <c r="J204" s="343" t="s">
        <v>168</v>
      </c>
      <c r="K204" s="69" t="s">
        <v>281</v>
      </c>
      <c r="L204" s="69" t="s">
        <v>178</v>
      </c>
      <c r="M204" s="69" t="s">
        <v>392</v>
      </c>
      <c r="N204" s="38" t="s">
        <v>285</v>
      </c>
      <c r="O204" s="94">
        <f t="shared" ref="O204" si="29">O205+O206+O207+O208</f>
        <v>574744.19999999995</v>
      </c>
      <c r="P204" s="94">
        <f t="shared" ref="P204:Q204" si="30">P205+P206+P207+P208</f>
        <v>574744.19999999995</v>
      </c>
      <c r="Q204" s="94">
        <f t="shared" si="30"/>
        <v>690892</v>
      </c>
      <c r="R204" s="94">
        <f t="shared" ref="R204:S204" si="31">R205+R206+R207+R208</f>
        <v>759022</v>
      </c>
      <c r="S204" s="94">
        <f t="shared" si="31"/>
        <v>829255</v>
      </c>
      <c r="T204" s="227"/>
      <c r="U204" s="227"/>
      <c r="V204" s="246"/>
    </row>
    <row r="205" spans="1:24" s="39" customFormat="1" ht="29.25" customHeight="1" x14ac:dyDescent="0.2">
      <c r="A205" s="341"/>
      <c r="B205" s="313"/>
      <c r="C205" s="274"/>
      <c r="D205" s="314"/>
      <c r="E205" s="334"/>
      <c r="F205" s="313"/>
      <c r="G205" s="313"/>
      <c r="H205" s="313"/>
      <c r="I205" s="313"/>
      <c r="J205" s="313"/>
      <c r="K205" s="69" t="s">
        <v>281</v>
      </c>
      <c r="L205" s="69" t="s">
        <v>178</v>
      </c>
      <c r="M205" s="69" t="s">
        <v>392</v>
      </c>
      <c r="N205" s="18" t="s">
        <v>28</v>
      </c>
      <c r="O205" s="151">
        <v>411144</v>
      </c>
      <c r="P205" s="151">
        <v>411144</v>
      </c>
      <c r="Q205" s="119">
        <f>500292+712.59</f>
        <v>501004.59</v>
      </c>
      <c r="R205" s="119">
        <v>538800</v>
      </c>
      <c r="S205" s="119">
        <v>615750</v>
      </c>
      <c r="T205" s="224"/>
      <c r="U205" s="224"/>
      <c r="V205" s="246"/>
      <c r="X205" s="39">
        <v>712.59</v>
      </c>
    </row>
    <row r="206" spans="1:24" s="39" customFormat="1" ht="29.25" customHeight="1" x14ac:dyDescent="0.2">
      <c r="A206" s="341"/>
      <c r="B206" s="313"/>
      <c r="C206" s="274"/>
      <c r="D206" s="363" t="s">
        <v>423</v>
      </c>
      <c r="E206" s="312" t="s">
        <v>42</v>
      </c>
      <c r="F206" s="313"/>
      <c r="G206" s="313"/>
      <c r="H206" s="313"/>
      <c r="I206" s="313"/>
      <c r="J206" s="313"/>
      <c r="K206" s="69" t="s">
        <v>281</v>
      </c>
      <c r="L206" s="69" t="s">
        <v>178</v>
      </c>
      <c r="M206" s="69" t="s">
        <v>392</v>
      </c>
      <c r="N206" s="18" t="s">
        <v>29</v>
      </c>
      <c r="O206" s="151"/>
      <c r="P206" s="151"/>
      <c r="Q206" s="119"/>
      <c r="R206" s="119"/>
      <c r="S206" s="119"/>
      <c r="T206" s="224"/>
      <c r="U206" s="224"/>
      <c r="V206" s="246"/>
      <c r="X206" s="39">
        <v>214.41</v>
      </c>
    </row>
    <row r="207" spans="1:24" s="39" customFormat="1" ht="29.25" customHeight="1" x14ac:dyDescent="0.2">
      <c r="A207" s="341"/>
      <c r="B207" s="313"/>
      <c r="C207" s="274"/>
      <c r="D207" s="334"/>
      <c r="E207" s="314"/>
      <c r="F207" s="313"/>
      <c r="G207" s="313"/>
      <c r="H207" s="313"/>
      <c r="I207" s="313"/>
      <c r="J207" s="313"/>
      <c r="K207" s="69" t="s">
        <v>281</v>
      </c>
      <c r="L207" s="69" t="s">
        <v>178</v>
      </c>
      <c r="M207" s="69" t="s">
        <v>392</v>
      </c>
      <c r="N207" s="18" t="s">
        <v>311</v>
      </c>
      <c r="O207" s="151">
        <v>124165.5</v>
      </c>
      <c r="P207" s="151">
        <v>124165.5</v>
      </c>
      <c r="Q207" s="119">
        <f>648965-500292+214.41</f>
        <v>148887.41</v>
      </c>
      <c r="R207" s="119">
        <f>701486-538800</f>
        <v>162686</v>
      </c>
      <c r="S207" s="119">
        <f>801699-615750</f>
        <v>185949</v>
      </c>
      <c r="T207" s="224"/>
      <c r="U207" s="224"/>
      <c r="V207" s="246"/>
    </row>
    <row r="208" spans="1:24" s="40" customFormat="1" ht="29.25" customHeight="1" x14ac:dyDescent="0.2">
      <c r="A208" s="341" t="s">
        <v>0</v>
      </c>
      <c r="B208" s="314"/>
      <c r="C208" s="274" t="s">
        <v>0</v>
      </c>
      <c r="D208" s="35" t="s">
        <v>177</v>
      </c>
      <c r="E208" s="81" t="s">
        <v>42</v>
      </c>
      <c r="F208" s="314"/>
      <c r="G208" s="314"/>
      <c r="H208" s="313"/>
      <c r="I208" s="314"/>
      <c r="J208" s="314"/>
      <c r="K208" s="69" t="s">
        <v>281</v>
      </c>
      <c r="L208" s="69" t="s">
        <v>178</v>
      </c>
      <c r="M208" s="69" t="s">
        <v>392</v>
      </c>
      <c r="N208" s="10" t="s">
        <v>282</v>
      </c>
      <c r="O208" s="93">
        <v>39434.699999999997</v>
      </c>
      <c r="P208" s="93">
        <v>39434.699999999997</v>
      </c>
      <c r="Q208" s="93">
        <v>41000</v>
      </c>
      <c r="R208" s="93">
        <v>57536</v>
      </c>
      <c r="S208" s="93">
        <v>27556</v>
      </c>
      <c r="T208" s="223"/>
      <c r="U208" s="223"/>
      <c r="V208" s="246"/>
    </row>
    <row r="209" spans="1:23" s="1" customFormat="1" ht="46.5" customHeight="1" x14ac:dyDescent="0.2">
      <c r="A209" s="53" t="s">
        <v>179</v>
      </c>
      <c r="B209" s="79" t="s">
        <v>180</v>
      </c>
      <c r="C209" s="75" t="s">
        <v>181</v>
      </c>
      <c r="D209" s="79" t="s">
        <v>270</v>
      </c>
      <c r="E209" s="79" t="s">
        <v>42</v>
      </c>
      <c r="F209" s="79" t="s">
        <v>446</v>
      </c>
      <c r="G209" s="16" t="s">
        <v>42</v>
      </c>
      <c r="H209" s="63" t="s">
        <v>447</v>
      </c>
      <c r="I209" s="36" t="s">
        <v>42</v>
      </c>
      <c r="J209" s="79" t="s">
        <v>168</v>
      </c>
      <c r="K209" s="13" t="s">
        <v>281</v>
      </c>
      <c r="L209" s="13" t="s">
        <v>152</v>
      </c>
      <c r="M209" s="13" t="s">
        <v>316</v>
      </c>
      <c r="N209" s="13" t="s">
        <v>282</v>
      </c>
      <c r="O209" s="152"/>
      <c r="P209" s="121"/>
      <c r="Q209" s="121"/>
      <c r="R209" s="121"/>
      <c r="S209" s="121"/>
      <c r="T209" s="212"/>
      <c r="U209" s="212"/>
      <c r="V209" s="238"/>
    </row>
    <row r="210" spans="1:23" ht="26.45" customHeight="1" x14ac:dyDescent="0.2">
      <c r="A210" s="5" t="s">
        <v>182</v>
      </c>
      <c r="B210" s="75" t="s">
        <v>183</v>
      </c>
      <c r="C210" s="75" t="s">
        <v>184</v>
      </c>
      <c r="D210" s="75" t="s">
        <v>0</v>
      </c>
      <c r="E210" s="75" t="s">
        <v>0</v>
      </c>
      <c r="F210" s="75" t="s">
        <v>0</v>
      </c>
      <c r="G210" s="75" t="s">
        <v>0</v>
      </c>
      <c r="H210" s="47"/>
      <c r="I210" s="75" t="s">
        <v>0</v>
      </c>
      <c r="J210" s="75" t="s">
        <v>0</v>
      </c>
      <c r="K210" s="12"/>
      <c r="L210" s="12"/>
      <c r="M210" s="12"/>
      <c r="N210" s="12"/>
      <c r="O210" s="135">
        <f>O211+O217+O229+O230+O231+O232+O241+O242+O243+O244</f>
        <v>21403215.550000001</v>
      </c>
      <c r="P210" s="135">
        <f>P211+P217+P229+P230+P231+P232+P241+P242+P243+P244</f>
        <v>18817924.34</v>
      </c>
      <c r="Q210" s="135">
        <f>Q211+Q217+Q229+Q230+Q231+Q232+Q241+Q242+Q243+Q244</f>
        <v>25743059.100000001</v>
      </c>
      <c r="R210" s="135">
        <f>R211+R217+R229+R230+R231+R232+R241+R242+R243+R244</f>
        <v>31979759.100000001</v>
      </c>
      <c r="S210" s="135">
        <f>S211+S217+S229+S230+S231+S232+S241+S242+S243+S244</f>
        <v>34563659.100000001</v>
      </c>
      <c r="T210" s="228"/>
      <c r="U210" s="228"/>
    </row>
    <row r="211" spans="1:23" s="39" customFormat="1" ht="26.45" customHeight="1" x14ac:dyDescent="0.2">
      <c r="A211" s="312" t="s">
        <v>185</v>
      </c>
      <c r="B211" s="312" t="s">
        <v>186</v>
      </c>
      <c r="C211" s="312" t="s">
        <v>187</v>
      </c>
      <c r="D211" s="312" t="s">
        <v>267</v>
      </c>
      <c r="E211" s="312" t="s">
        <v>269</v>
      </c>
      <c r="G211" s="35"/>
      <c r="H211" s="312" t="s">
        <v>421</v>
      </c>
      <c r="I211" s="312" t="s">
        <v>42</v>
      </c>
      <c r="J211" s="35" t="s">
        <v>6</v>
      </c>
      <c r="K211" s="45" t="s">
        <v>285</v>
      </c>
      <c r="L211" s="45" t="s">
        <v>301</v>
      </c>
      <c r="M211" s="45" t="s">
        <v>285</v>
      </c>
      <c r="N211" s="46" t="s">
        <v>285</v>
      </c>
      <c r="O211" s="150">
        <f>SUM(O212:O216)</f>
        <v>1517979.8</v>
      </c>
      <c r="P211" s="160">
        <f>SUM(P212:P216)</f>
        <v>1510307.0899999999</v>
      </c>
      <c r="Q211" s="160">
        <f>SUM(Q212:Q216)</f>
        <v>1825300</v>
      </c>
      <c r="R211" s="160">
        <f>SUM(R212:R216)</f>
        <v>1522000</v>
      </c>
      <c r="S211" s="160">
        <f>SUM(S212:S216)</f>
        <v>1522000</v>
      </c>
      <c r="T211" s="220"/>
      <c r="U211" s="220"/>
      <c r="V211" s="246"/>
    </row>
    <row r="212" spans="1:23" s="39" customFormat="1" ht="28.5" customHeight="1" x14ac:dyDescent="0.2">
      <c r="A212" s="313"/>
      <c r="B212" s="313"/>
      <c r="C212" s="313"/>
      <c r="D212" s="313"/>
      <c r="E212" s="313"/>
      <c r="F212" s="185" t="s">
        <v>435</v>
      </c>
      <c r="G212" s="185" t="s">
        <v>42</v>
      </c>
      <c r="H212" s="313"/>
      <c r="I212" s="313"/>
      <c r="J212" s="34">
        <v>1</v>
      </c>
      <c r="K212" s="56">
        <v>851</v>
      </c>
      <c r="L212" s="69" t="s">
        <v>127</v>
      </c>
      <c r="M212" s="69" t="s">
        <v>381</v>
      </c>
      <c r="N212" s="38" t="s">
        <v>28</v>
      </c>
      <c r="O212" s="90">
        <v>286276.01</v>
      </c>
      <c r="P212" s="90">
        <v>286276.01</v>
      </c>
      <c r="Q212" s="90">
        <v>388600</v>
      </c>
      <c r="R212" s="90">
        <v>323100</v>
      </c>
      <c r="S212" s="90">
        <v>323100</v>
      </c>
      <c r="T212" s="214"/>
      <c r="U212" s="214"/>
      <c r="V212" s="244"/>
      <c r="W212" s="39">
        <v>65500</v>
      </c>
    </row>
    <row r="213" spans="1:23" s="39" customFormat="1" ht="31.5" customHeight="1" x14ac:dyDescent="0.2">
      <c r="A213" s="313"/>
      <c r="B213" s="313"/>
      <c r="C213" s="313"/>
      <c r="D213" s="313"/>
      <c r="E213" s="313"/>
      <c r="F213" s="106" t="s">
        <v>515</v>
      </c>
      <c r="G213" s="106" t="s">
        <v>42</v>
      </c>
      <c r="H213" s="313"/>
      <c r="I213" s="313"/>
      <c r="J213" s="49">
        <v>1</v>
      </c>
      <c r="K213" s="56">
        <v>851</v>
      </c>
      <c r="L213" s="108" t="s">
        <v>127</v>
      </c>
      <c r="M213" s="108" t="s">
        <v>506</v>
      </c>
      <c r="N213" s="29" t="s">
        <v>28</v>
      </c>
      <c r="O213" s="90">
        <v>25500</v>
      </c>
      <c r="P213" s="90">
        <v>18877.29</v>
      </c>
      <c r="Q213" s="90">
        <v>30700</v>
      </c>
      <c r="R213" s="90">
        <v>25500</v>
      </c>
      <c r="S213" s="90">
        <v>25500</v>
      </c>
      <c r="T213" s="214"/>
      <c r="U213" s="214"/>
      <c r="V213" s="244"/>
      <c r="W213" s="39">
        <v>5200</v>
      </c>
    </row>
    <row r="214" spans="1:23" s="39" customFormat="1" ht="31.5" customHeight="1" x14ac:dyDescent="0.2">
      <c r="A214" s="313"/>
      <c r="B214" s="313"/>
      <c r="C214" s="313"/>
      <c r="D214" s="313"/>
      <c r="E214" s="313"/>
      <c r="F214" s="185" t="s">
        <v>437</v>
      </c>
      <c r="G214" s="185" t="s">
        <v>42</v>
      </c>
      <c r="H214" s="313"/>
      <c r="I214" s="313"/>
      <c r="J214" s="34">
        <v>1</v>
      </c>
      <c r="K214" s="56">
        <v>851</v>
      </c>
      <c r="L214" s="69" t="s">
        <v>127</v>
      </c>
      <c r="M214" s="69" t="s">
        <v>383</v>
      </c>
      <c r="N214" s="38" t="s">
        <v>28</v>
      </c>
      <c r="O214" s="90">
        <v>110297.41</v>
      </c>
      <c r="P214" s="90">
        <v>109247.41</v>
      </c>
      <c r="Q214" s="90">
        <v>167400</v>
      </c>
      <c r="R214" s="90">
        <v>138300</v>
      </c>
      <c r="S214" s="90">
        <v>138300</v>
      </c>
      <c r="T214" s="214"/>
      <c r="U214" s="214"/>
      <c r="V214" s="244"/>
      <c r="W214" s="39">
        <v>29100</v>
      </c>
    </row>
    <row r="215" spans="1:23" s="39" customFormat="1" ht="31.5" customHeight="1" x14ac:dyDescent="0.2">
      <c r="A215" s="313"/>
      <c r="B215" s="313"/>
      <c r="C215" s="313"/>
      <c r="D215" s="313"/>
      <c r="E215" s="313"/>
      <c r="F215" s="185" t="s">
        <v>438</v>
      </c>
      <c r="G215" s="185" t="s">
        <v>42</v>
      </c>
      <c r="H215" s="313"/>
      <c r="I215" s="313"/>
      <c r="J215" s="34">
        <v>1</v>
      </c>
      <c r="K215" s="56">
        <v>851</v>
      </c>
      <c r="L215" s="69" t="s">
        <v>127</v>
      </c>
      <c r="M215" s="69" t="s">
        <v>377</v>
      </c>
      <c r="N215" s="38" t="s">
        <v>28</v>
      </c>
      <c r="O215" s="90">
        <v>479828.53</v>
      </c>
      <c r="P215" s="90">
        <v>479828.53</v>
      </c>
      <c r="Q215" s="90">
        <v>418300</v>
      </c>
      <c r="R215" s="90">
        <v>349300</v>
      </c>
      <c r="S215" s="90">
        <v>349300</v>
      </c>
      <c r="T215" s="214"/>
      <c r="U215" s="214"/>
      <c r="V215" s="244"/>
      <c r="W215" s="39">
        <v>69000</v>
      </c>
    </row>
    <row r="216" spans="1:23" s="39" customFormat="1" ht="31.5" customHeight="1" x14ac:dyDescent="0.2">
      <c r="A216" s="313"/>
      <c r="B216" s="313"/>
      <c r="C216" s="313"/>
      <c r="D216" s="313"/>
      <c r="E216" s="313"/>
      <c r="F216" s="185" t="s">
        <v>436</v>
      </c>
      <c r="G216" s="185" t="s">
        <v>42</v>
      </c>
      <c r="H216" s="313"/>
      <c r="I216" s="313"/>
      <c r="J216" s="34">
        <v>1</v>
      </c>
      <c r="K216" s="69" t="s">
        <v>289</v>
      </c>
      <c r="L216" s="69" t="s">
        <v>66</v>
      </c>
      <c r="M216" s="69" t="s">
        <v>348</v>
      </c>
      <c r="N216" s="38" t="s">
        <v>28</v>
      </c>
      <c r="O216" s="90">
        <v>616077.85</v>
      </c>
      <c r="P216" s="90">
        <v>616077.85</v>
      </c>
      <c r="Q216" s="90">
        <v>820300</v>
      </c>
      <c r="R216" s="90">
        <v>685800</v>
      </c>
      <c r="S216" s="90">
        <v>685800</v>
      </c>
      <c r="T216" s="214"/>
      <c r="U216" s="214"/>
      <c r="V216" s="244"/>
      <c r="W216" s="39">
        <v>134500</v>
      </c>
    </row>
    <row r="217" spans="1:23" s="39" customFormat="1" ht="26.45" customHeight="1" x14ac:dyDescent="0.2">
      <c r="A217" s="260" t="s">
        <v>188</v>
      </c>
      <c r="B217" s="260" t="s">
        <v>189</v>
      </c>
      <c r="C217" s="260" t="s">
        <v>190</v>
      </c>
      <c r="D217" s="260" t="s">
        <v>267</v>
      </c>
      <c r="E217" s="260" t="s">
        <v>269</v>
      </c>
      <c r="F217" s="346" t="s">
        <v>435</v>
      </c>
      <c r="G217" s="63"/>
      <c r="H217" s="63" t="s">
        <v>0</v>
      </c>
      <c r="I217" s="63" t="s">
        <v>0</v>
      </c>
      <c r="J217" s="48">
        <v>1</v>
      </c>
      <c r="K217" s="42" t="s">
        <v>285</v>
      </c>
      <c r="L217" s="42" t="s">
        <v>301</v>
      </c>
      <c r="M217" s="42" t="s">
        <v>285</v>
      </c>
      <c r="N217" s="42" t="s">
        <v>285</v>
      </c>
      <c r="O217" s="150">
        <f t="shared" ref="O217:S217" si="32">SUM(O218:O228)</f>
        <v>1346651.2000000002</v>
      </c>
      <c r="P217" s="160">
        <f t="shared" si="32"/>
        <v>1300246.28</v>
      </c>
      <c r="Q217" s="160">
        <f t="shared" si="32"/>
        <v>922386</v>
      </c>
      <c r="R217" s="160">
        <f t="shared" si="32"/>
        <v>1225686</v>
      </c>
      <c r="S217" s="160">
        <f t="shared" si="32"/>
        <v>1225686</v>
      </c>
      <c r="T217" s="220"/>
      <c r="U217" s="220"/>
      <c r="V217" s="244"/>
    </row>
    <row r="218" spans="1:23" s="39" customFormat="1" ht="26.45" customHeight="1" x14ac:dyDescent="0.2">
      <c r="A218" s="260"/>
      <c r="B218" s="260"/>
      <c r="C218" s="260"/>
      <c r="D218" s="260"/>
      <c r="E218" s="260"/>
      <c r="F218" s="364"/>
      <c r="G218" s="260" t="s">
        <v>42</v>
      </c>
      <c r="H218" s="381" t="s">
        <v>449</v>
      </c>
      <c r="I218" s="346" t="s">
        <v>42</v>
      </c>
      <c r="J218" s="63">
        <v>1</v>
      </c>
      <c r="K218" s="56">
        <v>851</v>
      </c>
      <c r="L218" s="69" t="s">
        <v>127</v>
      </c>
      <c r="M218" s="69" t="s">
        <v>381</v>
      </c>
      <c r="N218" s="69" t="s">
        <v>311</v>
      </c>
      <c r="O218" s="90">
        <v>85980.66</v>
      </c>
      <c r="P218" s="90">
        <v>85980.66</v>
      </c>
      <c r="Q218" s="90">
        <v>117400</v>
      </c>
      <c r="R218" s="90">
        <v>97600</v>
      </c>
      <c r="S218" s="90">
        <v>97600</v>
      </c>
      <c r="T218" s="214"/>
      <c r="U218" s="214"/>
      <c r="V218" s="244"/>
      <c r="W218" s="39">
        <v>19800</v>
      </c>
    </row>
    <row r="219" spans="1:23" s="39" customFormat="1" ht="26.45" customHeight="1" x14ac:dyDescent="0.2">
      <c r="A219" s="260"/>
      <c r="B219" s="260"/>
      <c r="C219" s="260"/>
      <c r="D219" s="260"/>
      <c r="E219" s="260"/>
      <c r="F219" s="364"/>
      <c r="G219" s="260"/>
      <c r="H219" s="382"/>
      <c r="I219" s="364"/>
      <c r="J219" s="63">
        <v>1</v>
      </c>
      <c r="K219" s="56">
        <v>851</v>
      </c>
      <c r="L219" s="69" t="s">
        <v>127</v>
      </c>
      <c r="M219" s="69" t="s">
        <v>381</v>
      </c>
      <c r="N219" s="69" t="s">
        <v>282</v>
      </c>
      <c r="O219" s="90">
        <v>189396.33</v>
      </c>
      <c r="P219" s="90">
        <v>189396.33</v>
      </c>
      <c r="Q219" s="90">
        <v>91236</v>
      </c>
      <c r="R219" s="90">
        <v>176536</v>
      </c>
      <c r="S219" s="90">
        <v>176536</v>
      </c>
      <c r="T219" s="214"/>
      <c r="U219" s="214"/>
      <c r="V219" s="244"/>
      <c r="W219" s="39">
        <v>-85300</v>
      </c>
    </row>
    <row r="220" spans="1:23" s="39" customFormat="1" ht="26.45" customHeight="1" x14ac:dyDescent="0.2">
      <c r="A220" s="260"/>
      <c r="B220" s="260"/>
      <c r="C220" s="260"/>
      <c r="D220" s="260"/>
      <c r="E220" s="260"/>
      <c r="F220" s="365"/>
      <c r="G220" s="260"/>
      <c r="H220" s="382"/>
      <c r="I220" s="364"/>
      <c r="J220" s="49">
        <v>1</v>
      </c>
      <c r="K220" s="56">
        <v>851</v>
      </c>
      <c r="L220" s="69" t="s">
        <v>127</v>
      </c>
      <c r="M220" s="69" t="s">
        <v>382</v>
      </c>
      <c r="N220" s="29" t="s">
        <v>282</v>
      </c>
      <c r="O220" s="90">
        <v>200</v>
      </c>
      <c r="P220" s="90">
        <v>200</v>
      </c>
      <c r="Q220" s="90">
        <v>400</v>
      </c>
      <c r="R220" s="90">
        <v>400</v>
      </c>
      <c r="S220" s="90">
        <v>400</v>
      </c>
      <c r="T220" s="214"/>
      <c r="U220" s="214"/>
      <c r="V220" s="244"/>
    </row>
    <row r="221" spans="1:23" s="39" customFormat="1" ht="33" customHeight="1" x14ac:dyDescent="0.2">
      <c r="A221" s="260"/>
      <c r="B221" s="260"/>
      <c r="C221" s="260"/>
      <c r="D221" s="260"/>
      <c r="E221" s="260"/>
      <c r="F221" s="369" t="s">
        <v>515</v>
      </c>
      <c r="G221" s="346" t="s">
        <v>42</v>
      </c>
      <c r="H221" s="382"/>
      <c r="I221" s="364"/>
      <c r="J221" s="49">
        <v>1</v>
      </c>
      <c r="K221" s="56">
        <v>851</v>
      </c>
      <c r="L221" s="108" t="s">
        <v>127</v>
      </c>
      <c r="M221" s="108" t="s">
        <v>506</v>
      </c>
      <c r="N221" s="29" t="s">
        <v>311</v>
      </c>
      <c r="O221" s="90">
        <v>7700</v>
      </c>
      <c r="P221" s="90">
        <v>5786.66</v>
      </c>
      <c r="Q221" s="90">
        <v>9300</v>
      </c>
      <c r="R221" s="90">
        <v>7700</v>
      </c>
      <c r="S221" s="90">
        <v>7700</v>
      </c>
      <c r="T221" s="214"/>
      <c r="U221" s="214"/>
      <c r="V221" s="244"/>
      <c r="W221" s="39">
        <v>1600</v>
      </c>
    </row>
    <row r="222" spans="1:23" s="39" customFormat="1" ht="33" customHeight="1" x14ac:dyDescent="0.2">
      <c r="A222" s="260"/>
      <c r="B222" s="260"/>
      <c r="C222" s="260"/>
      <c r="D222" s="260"/>
      <c r="E222" s="260"/>
      <c r="F222" s="365"/>
      <c r="G222" s="368"/>
      <c r="H222" s="382"/>
      <c r="I222" s="364"/>
      <c r="J222" s="49">
        <v>1</v>
      </c>
      <c r="K222" s="56">
        <v>851</v>
      </c>
      <c r="L222" s="108" t="s">
        <v>127</v>
      </c>
      <c r="M222" s="108" t="s">
        <v>506</v>
      </c>
      <c r="N222" s="29" t="s">
        <v>282</v>
      </c>
      <c r="O222" s="90">
        <v>22965</v>
      </c>
      <c r="P222" s="90">
        <v>0</v>
      </c>
      <c r="Q222" s="90">
        <v>19724</v>
      </c>
      <c r="R222" s="90">
        <v>26524</v>
      </c>
      <c r="S222" s="90">
        <v>26524</v>
      </c>
      <c r="T222" s="214"/>
      <c r="U222" s="214"/>
      <c r="V222" s="244"/>
      <c r="W222" s="39">
        <v>-6800</v>
      </c>
    </row>
    <row r="223" spans="1:23" s="39" customFormat="1" ht="33" customHeight="1" x14ac:dyDescent="0.2">
      <c r="A223" s="260"/>
      <c r="B223" s="260"/>
      <c r="C223" s="260"/>
      <c r="D223" s="260"/>
      <c r="E223" s="260"/>
      <c r="F223" s="366" t="s">
        <v>437</v>
      </c>
      <c r="G223" s="260" t="s">
        <v>42</v>
      </c>
      <c r="H223" s="382"/>
      <c r="I223" s="364"/>
      <c r="J223" s="49">
        <v>1</v>
      </c>
      <c r="K223" s="56">
        <v>851</v>
      </c>
      <c r="L223" s="69" t="s">
        <v>127</v>
      </c>
      <c r="M223" s="69" t="s">
        <v>383</v>
      </c>
      <c r="N223" s="29" t="s">
        <v>311</v>
      </c>
      <c r="O223" s="90">
        <v>33364.33</v>
      </c>
      <c r="P223" s="90">
        <v>33364.33</v>
      </c>
      <c r="Q223" s="90">
        <v>50600</v>
      </c>
      <c r="R223" s="90">
        <v>41800</v>
      </c>
      <c r="S223" s="90">
        <v>41800</v>
      </c>
      <c r="T223" s="214"/>
      <c r="U223" s="214"/>
      <c r="V223" s="244"/>
      <c r="W223" s="39">
        <v>8800</v>
      </c>
    </row>
    <row r="224" spans="1:23" s="39" customFormat="1" ht="33" customHeight="1" x14ac:dyDescent="0.2">
      <c r="A224" s="260"/>
      <c r="B224" s="260"/>
      <c r="C224" s="260"/>
      <c r="D224" s="260"/>
      <c r="E224" s="260"/>
      <c r="F224" s="370"/>
      <c r="G224" s="260"/>
      <c r="H224" s="382"/>
      <c r="I224" s="364"/>
      <c r="J224" s="49">
        <v>1</v>
      </c>
      <c r="K224" s="56">
        <v>851</v>
      </c>
      <c r="L224" s="69" t="s">
        <v>127</v>
      </c>
      <c r="M224" s="69" t="s">
        <v>383</v>
      </c>
      <c r="N224" s="29" t="s">
        <v>282</v>
      </c>
      <c r="O224" s="90">
        <v>137165.26</v>
      </c>
      <c r="P224" s="90">
        <v>137165.26</v>
      </c>
      <c r="Q224" s="90">
        <v>80618</v>
      </c>
      <c r="R224" s="90">
        <v>118518</v>
      </c>
      <c r="S224" s="90">
        <v>118518</v>
      </c>
      <c r="T224" s="214"/>
      <c r="U224" s="214"/>
      <c r="V224" s="244"/>
      <c r="W224" s="39">
        <v>-37900</v>
      </c>
    </row>
    <row r="225" spans="1:23" s="39" customFormat="1" ht="33" customHeight="1" x14ac:dyDescent="0.2">
      <c r="A225" s="260"/>
      <c r="B225" s="260"/>
      <c r="C225" s="260"/>
      <c r="D225" s="260"/>
      <c r="E225" s="260"/>
      <c r="F225" s="366" t="s">
        <v>438</v>
      </c>
      <c r="G225" s="260" t="s">
        <v>42</v>
      </c>
      <c r="H225" s="382"/>
      <c r="I225" s="364"/>
      <c r="J225" s="49">
        <v>1</v>
      </c>
      <c r="K225" s="56">
        <v>851</v>
      </c>
      <c r="L225" s="69" t="s">
        <v>127</v>
      </c>
      <c r="M225" s="69" t="s">
        <v>377</v>
      </c>
      <c r="N225" s="29" t="s">
        <v>311</v>
      </c>
      <c r="O225" s="90">
        <v>144029.41</v>
      </c>
      <c r="P225" s="90">
        <v>144029.41</v>
      </c>
      <c r="Q225" s="90">
        <v>126400</v>
      </c>
      <c r="R225" s="90">
        <v>105500</v>
      </c>
      <c r="S225" s="90">
        <v>105500</v>
      </c>
      <c r="T225" s="214"/>
      <c r="U225" s="214"/>
      <c r="V225" s="244"/>
      <c r="W225" s="39">
        <v>20900</v>
      </c>
    </row>
    <row r="226" spans="1:23" s="39" customFormat="1" ht="33" customHeight="1" x14ac:dyDescent="0.2">
      <c r="A226" s="260"/>
      <c r="B226" s="260"/>
      <c r="C226" s="260"/>
      <c r="D226" s="260"/>
      <c r="E226" s="260"/>
      <c r="F226" s="370"/>
      <c r="G226" s="260"/>
      <c r="H226" s="383"/>
      <c r="I226" s="368"/>
      <c r="J226" s="49">
        <v>1</v>
      </c>
      <c r="K226" s="56">
        <v>851</v>
      </c>
      <c r="L226" s="69" t="s">
        <v>127</v>
      </c>
      <c r="M226" s="69" t="s">
        <v>377</v>
      </c>
      <c r="N226" s="29" t="s">
        <v>282</v>
      </c>
      <c r="O226" s="90">
        <v>218622.06</v>
      </c>
      <c r="P226" s="90">
        <v>218622.06</v>
      </c>
      <c r="Q226" s="90">
        <v>52536</v>
      </c>
      <c r="R226" s="90">
        <v>142436</v>
      </c>
      <c r="S226" s="90">
        <v>142436</v>
      </c>
      <c r="T226" s="214"/>
      <c r="U226" s="214"/>
      <c r="V226" s="244"/>
      <c r="W226" s="39">
        <v>-89900</v>
      </c>
    </row>
    <row r="227" spans="1:23" s="39" customFormat="1" ht="26.45" customHeight="1" x14ac:dyDescent="0.2">
      <c r="A227" s="260"/>
      <c r="B227" s="260"/>
      <c r="C227" s="260"/>
      <c r="D227" s="260"/>
      <c r="E227" s="260"/>
      <c r="F227" s="366" t="s">
        <v>436</v>
      </c>
      <c r="G227" s="260" t="s">
        <v>42</v>
      </c>
      <c r="H227" s="346" t="s">
        <v>447</v>
      </c>
      <c r="I227" s="346" t="s">
        <v>42</v>
      </c>
      <c r="J227" s="49">
        <v>1</v>
      </c>
      <c r="K227" s="69" t="s">
        <v>289</v>
      </c>
      <c r="L227" s="69" t="s">
        <v>66</v>
      </c>
      <c r="M227" s="69" t="s">
        <v>348</v>
      </c>
      <c r="N227" s="29" t="s">
        <v>311</v>
      </c>
      <c r="O227" s="90">
        <v>183022.15</v>
      </c>
      <c r="P227" s="90">
        <v>183021.56</v>
      </c>
      <c r="Q227" s="90">
        <v>247700</v>
      </c>
      <c r="R227" s="90">
        <v>207100</v>
      </c>
      <c r="S227" s="90">
        <v>207100</v>
      </c>
      <c r="T227" s="214"/>
      <c r="U227" s="214"/>
      <c r="V227" s="244"/>
      <c r="W227" s="39">
        <v>40600</v>
      </c>
    </row>
    <row r="228" spans="1:23" s="39" customFormat="1" ht="38.25" customHeight="1" x14ac:dyDescent="0.2">
      <c r="A228" s="260"/>
      <c r="B228" s="260"/>
      <c r="C228" s="260"/>
      <c r="D228" s="260"/>
      <c r="E228" s="260"/>
      <c r="F228" s="367"/>
      <c r="G228" s="260"/>
      <c r="H228" s="368"/>
      <c r="I228" s="368"/>
      <c r="J228" s="49">
        <v>1</v>
      </c>
      <c r="K228" s="69" t="s">
        <v>289</v>
      </c>
      <c r="L228" s="69" t="s">
        <v>66</v>
      </c>
      <c r="M228" s="69" t="s">
        <v>348</v>
      </c>
      <c r="N228" s="29" t="s">
        <v>282</v>
      </c>
      <c r="O228" s="151">
        <v>324206</v>
      </c>
      <c r="P228" s="119">
        <v>302680.01</v>
      </c>
      <c r="Q228" s="191">
        <v>126472</v>
      </c>
      <c r="R228" s="158">
        <v>301572</v>
      </c>
      <c r="S228" s="158">
        <v>301572</v>
      </c>
      <c r="T228" s="224"/>
      <c r="U228" s="224"/>
      <c r="V228" s="244"/>
      <c r="W228" s="39">
        <v>-175100</v>
      </c>
    </row>
    <row r="229" spans="1:23" s="39" customFormat="1" ht="36.75" customHeight="1" x14ac:dyDescent="0.2">
      <c r="A229" s="260" t="s">
        <v>191</v>
      </c>
      <c r="B229" s="260" t="s">
        <v>192</v>
      </c>
      <c r="C229" s="260" t="s">
        <v>193</v>
      </c>
      <c r="D229" s="260" t="s">
        <v>267</v>
      </c>
      <c r="E229" s="260" t="s">
        <v>269</v>
      </c>
      <c r="F229" s="260" t="s">
        <v>439</v>
      </c>
      <c r="G229" s="260" t="s">
        <v>42</v>
      </c>
      <c r="H229" s="260" t="s">
        <v>448</v>
      </c>
      <c r="I229" s="260" t="s">
        <v>0</v>
      </c>
      <c r="J229" s="260" t="s">
        <v>15</v>
      </c>
      <c r="K229" s="296" t="s">
        <v>281</v>
      </c>
      <c r="L229" s="349" t="s">
        <v>102</v>
      </c>
      <c r="M229" s="349" t="s">
        <v>560</v>
      </c>
      <c r="N229" s="157" t="s">
        <v>548</v>
      </c>
      <c r="O229" s="158"/>
      <c r="P229" s="158"/>
      <c r="Q229" s="158">
        <v>2392500</v>
      </c>
      <c r="R229" s="158"/>
      <c r="S229" s="158"/>
      <c r="T229" s="224"/>
      <c r="U229" s="224"/>
      <c r="V229" s="246"/>
    </row>
    <row r="230" spans="1:23" s="39" customFormat="1" ht="36.75" customHeight="1" x14ac:dyDescent="0.2">
      <c r="A230" s="260"/>
      <c r="B230" s="260"/>
      <c r="C230" s="260"/>
      <c r="D230" s="260"/>
      <c r="E230" s="260"/>
      <c r="F230" s="260"/>
      <c r="G230" s="260"/>
      <c r="H230" s="260"/>
      <c r="I230" s="260"/>
      <c r="J230" s="260"/>
      <c r="K230" s="296"/>
      <c r="L230" s="357"/>
      <c r="M230" s="357"/>
      <c r="N230" s="157" t="s">
        <v>291</v>
      </c>
      <c r="O230" s="151">
        <v>6420000</v>
      </c>
      <c r="P230" s="151">
        <v>6420000</v>
      </c>
      <c r="Q230" s="119">
        <v>10335600</v>
      </c>
      <c r="R230" s="119">
        <v>15503400</v>
      </c>
      <c r="S230" s="119">
        <v>18087300</v>
      </c>
      <c r="T230" s="224"/>
      <c r="U230" s="224"/>
      <c r="V230" s="246"/>
    </row>
    <row r="231" spans="1:23" s="39" customFormat="1" ht="143.25" customHeight="1" x14ac:dyDescent="0.2">
      <c r="A231" s="161" t="s">
        <v>194</v>
      </c>
      <c r="B231" s="155" t="s">
        <v>195</v>
      </c>
      <c r="C231" s="155" t="s">
        <v>196</v>
      </c>
      <c r="D231" s="155" t="s">
        <v>267</v>
      </c>
      <c r="E231" s="155" t="s">
        <v>268</v>
      </c>
      <c r="F231" s="155" t="s">
        <v>454</v>
      </c>
      <c r="G231" s="155" t="s">
        <v>42</v>
      </c>
      <c r="H231" s="155" t="s">
        <v>449</v>
      </c>
      <c r="I231" s="155" t="s">
        <v>42</v>
      </c>
      <c r="J231" s="155" t="s">
        <v>15</v>
      </c>
      <c r="K231" s="67" t="s">
        <v>289</v>
      </c>
      <c r="L231" s="67" t="s">
        <v>102</v>
      </c>
      <c r="M231" s="67" t="s">
        <v>331</v>
      </c>
      <c r="N231" s="156" t="s">
        <v>288</v>
      </c>
      <c r="O231" s="151">
        <v>187600</v>
      </c>
      <c r="P231" s="119">
        <v>57800</v>
      </c>
      <c r="Q231" s="119">
        <v>119600</v>
      </c>
      <c r="R231" s="158">
        <v>119600</v>
      </c>
      <c r="S231" s="158">
        <v>119600</v>
      </c>
      <c r="T231" s="224"/>
      <c r="U231" s="224"/>
      <c r="V231" s="246"/>
    </row>
    <row r="232" spans="1:23" s="39" customFormat="1" ht="33" customHeight="1" x14ac:dyDescent="0.2">
      <c r="A232" s="260" t="s">
        <v>197</v>
      </c>
      <c r="B232" s="260" t="s">
        <v>198</v>
      </c>
      <c r="C232" s="260" t="s">
        <v>199</v>
      </c>
      <c r="D232" s="260" t="s">
        <v>267</v>
      </c>
      <c r="E232" s="260" t="s">
        <v>268</v>
      </c>
      <c r="F232" s="260" t="s">
        <v>450</v>
      </c>
      <c r="G232" s="260" t="s">
        <v>42</v>
      </c>
      <c r="H232" s="146" t="s">
        <v>455</v>
      </c>
      <c r="I232" s="139" t="s">
        <v>0</v>
      </c>
      <c r="J232" s="147" t="s">
        <v>15</v>
      </c>
      <c r="K232" s="42" t="s">
        <v>285</v>
      </c>
      <c r="L232" s="42" t="s">
        <v>301</v>
      </c>
      <c r="M232" s="42" t="s">
        <v>285</v>
      </c>
      <c r="N232" s="42" t="s">
        <v>285</v>
      </c>
      <c r="O232" s="150">
        <f t="shared" ref="O232:S232" si="33">SUM(O233:O240)</f>
        <v>4605319</v>
      </c>
      <c r="P232" s="160">
        <f t="shared" si="33"/>
        <v>4538074.0199999996</v>
      </c>
      <c r="Q232" s="160">
        <f t="shared" si="33"/>
        <v>4666202</v>
      </c>
      <c r="R232" s="160">
        <f t="shared" si="33"/>
        <v>4957502</v>
      </c>
      <c r="S232" s="160">
        <f t="shared" si="33"/>
        <v>4957502</v>
      </c>
      <c r="T232" s="220"/>
      <c r="U232" s="220"/>
      <c r="V232" s="246"/>
    </row>
    <row r="233" spans="1:23" s="39" customFormat="1" ht="51" customHeight="1" x14ac:dyDescent="0.2">
      <c r="A233" s="260"/>
      <c r="B233" s="260"/>
      <c r="C233" s="260"/>
      <c r="D233" s="260"/>
      <c r="E233" s="260"/>
      <c r="F233" s="260"/>
      <c r="G233" s="260"/>
      <c r="H233" s="260" t="s">
        <v>448</v>
      </c>
      <c r="I233" s="260" t="s">
        <v>42</v>
      </c>
      <c r="J233" s="139"/>
      <c r="K233" s="296" t="s">
        <v>281</v>
      </c>
      <c r="L233" s="141" t="s">
        <v>59</v>
      </c>
      <c r="M233" s="69" t="s">
        <v>341</v>
      </c>
      <c r="N233" s="69" t="s">
        <v>293</v>
      </c>
      <c r="O233" s="151">
        <v>143000</v>
      </c>
      <c r="P233" s="151">
        <v>143000</v>
      </c>
      <c r="Q233" s="119">
        <f>156000-8000</f>
        <v>148000</v>
      </c>
      <c r="R233" s="158">
        <v>156000</v>
      </c>
      <c r="S233" s="158">
        <v>156000</v>
      </c>
      <c r="T233" s="224"/>
      <c r="U233" s="224"/>
      <c r="V233" s="246"/>
    </row>
    <row r="234" spans="1:23" s="39" customFormat="1" ht="51" customHeight="1" x14ac:dyDescent="0.2">
      <c r="A234" s="260"/>
      <c r="B234" s="260"/>
      <c r="C234" s="260"/>
      <c r="D234" s="260"/>
      <c r="E234" s="260"/>
      <c r="F234" s="260"/>
      <c r="G234" s="260" t="s">
        <v>42</v>
      </c>
      <c r="H234" s="260"/>
      <c r="I234" s="260"/>
      <c r="J234" s="139"/>
      <c r="K234" s="296"/>
      <c r="L234" s="141" t="s">
        <v>75</v>
      </c>
      <c r="M234" s="70" t="s">
        <v>343</v>
      </c>
      <c r="N234" s="70" t="s">
        <v>293</v>
      </c>
      <c r="O234" s="151">
        <v>109800</v>
      </c>
      <c r="P234" s="151">
        <v>109800</v>
      </c>
      <c r="Q234" s="119">
        <f>122400-8100</f>
        <v>114300</v>
      </c>
      <c r="R234" s="158">
        <v>122400</v>
      </c>
      <c r="S234" s="158">
        <v>122400</v>
      </c>
      <c r="T234" s="224"/>
      <c r="U234" s="224"/>
      <c r="V234" s="246"/>
    </row>
    <row r="235" spans="1:23" s="39" customFormat="1" ht="51" customHeight="1" x14ac:dyDescent="0.2">
      <c r="A235" s="260"/>
      <c r="B235" s="260"/>
      <c r="C235" s="260"/>
      <c r="D235" s="260"/>
      <c r="E235" s="260"/>
      <c r="F235" s="250" t="s">
        <v>451</v>
      </c>
      <c r="G235" s="260"/>
      <c r="H235" s="260" t="s">
        <v>449</v>
      </c>
      <c r="I235" s="260" t="s">
        <v>42</v>
      </c>
      <c r="J235" s="260"/>
      <c r="K235" s="296" t="s">
        <v>289</v>
      </c>
      <c r="L235" s="141" t="s">
        <v>47</v>
      </c>
      <c r="M235" s="69" t="s">
        <v>342</v>
      </c>
      <c r="N235" s="349" t="s">
        <v>293</v>
      </c>
      <c r="O235" s="151">
        <v>427000</v>
      </c>
      <c r="P235" s="151">
        <v>427000</v>
      </c>
      <c r="Q235" s="119">
        <f>456000-26000</f>
        <v>430000</v>
      </c>
      <c r="R235" s="158">
        <v>456000</v>
      </c>
      <c r="S235" s="158">
        <v>456000</v>
      </c>
      <c r="T235" s="224"/>
      <c r="U235" s="224"/>
      <c r="V235" s="246"/>
    </row>
    <row r="236" spans="1:23" s="39" customFormat="1" ht="51" customHeight="1" x14ac:dyDescent="0.2">
      <c r="A236" s="260"/>
      <c r="B236" s="260"/>
      <c r="C236" s="260"/>
      <c r="D236" s="260"/>
      <c r="E236" s="260"/>
      <c r="F236" s="250"/>
      <c r="G236" s="260" t="s">
        <v>42</v>
      </c>
      <c r="H236" s="260"/>
      <c r="I236" s="260"/>
      <c r="J236" s="260"/>
      <c r="K236" s="296"/>
      <c r="L236" s="141" t="s">
        <v>51</v>
      </c>
      <c r="M236" s="69" t="s">
        <v>342</v>
      </c>
      <c r="N236" s="356"/>
      <c r="O236" s="151">
        <v>1710600</v>
      </c>
      <c r="P236" s="151">
        <v>1710600</v>
      </c>
      <c r="Q236" s="119">
        <f>1791600-157000</f>
        <v>1634600</v>
      </c>
      <c r="R236" s="158">
        <v>1791600</v>
      </c>
      <c r="S236" s="158">
        <v>1791600</v>
      </c>
      <c r="T236" s="224"/>
      <c r="U236" s="224"/>
      <c r="V236" s="246"/>
    </row>
    <row r="237" spans="1:23" s="39" customFormat="1" ht="51" customHeight="1" x14ac:dyDescent="0.2">
      <c r="A237" s="260"/>
      <c r="B237" s="260"/>
      <c r="C237" s="260"/>
      <c r="D237" s="260"/>
      <c r="E237" s="260"/>
      <c r="F237" s="250" t="s">
        <v>452</v>
      </c>
      <c r="G237" s="260"/>
      <c r="H237" s="260"/>
      <c r="I237" s="260"/>
      <c r="J237" s="260"/>
      <c r="K237" s="296"/>
      <c r="L237" s="141" t="s">
        <v>59</v>
      </c>
      <c r="M237" s="69" t="s">
        <v>342</v>
      </c>
      <c r="N237" s="357"/>
      <c r="O237" s="151">
        <f>87600-29800</f>
        <v>57800</v>
      </c>
      <c r="P237" s="151">
        <f>87600-29800</f>
        <v>57800</v>
      </c>
      <c r="Q237" s="119"/>
      <c r="R237" s="158"/>
      <c r="S237" s="158"/>
      <c r="T237" s="224"/>
      <c r="U237" s="224"/>
      <c r="V237" s="246"/>
    </row>
    <row r="238" spans="1:23" s="39" customFormat="1" ht="51" customHeight="1" x14ac:dyDescent="0.2">
      <c r="A238" s="260"/>
      <c r="B238" s="260"/>
      <c r="C238" s="260"/>
      <c r="D238" s="260"/>
      <c r="E238" s="260"/>
      <c r="F238" s="250"/>
      <c r="G238" s="148" t="s">
        <v>42</v>
      </c>
      <c r="H238" s="260"/>
      <c r="I238" s="260"/>
      <c r="J238" s="260"/>
      <c r="K238" s="296"/>
      <c r="L238" s="141" t="s">
        <v>66</v>
      </c>
      <c r="M238" s="69" t="s">
        <v>342</v>
      </c>
      <c r="N238" s="69" t="s">
        <v>288</v>
      </c>
      <c r="O238" s="151">
        <v>1348200</v>
      </c>
      <c r="P238" s="151">
        <v>1348200</v>
      </c>
      <c r="Q238" s="119">
        <f>1411200-33600</f>
        <v>1377600</v>
      </c>
      <c r="R238" s="158">
        <v>1411200</v>
      </c>
      <c r="S238" s="158">
        <v>1411200</v>
      </c>
      <c r="T238" s="224"/>
      <c r="U238" s="224"/>
      <c r="V238" s="246"/>
    </row>
    <row r="239" spans="1:23" s="39" customFormat="1" ht="51" customHeight="1" x14ac:dyDescent="0.2">
      <c r="A239" s="260"/>
      <c r="B239" s="260"/>
      <c r="C239" s="260"/>
      <c r="D239" s="260"/>
      <c r="E239" s="260"/>
      <c r="F239" s="260" t="s">
        <v>453</v>
      </c>
      <c r="G239" s="260" t="s">
        <v>42</v>
      </c>
      <c r="H239" s="260"/>
      <c r="I239" s="260"/>
      <c r="J239" s="260"/>
      <c r="K239" s="296"/>
      <c r="L239" s="141" t="s">
        <v>102</v>
      </c>
      <c r="M239" s="140" t="s">
        <v>329</v>
      </c>
      <c r="N239" s="140" t="s">
        <v>321</v>
      </c>
      <c r="O239" s="145">
        <v>784919</v>
      </c>
      <c r="P239" s="145">
        <v>717674.02</v>
      </c>
      <c r="Q239" s="145">
        <f>932702-43000</f>
        <v>889702</v>
      </c>
      <c r="R239" s="145">
        <v>932702</v>
      </c>
      <c r="S239" s="145">
        <v>932702</v>
      </c>
      <c r="T239" s="224"/>
      <c r="U239" s="224"/>
      <c r="V239" s="246"/>
    </row>
    <row r="240" spans="1:23" s="39" customFormat="1" ht="51" customHeight="1" x14ac:dyDescent="0.2">
      <c r="A240" s="260"/>
      <c r="B240" s="260"/>
      <c r="C240" s="260"/>
      <c r="D240" s="260"/>
      <c r="E240" s="260"/>
      <c r="F240" s="260"/>
      <c r="G240" s="260"/>
      <c r="H240" s="260"/>
      <c r="I240" s="260"/>
      <c r="J240" s="260"/>
      <c r="K240" s="296"/>
      <c r="L240" s="141" t="s">
        <v>541</v>
      </c>
      <c r="M240" s="141" t="s">
        <v>342</v>
      </c>
      <c r="N240" s="141" t="s">
        <v>293</v>
      </c>
      <c r="O240" s="151">
        <v>24000</v>
      </c>
      <c r="P240" s="151">
        <v>24000</v>
      </c>
      <c r="Q240" s="142">
        <f>87600-15600</f>
        <v>72000</v>
      </c>
      <c r="R240" s="158">
        <v>87600</v>
      </c>
      <c r="S240" s="158">
        <v>87600</v>
      </c>
      <c r="T240" s="224"/>
      <c r="U240" s="224"/>
      <c r="V240" s="246"/>
    </row>
    <row r="241" spans="1:25" s="39" customFormat="1" ht="150" customHeight="1" x14ac:dyDescent="0.2">
      <c r="A241" s="376" t="s">
        <v>200</v>
      </c>
      <c r="B241" s="313" t="s">
        <v>201</v>
      </c>
      <c r="C241" s="313" t="s">
        <v>202</v>
      </c>
      <c r="D241" s="313" t="s">
        <v>267</v>
      </c>
      <c r="E241" s="313" t="s">
        <v>268</v>
      </c>
      <c r="F241" s="138" t="s">
        <v>440</v>
      </c>
      <c r="G241" s="62" t="s">
        <v>42</v>
      </c>
      <c r="H241" s="313" t="s">
        <v>449</v>
      </c>
      <c r="I241" s="313" t="s">
        <v>42</v>
      </c>
      <c r="J241" s="313" t="s">
        <v>15</v>
      </c>
      <c r="K241" s="295" t="s">
        <v>289</v>
      </c>
      <c r="L241" s="295" t="s">
        <v>102</v>
      </c>
      <c r="M241" s="295" t="s">
        <v>330</v>
      </c>
      <c r="N241" s="68" t="s">
        <v>290</v>
      </c>
      <c r="O241" s="144">
        <v>5193212</v>
      </c>
      <c r="P241" s="144">
        <v>3521550.08</v>
      </c>
      <c r="Q241" s="144">
        <f>5787068-2500000</f>
        <v>3287068</v>
      </c>
      <c r="R241" s="144">
        <v>5787068</v>
      </c>
      <c r="S241" s="144">
        <v>5787068</v>
      </c>
      <c r="T241" s="224"/>
      <c r="U241" s="224"/>
      <c r="V241" s="246"/>
    </row>
    <row r="242" spans="1:25" s="39" customFormat="1" ht="190.5" customHeight="1" x14ac:dyDescent="0.2">
      <c r="A242" s="351"/>
      <c r="B242" s="314"/>
      <c r="C242" s="314"/>
      <c r="D242" s="314"/>
      <c r="E242" s="314"/>
      <c r="F242" s="35" t="s">
        <v>441</v>
      </c>
      <c r="G242" s="35" t="s">
        <v>42</v>
      </c>
      <c r="H242" s="314"/>
      <c r="I242" s="314"/>
      <c r="J242" s="314"/>
      <c r="K242" s="294"/>
      <c r="L242" s="294"/>
      <c r="M242" s="294"/>
      <c r="N242" s="18" t="s">
        <v>321</v>
      </c>
      <c r="O242" s="151">
        <v>2018582</v>
      </c>
      <c r="P242" s="119">
        <v>1399075.32</v>
      </c>
      <c r="Q242" s="119">
        <f>2693760-670100</f>
        <v>2023660</v>
      </c>
      <c r="R242" s="158">
        <v>2693760</v>
      </c>
      <c r="S242" s="158">
        <v>2693760</v>
      </c>
      <c r="T242" s="224"/>
      <c r="U242" s="224"/>
      <c r="V242" s="246"/>
    </row>
    <row r="243" spans="1:25" s="1" customFormat="1" ht="34.5" customHeight="1" x14ac:dyDescent="0.2">
      <c r="A243" s="78" t="s">
        <v>203</v>
      </c>
      <c r="B243" s="79" t="s">
        <v>204</v>
      </c>
      <c r="C243" s="79" t="s">
        <v>205</v>
      </c>
      <c r="D243" s="79" t="s">
        <v>267</v>
      </c>
      <c r="E243" s="79" t="s">
        <v>268</v>
      </c>
      <c r="F243" s="79" t="s">
        <v>436</v>
      </c>
      <c r="G243" s="79" t="s">
        <v>42</v>
      </c>
      <c r="H243" s="79" t="s">
        <v>449</v>
      </c>
      <c r="I243" s="79" t="s">
        <v>42</v>
      </c>
      <c r="J243" s="79" t="s">
        <v>15</v>
      </c>
      <c r="K243" s="13" t="s">
        <v>289</v>
      </c>
      <c r="L243" s="13" t="s">
        <v>206</v>
      </c>
      <c r="M243" s="13" t="s">
        <v>326</v>
      </c>
      <c r="N243" s="13" t="s">
        <v>282</v>
      </c>
      <c r="O243" s="152">
        <v>50000</v>
      </c>
      <c r="P243" s="121">
        <v>7000</v>
      </c>
      <c r="Q243" s="121">
        <v>43000</v>
      </c>
      <c r="R243" s="159">
        <v>43000</v>
      </c>
      <c r="S243" s="159">
        <v>43000</v>
      </c>
      <c r="T243" s="212"/>
      <c r="U243" s="212"/>
      <c r="V243" s="238"/>
    </row>
    <row r="244" spans="1:25" s="1" customFormat="1" ht="123.75" customHeight="1" x14ac:dyDescent="0.2">
      <c r="A244" s="78" t="s">
        <v>207</v>
      </c>
      <c r="B244" s="79" t="s">
        <v>208</v>
      </c>
      <c r="C244" s="79" t="s">
        <v>209</v>
      </c>
      <c r="D244" s="79" t="s">
        <v>267</v>
      </c>
      <c r="E244" s="79" t="s">
        <v>268</v>
      </c>
      <c r="F244" s="79" t="s">
        <v>442</v>
      </c>
      <c r="G244" s="79" t="s">
        <v>42</v>
      </c>
      <c r="H244" s="79" t="s">
        <v>448</v>
      </c>
      <c r="I244" s="79" t="s">
        <v>42</v>
      </c>
      <c r="J244" s="79" t="s">
        <v>18</v>
      </c>
      <c r="K244" s="13" t="s">
        <v>281</v>
      </c>
      <c r="L244" s="13" t="s">
        <v>210</v>
      </c>
      <c r="M244" s="13" t="s">
        <v>372</v>
      </c>
      <c r="N244" s="13" t="s">
        <v>282</v>
      </c>
      <c r="O244" s="152">
        <v>63871.55</v>
      </c>
      <c r="P244" s="152">
        <v>63871.55</v>
      </c>
      <c r="Q244" s="121">
        <v>127743.1</v>
      </c>
      <c r="R244" s="159">
        <v>127743.1</v>
      </c>
      <c r="S244" s="159">
        <v>127743.1</v>
      </c>
      <c r="T244" s="212"/>
      <c r="U244" s="212"/>
      <c r="V244" s="238"/>
    </row>
    <row r="245" spans="1:25" ht="26.45" customHeight="1" x14ac:dyDescent="0.2">
      <c r="A245" s="4" t="s">
        <v>211</v>
      </c>
      <c r="B245" s="75" t="s">
        <v>212</v>
      </c>
      <c r="C245" s="75" t="s">
        <v>213</v>
      </c>
      <c r="D245" s="75" t="s">
        <v>0</v>
      </c>
      <c r="E245" s="75" t="s">
        <v>0</v>
      </c>
      <c r="F245" s="75" t="s">
        <v>0</v>
      </c>
      <c r="G245" s="75" t="s">
        <v>0</v>
      </c>
      <c r="H245" s="75" t="s">
        <v>0</v>
      </c>
      <c r="I245" s="75" t="s">
        <v>0</v>
      </c>
      <c r="J245" s="75" t="s">
        <v>0</v>
      </c>
      <c r="K245" s="12"/>
      <c r="L245" s="12"/>
      <c r="M245" s="12"/>
      <c r="N245" s="12"/>
      <c r="O245" s="95">
        <f t="shared" ref="O245:S245" si="34">O246+O248+O250</f>
        <v>120946289</v>
      </c>
      <c r="P245" s="95">
        <f t="shared" si="34"/>
        <v>120946289</v>
      </c>
      <c r="Q245" s="95">
        <f t="shared" si="34"/>
        <v>141173923</v>
      </c>
      <c r="R245" s="95">
        <f t="shared" si="34"/>
        <v>124740392</v>
      </c>
      <c r="S245" s="95">
        <f t="shared" si="34"/>
        <v>124740392</v>
      </c>
      <c r="T245" s="210"/>
      <c r="U245" s="210"/>
    </row>
    <row r="246" spans="1:25" s="1" customFormat="1" ht="143.25" customHeight="1" x14ac:dyDescent="0.2">
      <c r="A246" s="305" t="s">
        <v>214</v>
      </c>
      <c r="B246" s="79" t="s">
        <v>215</v>
      </c>
      <c r="C246" s="268" t="s">
        <v>216</v>
      </c>
      <c r="D246" s="79" t="s">
        <v>267</v>
      </c>
      <c r="E246" s="79" t="s">
        <v>268</v>
      </c>
      <c r="F246" s="79" t="s">
        <v>46</v>
      </c>
      <c r="G246" s="79" t="s">
        <v>42</v>
      </c>
      <c r="H246" s="262" t="s">
        <v>449</v>
      </c>
      <c r="I246" s="262" t="s">
        <v>42</v>
      </c>
      <c r="J246" s="262" t="s">
        <v>11</v>
      </c>
      <c r="K246" s="325" t="s">
        <v>289</v>
      </c>
      <c r="L246" s="325" t="s">
        <v>51</v>
      </c>
      <c r="M246" s="325" t="s">
        <v>395</v>
      </c>
      <c r="N246" s="325" t="s">
        <v>292</v>
      </c>
      <c r="O246" s="371">
        <f>23241246+28643371</f>
        <v>51884617</v>
      </c>
      <c r="P246" s="371">
        <f>23241246+28643371</f>
        <v>51884617</v>
      </c>
      <c r="Q246" s="371">
        <f>54688513+5333071.33</f>
        <v>60021584.329999998</v>
      </c>
      <c r="R246" s="371">
        <v>54688513</v>
      </c>
      <c r="S246" s="371">
        <v>54688513</v>
      </c>
      <c r="T246" s="212"/>
      <c r="U246" s="212"/>
      <c r="V246" s="238"/>
      <c r="X246" s="1">
        <f>27762444.85+32259139.48</f>
        <v>60021584.329999998</v>
      </c>
      <c r="Y246" s="235">
        <f>X246-Q246</f>
        <v>0</v>
      </c>
    </row>
    <row r="247" spans="1:25" ht="143.25" customHeight="1" x14ac:dyDescent="0.2">
      <c r="A247" s="305" t="s">
        <v>0</v>
      </c>
      <c r="B247" s="75" t="s">
        <v>215</v>
      </c>
      <c r="C247" s="268" t="s">
        <v>0</v>
      </c>
      <c r="D247" s="2" t="s">
        <v>456</v>
      </c>
      <c r="E247" s="75" t="s">
        <v>42</v>
      </c>
      <c r="F247" s="2" t="s">
        <v>457</v>
      </c>
      <c r="G247" s="2" t="s">
        <v>458</v>
      </c>
      <c r="H247" s="264"/>
      <c r="I247" s="264"/>
      <c r="J247" s="264"/>
      <c r="K247" s="326"/>
      <c r="L247" s="326"/>
      <c r="M247" s="326"/>
      <c r="N247" s="326"/>
      <c r="O247" s="371"/>
      <c r="P247" s="371"/>
      <c r="Q247" s="371"/>
      <c r="R247" s="371"/>
      <c r="S247" s="371"/>
      <c r="T247" s="212"/>
      <c r="U247" s="212"/>
      <c r="X247">
        <v>5333071.33</v>
      </c>
      <c r="Y247">
        <f>12867907-X247</f>
        <v>7534835.6699999999</v>
      </c>
    </row>
    <row r="248" spans="1:25" s="1" customFormat="1" ht="145.5" customHeight="1" x14ac:dyDescent="0.2">
      <c r="A248" s="305" t="s">
        <v>217</v>
      </c>
      <c r="B248" s="79" t="s">
        <v>218</v>
      </c>
      <c r="C248" s="268" t="s">
        <v>219</v>
      </c>
      <c r="D248" s="79" t="s">
        <v>267</v>
      </c>
      <c r="E248" s="79" t="s">
        <v>268</v>
      </c>
      <c r="F248" s="262" t="s">
        <v>46</v>
      </c>
      <c r="G248" s="262" t="s">
        <v>42</v>
      </c>
      <c r="H248" s="262" t="s">
        <v>449</v>
      </c>
      <c r="I248" s="262" t="s">
        <v>42</v>
      </c>
      <c r="J248" s="262" t="s">
        <v>11</v>
      </c>
      <c r="K248" s="325" t="s">
        <v>289</v>
      </c>
      <c r="L248" s="325" t="s">
        <v>51</v>
      </c>
      <c r="M248" s="325" t="s">
        <v>395</v>
      </c>
      <c r="N248" s="325" t="s">
        <v>292</v>
      </c>
      <c r="O248" s="152">
        <f>86339574-51884617</f>
        <v>34454957</v>
      </c>
      <c r="P248" s="152">
        <f>86339574-51884617</f>
        <v>34454957</v>
      </c>
      <c r="Q248" s="121">
        <f>33465938+7534835.67</f>
        <v>41000773.670000002</v>
      </c>
      <c r="R248" s="159">
        <v>33465938</v>
      </c>
      <c r="S248" s="159">
        <v>33465938</v>
      </c>
      <c r="T248" s="212"/>
      <c r="U248" s="212"/>
      <c r="V248" s="238"/>
    </row>
    <row r="249" spans="1:25" ht="145.5" customHeight="1" x14ac:dyDescent="0.2">
      <c r="A249" s="305" t="s">
        <v>0</v>
      </c>
      <c r="B249" s="75" t="s">
        <v>218</v>
      </c>
      <c r="C249" s="268" t="s">
        <v>0</v>
      </c>
      <c r="D249" s="2" t="s">
        <v>408</v>
      </c>
      <c r="E249" s="75" t="s">
        <v>42</v>
      </c>
      <c r="F249" s="263"/>
      <c r="G249" s="263"/>
      <c r="H249" s="264"/>
      <c r="I249" s="264"/>
      <c r="J249" s="264"/>
      <c r="K249" s="326"/>
      <c r="L249" s="326"/>
      <c r="M249" s="326"/>
      <c r="N249" s="326"/>
      <c r="O249" s="152"/>
      <c r="P249" s="167"/>
      <c r="Q249" s="121"/>
      <c r="R249" s="121"/>
      <c r="S249" s="121"/>
      <c r="T249" s="212"/>
      <c r="U249" s="212"/>
    </row>
    <row r="250" spans="1:25" s="1" customFormat="1" ht="74.25" customHeight="1" x14ac:dyDescent="0.2">
      <c r="A250" s="305" t="s">
        <v>220</v>
      </c>
      <c r="B250" s="79" t="s">
        <v>221</v>
      </c>
      <c r="C250" s="268" t="s">
        <v>222</v>
      </c>
      <c r="D250" s="79" t="s">
        <v>267</v>
      </c>
      <c r="E250" s="16" t="s">
        <v>268</v>
      </c>
      <c r="F250" s="250" t="s">
        <v>46</v>
      </c>
      <c r="G250" s="250" t="s">
        <v>42</v>
      </c>
      <c r="H250" s="269" t="s">
        <v>449</v>
      </c>
      <c r="I250" s="262" t="s">
        <v>0</v>
      </c>
      <c r="J250" s="262" t="s">
        <v>11</v>
      </c>
      <c r="K250" s="325" t="s">
        <v>289</v>
      </c>
      <c r="L250" s="325" t="s">
        <v>47</v>
      </c>
      <c r="M250" s="325" t="s">
        <v>344</v>
      </c>
      <c r="N250" s="325" t="s">
        <v>292</v>
      </c>
      <c r="O250" s="371">
        <v>34606715</v>
      </c>
      <c r="P250" s="371">
        <v>34606715</v>
      </c>
      <c r="Q250" s="371">
        <f>36585941+3565624</f>
        <v>40151565</v>
      </c>
      <c r="R250" s="371">
        <v>36585941</v>
      </c>
      <c r="S250" s="371">
        <v>36585941</v>
      </c>
      <c r="T250" s="212"/>
      <c r="U250" s="212"/>
      <c r="V250" s="238"/>
    </row>
    <row r="251" spans="1:25" ht="224.25" customHeight="1" x14ac:dyDescent="0.2">
      <c r="A251" s="305" t="s">
        <v>0</v>
      </c>
      <c r="B251" s="75" t="s">
        <v>221</v>
      </c>
      <c r="C251" s="268" t="s">
        <v>0</v>
      </c>
      <c r="D251" s="75" t="s">
        <v>52</v>
      </c>
      <c r="E251" s="109" t="s">
        <v>42</v>
      </c>
      <c r="F251" s="250"/>
      <c r="G251" s="250"/>
      <c r="H251" s="375"/>
      <c r="I251" s="264"/>
      <c r="J251" s="264"/>
      <c r="K251" s="326"/>
      <c r="L251" s="326"/>
      <c r="M251" s="326"/>
      <c r="N251" s="326"/>
      <c r="O251" s="371"/>
      <c r="P251" s="371"/>
      <c r="Q251" s="371"/>
      <c r="R251" s="371"/>
      <c r="S251" s="371"/>
      <c r="T251" s="212"/>
      <c r="U251" s="212"/>
    </row>
    <row r="252" spans="1:25" ht="26.45" customHeight="1" x14ac:dyDescent="0.2">
      <c r="A252" s="7" t="s">
        <v>223</v>
      </c>
      <c r="B252" s="75" t="s">
        <v>224</v>
      </c>
      <c r="C252" s="75" t="s">
        <v>225</v>
      </c>
      <c r="D252" s="75" t="s">
        <v>0</v>
      </c>
      <c r="E252" s="75" t="s">
        <v>0</v>
      </c>
      <c r="F252" s="102" t="s">
        <v>0</v>
      </c>
      <c r="G252" s="102" t="s">
        <v>0</v>
      </c>
      <c r="H252" s="75" t="s">
        <v>0</v>
      </c>
      <c r="I252" s="75" t="s">
        <v>0</v>
      </c>
      <c r="J252" s="75" t="s">
        <v>0</v>
      </c>
      <c r="K252" s="12"/>
      <c r="L252" s="12"/>
      <c r="M252" s="12"/>
      <c r="N252" s="12"/>
      <c r="O252" s="136">
        <f>O253+O254+O258</f>
        <v>15461550.859999999</v>
      </c>
      <c r="P252" s="136">
        <f t="shared" ref="P252:S252" si="35">P253+P254+P258</f>
        <v>15455718.42</v>
      </c>
      <c r="Q252" s="136">
        <f t="shared" si="35"/>
        <v>17280078.759999998</v>
      </c>
      <c r="R252" s="136">
        <f t="shared" si="35"/>
        <v>13102451</v>
      </c>
      <c r="S252" s="136">
        <f t="shared" si="35"/>
        <v>13154751</v>
      </c>
      <c r="T252" s="229"/>
      <c r="U252" s="229"/>
    </row>
    <row r="253" spans="1:25" s="1" customFormat="1" ht="51" customHeight="1" x14ac:dyDescent="0.2">
      <c r="A253" s="78" t="s">
        <v>226</v>
      </c>
      <c r="B253" s="79" t="s">
        <v>227</v>
      </c>
      <c r="C253" s="79" t="s">
        <v>228</v>
      </c>
      <c r="D253" s="79" t="s">
        <v>267</v>
      </c>
      <c r="E253" s="79" t="s">
        <v>42</v>
      </c>
      <c r="F253" s="79" t="s">
        <v>460</v>
      </c>
      <c r="G253" s="79" t="s">
        <v>42</v>
      </c>
      <c r="H253" s="79" t="s">
        <v>468</v>
      </c>
      <c r="I253" s="79" t="s">
        <v>0</v>
      </c>
      <c r="J253" s="79" t="s">
        <v>168</v>
      </c>
      <c r="K253" s="13">
        <v>853</v>
      </c>
      <c r="L253" s="13">
        <v>1401</v>
      </c>
      <c r="M253" s="13" t="s">
        <v>393</v>
      </c>
      <c r="N253" s="13">
        <v>511</v>
      </c>
      <c r="O253" s="152">
        <v>926300</v>
      </c>
      <c r="P253" s="152">
        <v>926300</v>
      </c>
      <c r="Q253" s="121">
        <v>928000</v>
      </c>
      <c r="R253" s="159">
        <v>928000</v>
      </c>
      <c r="S253" s="159">
        <v>928000</v>
      </c>
      <c r="T253" s="212"/>
      <c r="U253" s="212"/>
      <c r="V253" s="238"/>
    </row>
    <row r="254" spans="1:25" s="40" customFormat="1" ht="33" customHeight="1" x14ac:dyDescent="0.2">
      <c r="A254" s="52" t="s">
        <v>229</v>
      </c>
      <c r="B254" s="64" t="s">
        <v>230</v>
      </c>
      <c r="C254" s="64" t="s">
        <v>231</v>
      </c>
      <c r="D254" s="71" t="s">
        <v>0</v>
      </c>
      <c r="E254" s="71" t="s">
        <v>0</v>
      </c>
      <c r="F254" s="71" t="s">
        <v>0</v>
      </c>
      <c r="G254" s="71" t="s">
        <v>0</v>
      </c>
      <c r="H254" s="71" t="s">
        <v>0</v>
      </c>
      <c r="I254" s="64" t="s">
        <v>0</v>
      </c>
      <c r="J254" s="64" t="s">
        <v>168</v>
      </c>
      <c r="K254" s="11"/>
      <c r="L254" s="11"/>
      <c r="M254" s="11"/>
      <c r="N254" s="11"/>
      <c r="O254" s="137">
        <f t="shared" ref="O254" si="36">O255+O257</f>
        <v>1149889</v>
      </c>
      <c r="P254" s="137">
        <f t="shared" ref="P254:Q254" si="37">P255+P257</f>
        <v>1149889</v>
      </c>
      <c r="Q254" s="137">
        <f t="shared" si="37"/>
        <v>0</v>
      </c>
      <c r="R254" s="137">
        <f t="shared" ref="R254:S254" si="38">R255+R257</f>
        <v>0</v>
      </c>
      <c r="S254" s="137">
        <f t="shared" si="38"/>
        <v>0</v>
      </c>
      <c r="T254" s="230"/>
      <c r="U254" s="230"/>
      <c r="V254" s="246"/>
    </row>
    <row r="255" spans="1:25" s="40" customFormat="1" ht="27" customHeight="1" x14ac:dyDescent="0.2">
      <c r="A255" s="372" t="s">
        <v>232</v>
      </c>
      <c r="B255" s="64" t="s">
        <v>233</v>
      </c>
      <c r="C255" s="275" t="s">
        <v>234</v>
      </c>
      <c r="D255" s="82" t="s">
        <v>470</v>
      </c>
      <c r="E255" s="80" t="s">
        <v>42</v>
      </c>
      <c r="F255" s="280" t="s">
        <v>422</v>
      </c>
      <c r="G255" s="249" t="s">
        <v>42</v>
      </c>
      <c r="H255" s="260" t="s">
        <v>448</v>
      </c>
      <c r="I255" s="373" t="s">
        <v>42</v>
      </c>
      <c r="J255" s="332" t="s">
        <v>168</v>
      </c>
      <c r="K255" s="293" t="s">
        <v>281</v>
      </c>
      <c r="L255" s="293" t="s">
        <v>178</v>
      </c>
      <c r="M255" s="293" t="s">
        <v>392</v>
      </c>
      <c r="N255" s="293" t="s">
        <v>280</v>
      </c>
      <c r="O255" s="377">
        <f>1436862-287373</f>
        <v>1149489</v>
      </c>
      <c r="P255" s="377">
        <f>1436862-287373</f>
        <v>1149489</v>
      </c>
      <c r="Q255" s="377"/>
      <c r="R255" s="377"/>
      <c r="S255" s="377"/>
      <c r="T255" s="224"/>
      <c r="U255" s="224"/>
      <c r="V255" s="246"/>
    </row>
    <row r="256" spans="1:25" s="39" customFormat="1" ht="27" customHeight="1" x14ac:dyDescent="0.2">
      <c r="A256" s="372" t="s">
        <v>0</v>
      </c>
      <c r="B256" s="35" t="s">
        <v>233</v>
      </c>
      <c r="C256" s="275" t="s">
        <v>0</v>
      </c>
      <c r="D256" s="63" t="s">
        <v>469</v>
      </c>
      <c r="E256" s="63" t="s">
        <v>42</v>
      </c>
      <c r="F256" s="280"/>
      <c r="G256" s="249"/>
      <c r="H256" s="260"/>
      <c r="I256" s="374"/>
      <c r="J256" s="334"/>
      <c r="K256" s="294"/>
      <c r="L256" s="294"/>
      <c r="M256" s="294"/>
      <c r="N256" s="294"/>
      <c r="O256" s="377"/>
      <c r="P256" s="377"/>
      <c r="Q256" s="377"/>
      <c r="R256" s="377"/>
      <c r="S256" s="377"/>
      <c r="T256" s="224"/>
      <c r="U256" s="224"/>
      <c r="V256" s="246"/>
    </row>
    <row r="257" spans="1:24" s="39" customFormat="1" ht="83.25" customHeight="1" x14ac:dyDescent="0.2">
      <c r="A257" s="37" t="s">
        <v>235</v>
      </c>
      <c r="B257" s="35" t="s">
        <v>236</v>
      </c>
      <c r="C257" s="35" t="s">
        <v>237</v>
      </c>
      <c r="D257" s="62" t="s">
        <v>267</v>
      </c>
      <c r="E257" s="62" t="s">
        <v>42</v>
      </c>
      <c r="F257" s="62" t="s">
        <v>467</v>
      </c>
      <c r="G257" s="62" t="s">
        <v>42</v>
      </c>
      <c r="H257" s="62" t="s">
        <v>448</v>
      </c>
      <c r="I257" s="35" t="s">
        <v>0</v>
      </c>
      <c r="J257" s="35" t="s">
        <v>168</v>
      </c>
      <c r="K257" s="18" t="s">
        <v>281</v>
      </c>
      <c r="L257" s="18" t="s">
        <v>127</v>
      </c>
      <c r="M257" s="18" t="s">
        <v>382</v>
      </c>
      <c r="N257" s="18" t="s">
        <v>280</v>
      </c>
      <c r="O257" s="151">
        <f>200+200</f>
        <v>400</v>
      </c>
      <c r="P257" s="151">
        <f>200+200</f>
        <v>400</v>
      </c>
      <c r="Q257" s="119"/>
      <c r="R257" s="119"/>
      <c r="S257" s="119"/>
      <c r="T257" s="224"/>
      <c r="U257" s="224"/>
      <c r="V257" s="246"/>
    </row>
    <row r="258" spans="1:24" ht="26.45" customHeight="1" x14ac:dyDescent="0.2">
      <c r="A258" s="4" t="s">
        <v>238</v>
      </c>
      <c r="B258" s="75" t="s">
        <v>239</v>
      </c>
      <c r="C258" s="75" t="s">
        <v>240</v>
      </c>
      <c r="D258" s="75" t="s">
        <v>0</v>
      </c>
      <c r="E258" s="75" t="s">
        <v>0</v>
      </c>
      <c r="F258" s="75" t="s">
        <v>0</v>
      </c>
      <c r="G258" s="75" t="s">
        <v>0</v>
      </c>
      <c r="H258" s="75" t="s">
        <v>0</v>
      </c>
      <c r="I258" s="75" t="s">
        <v>0</v>
      </c>
      <c r="J258" s="75" t="s">
        <v>168</v>
      </c>
      <c r="K258" s="12"/>
      <c r="L258" s="12"/>
      <c r="M258" s="12"/>
      <c r="N258" s="12"/>
      <c r="O258" s="95">
        <f t="shared" ref="O258:S258" si="39">O259+O264</f>
        <v>13385361.859999999</v>
      </c>
      <c r="P258" s="95">
        <f t="shared" si="39"/>
        <v>13379529.42</v>
      </c>
      <c r="Q258" s="95">
        <f t="shared" si="39"/>
        <v>16352078.76</v>
      </c>
      <c r="R258" s="95">
        <f t="shared" si="39"/>
        <v>12174451</v>
      </c>
      <c r="S258" s="95">
        <f t="shared" si="39"/>
        <v>12226751</v>
      </c>
      <c r="T258" s="210"/>
      <c r="U258" s="210"/>
    </row>
    <row r="259" spans="1:24" ht="26.45" customHeight="1" x14ac:dyDescent="0.2">
      <c r="A259" s="5" t="s">
        <v>241</v>
      </c>
      <c r="B259" s="75" t="s">
        <v>242</v>
      </c>
      <c r="C259" s="75" t="s">
        <v>243</v>
      </c>
      <c r="D259" s="75" t="s">
        <v>0</v>
      </c>
      <c r="E259" s="75" t="s">
        <v>0</v>
      </c>
      <c r="F259" s="75" t="s">
        <v>0</v>
      </c>
      <c r="G259" s="75" t="s">
        <v>0</v>
      </c>
      <c r="H259" s="75" t="s">
        <v>0</v>
      </c>
      <c r="I259" s="75" t="s">
        <v>0</v>
      </c>
      <c r="J259" s="75" t="s">
        <v>168</v>
      </c>
      <c r="K259" s="12"/>
      <c r="L259" s="12"/>
      <c r="M259" s="12"/>
      <c r="N259" s="12"/>
      <c r="O259" s="132">
        <f>O260+O261+O262+O263</f>
        <v>9187361.8599999994</v>
      </c>
      <c r="P259" s="132">
        <f t="shared" ref="P259:S259" si="40">P260+P261+P262+P263</f>
        <v>9181529.4199999999</v>
      </c>
      <c r="Q259" s="132">
        <f t="shared" si="40"/>
        <v>10359778.76</v>
      </c>
      <c r="R259" s="132">
        <f t="shared" si="40"/>
        <v>9174451</v>
      </c>
      <c r="S259" s="132">
        <f t="shared" si="40"/>
        <v>9226751</v>
      </c>
      <c r="T259" s="211"/>
      <c r="U259" s="211"/>
    </row>
    <row r="260" spans="1:24" s="1" customFormat="1" ht="170.25" hidden="1" customHeight="1" x14ac:dyDescent="0.2">
      <c r="A260" s="78" t="s">
        <v>244</v>
      </c>
      <c r="B260" s="79" t="s">
        <v>245</v>
      </c>
      <c r="C260" s="79" t="s">
        <v>246</v>
      </c>
      <c r="D260" s="79" t="s">
        <v>267</v>
      </c>
      <c r="E260" s="79" t="s">
        <v>461</v>
      </c>
      <c r="F260" s="79" t="s">
        <v>0</v>
      </c>
      <c r="G260" s="79" t="s">
        <v>0</v>
      </c>
      <c r="H260" s="79" t="s">
        <v>463</v>
      </c>
      <c r="I260" s="79" t="s">
        <v>42</v>
      </c>
      <c r="J260" s="79" t="s">
        <v>0</v>
      </c>
      <c r="K260" s="13">
        <v>851</v>
      </c>
      <c r="L260" s="13" t="s">
        <v>138</v>
      </c>
      <c r="M260" s="13" t="s">
        <v>277</v>
      </c>
      <c r="N260" s="13" t="s">
        <v>279</v>
      </c>
      <c r="O260" s="152"/>
      <c r="P260" s="121"/>
      <c r="Q260" s="121"/>
      <c r="R260" s="121"/>
      <c r="S260" s="121"/>
      <c r="T260" s="212"/>
      <c r="U260" s="212"/>
      <c r="V260" s="238"/>
    </row>
    <row r="261" spans="1:24" s="1" customFormat="1" ht="217.5" customHeight="1" x14ac:dyDescent="0.2">
      <c r="A261" s="78" t="s">
        <v>247</v>
      </c>
      <c r="B261" s="79" t="s">
        <v>248</v>
      </c>
      <c r="C261" s="79" t="s">
        <v>249</v>
      </c>
      <c r="D261" s="79" t="s">
        <v>267</v>
      </c>
      <c r="E261" s="79" t="s">
        <v>461</v>
      </c>
      <c r="F261" s="79" t="s">
        <v>516</v>
      </c>
      <c r="G261" s="79" t="s">
        <v>42</v>
      </c>
      <c r="H261" s="51" t="s">
        <v>462</v>
      </c>
      <c r="I261" s="79" t="s">
        <v>42</v>
      </c>
      <c r="J261" s="79" t="s">
        <v>0</v>
      </c>
      <c r="K261" s="13">
        <v>851</v>
      </c>
      <c r="L261" s="13" t="s">
        <v>250</v>
      </c>
      <c r="M261" s="13" t="s">
        <v>373</v>
      </c>
      <c r="N261" s="13" t="s">
        <v>279</v>
      </c>
      <c r="O261" s="152">
        <f>7832000+1282811.78</f>
        <v>9114811.7799999993</v>
      </c>
      <c r="P261" s="121">
        <v>9108979.3399999999</v>
      </c>
      <c r="Q261" s="121">
        <v>10208945.76</v>
      </c>
      <c r="R261" s="121">
        <v>9101900</v>
      </c>
      <c r="S261" s="121">
        <v>9154200</v>
      </c>
      <c r="T261" s="212"/>
      <c r="U261" s="212"/>
      <c r="V261" s="238"/>
    </row>
    <row r="262" spans="1:24" s="1" customFormat="1" ht="237" customHeight="1" x14ac:dyDescent="0.2">
      <c r="A262" s="78" t="s">
        <v>251</v>
      </c>
      <c r="B262" s="79" t="s">
        <v>252</v>
      </c>
      <c r="C262" s="79" t="s">
        <v>253</v>
      </c>
      <c r="D262" s="79" t="s">
        <v>267</v>
      </c>
      <c r="E262" s="79" t="s">
        <v>461</v>
      </c>
      <c r="F262" s="79" t="s">
        <v>466</v>
      </c>
      <c r="G262" s="79" t="s">
        <v>0</v>
      </c>
      <c r="H262" s="79" t="s">
        <v>465</v>
      </c>
      <c r="I262" s="79" t="s">
        <v>42</v>
      </c>
      <c r="J262" s="79" t="s">
        <v>0</v>
      </c>
      <c r="K262" s="13">
        <v>851</v>
      </c>
      <c r="L262" s="13" t="s">
        <v>94</v>
      </c>
      <c r="M262" s="13" t="s">
        <v>278</v>
      </c>
      <c r="N262" s="13">
        <v>540</v>
      </c>
      <c r="O262" s="152"/>
      <c r="P262" s="121"/>
      <c r="Q262" s="121">
        <v>75000</v>
      </c>
      <c r="R262" s="121"/>
      <c r="S262" s="121"/>
      <c r="T262" s="212"/>
      <c r="U262" s="212"/>
      <c r="V262" s="238"/>
    </row>
    <row r="263" spans="1:24" s="1" customFormat="1" ht="161.25" customHeight="1" x14ac:dyDescent="0.2">
      <c r="A263" s="78" t="s">
        <v>99</v>
      </c>
      <c r="B263" s="79" t="s">
        <v>254</v>
      </c>
      <c r="C263" s="79" t="s">
        <v>255</v>
      </c>
      <c r="D263" s="79" t="s">
        <v>267</v>
      </c>
      <c r="E263" s="79" t="s">
        <v>461</v>
      </c>
      <c r="F263" s="79" t="s">
        <v>0</v>
      </c>
      <c r="G263" s="79" t="s">
        <v>0</v>
      </c>
      <c r="H263" s="79" t="s">
        <v>464</v>
      </c>
      <c r="I263" s="79" t="s">
        <v>42</v>
      </c>
      <c r="J263" s="79" t="s">
        <v>0</v>
      </c>
      <c r="K263" s="13">
        <v>851</v>
      </c>
      <c r="L263" s="13" t="s">
        <v>256</v>
      </c>
      <c r="M263" s="13" t="s">
        <v>370</v>
      </c>
      <c r="N263" s="13">
        <v>540</v>
      </c>
      <c r="O263" s="152">
        <f>66519+6031.08</f>
        <v>72550.080000000002</v>
      </c>
      <c r="P263" s="152">
        <f>66519+6031.08</f>
        <v>72550.080000000002</v>
      </c>
      <c r="Q263" s="121">
        <v>75833</v>
      </c>
      <c r="R263" s="159">
        <v>72551</v>
      </c>
      <c r="S263" s="159">
        <v>72551</v>
      </c>
      <c r="T263" s="212"/>
      <c r="U263" s="212"/>
      <c r="V263" s="238"/>
    </row>
    <row r="264" spans="1:24" ht="26.45" customHeight="1" x14ac:dyDescent="0.2">
      <c r="A264" s="5" t="s">
        <v>257</v>
      </c>
      <c r="B264" s="75" t="s">
        <v>258</v>
      </c>
      <c r="C264" s="75" t="s">
        <v>259</v>
      </c>
      <c r="D264" s="75" t="s">
        <v>0</v>
      </c>
      <c r="E264" s="75" t="s">
        <v>0</v>
      </c>
      <c r="F264" s="75" t="s">
        <v>0</v>
      </c>
      <c r="G264" s="75" t="s">
        <v>0</v>
      </c>
      <c r="H264" s="75" t="s">
        <v>0</v>
      </c>
      <c r="I264" s="75" t="s">
        <v>0</v>
      </c>
      <c r="J264" s="75" t="s">
        <v>168</v>
      </c>
      <c r="K264" s="12"/>
      <c r="L264" s="12"/>
      <c r="M264" s="12"/>
      <c r="N264" s="12"/>
      <c r="O264" s="132">
        <f t="shared" ref="O264:S264" si="41">O265</f>
        <v>4198000</v>
      </c>
      <c r="P264" s="132">
        <f t="shared" si="41"/>
        <v>4198000</v>
      </c>
      <c r="Q264" s="132">
        <f t="shared" si="41"/>
        <v>5992300</v>
      </c>
      <c r="R264" s="132">
        <f t="shared" si="41"/>
        <v>3000000</v>
      </c>
      <c r="S264" s="132">
        <f t="shared" si="41"/>
        <v>3000000</v>
      </c>
      <c r="T264" s="211"/>
      <c r="U264" s="211"/>
    </row>
    <row r="265" spans="1:24" s="1" customFormat="1" ht="32.25" customHeight="1" x14ac:dyDescent="0.2">
      <c r="A265" s="78" t="s">
        <v>260</v>
      </c>
      <c r="B265" s="79" t="s">
        <v>261</v>
      </c>
      <c r="C265" s="79" t="s">
        <v>262</v>
      </c>
      <c r="D265" s="79" t="s">
        <v>267</v>
      </c>
      <c r="E265" s="79" t="s">
        <v>42</v>
      </c>
      <c r="F265" s="79" t="s">
        <v>460</v>
      </c>
      <c r="G265" s="79" t="s">
        <v>0</v>
      </c>
      <c r="H265" s="79" t="s">
        <v>459</v>
      </c>
      <c r="I265" s="79" t="s">
        <v>42</v>
      </c>
      <c r="J265" s="79" t="s">
        <v>0</v>
      </c>
      <c r="K265" s="13">
        <v>853</v>
      </c>
      <c r="L265" s="13">
        <v>1402</v>
      </c>
      <c r="M265" s="13" t="s">
        <v>394</v>
      </c>
      <c r="N265" s="13">
        <v>512</v>
      </c>
      <c r="O265" s="152">
        <f>3000000+1198000</f>
        <v>4198000</v>
      </c>
      <c r="P265" s="152">
        <f>3000000+1198000</f>
        <v>4198000</v>
      </c>
      <c r="Q265" s="121">
        <v>5992300</v>
      </c>
      <c r="R265" s="121">
        <v>3000000</v>
      </c>
      <c r="S265" s="159">
        <v>3000000</v>
      </c>
      <c r="T265" s="212"/>
      <c r="U265" s="212"/>
      <c r="V265" s="243"/>
      <c r="W265" s="1">
        <v>580300</v>
      </c>
    </row>
    <row r="266" spans="1:24" ht="24.75" customHeight="1" x14ac:dyDescent="0.2">
      <c r="A266" s="4" t="s">
        <v>263</v>
      </c>
      <c r="B266" s="75" t="s">
        <v>14</v>
      </c>
      <c r="C266" s="75" t="s">
        <v>264</v>
      </c>
      <c r="D266" s="75" t="s">
        <v>0</v>
      </c>
      <c r="E266" s="75" t="s">
        <v>0</v>
      </c>
      <c r="F266" s="75" t="s">
        <v>0</v>
      </c>
      <c r="G266" s="75" t="s">
        <v>0</v>
      </c>
      <c r="H266" s="75" t="s">
        <v>0</v>
      </c>
      <c r="I266" s="75" t="s">
        <v>0</v>
      </c>
      <c r="J266" s="75" t="s">
        <v>0</v>
      </c>
      <c r="K266" s="12"/>
      <c r="L266" s="12"/>
      <c r="M266" s="12"/>
      <c r="N266" s="12"/>
      <c r="O266" s="95">
        <f>O10+O149+O201+O245</f>
        <v>332831623.75999999</v>
      </c>
      <c r="P266" s="95">
        <f>P10+P149+P201+P245</f>
        <v>326603825.93000001</v>
      </c>
      <c r="Q266" s="95">
        <f>Q10+Q149+Q201+Q245</f>
        <v>668071977.3599999</v>
      </c>
      <c r="R266" s="95">
        <f>R10+R149+R201+R245</f>
        <v>513270768.10000002</v>
      </c>
      <c r="S266" s="95">
        <f>S10+S149+S201+S245</f>
        <v>323635074.97000003</v>
      </c>
      <c r="T266" s="210"/>
      <c r="U266" s="210"/>
    </row>
    <row r="267" spans="1:24" ht="24.75" customHeight="1" x14ac:dyDescent="0.2">
      <c r="A267" s="3" t="s">
        <v>265</v>
      </c>
      <c r="B267" s="75" t="s">
        <v>14</v>
      </c>
      <c r="C267" s="75" t="s">
        <v>266</v>
      </c>
      <c r="D267" s="75" t="s">
        <v>0</v>
      </c>
      <c r="E267" s="75" t="s">
        <v>0</v>
      </c>
      <c r="F267" s="75" t="s">
        <v>0</v>
      </c>
      <c r="G267" s="75" t="s">
        <v>0</v>
      </c>
      <c r="H267" s="75" t="s">
        <v>0</v>
      </c>
      <c r="I267" s="75" t="s">
        <v>0</v>
      </c>
      <c r="J267" s="75" t="s">
        <v>0</v>
      </c>
      <c r="K267" s="12"/>
      <c r="L267" s="12"/>
      <c r="M267" s="12"/>
      <c r="N267" s="12"/>
      <c r="O267" s="96">
        <f t="shared" ref="O267:S267" si="42">O266+O252</f>
        <v>348293174.62</v>
      </c>
      <c r="P267" s="96">
        <f t="shared" si="42"/>
        <v>342059544.35000002</v>
      </c>
      <c r="Q267" s="96">
        <f t="shared" si="42"/>
        <v>685352056.11999989</v>
      </c>
      <c r="R267" s="96">
        <f t="shared" si="42"/>
        <v>526373219.10000002</v>
      </c>
      <c r="S267" s="96">
        <f t="shared" si="42"/>
        <v>336789825.97000003</v>
      </c>
      <c r="T267" s="209"/>
      <c r="U267" s="209"/>
      <c r="X267" s="9"/>
    </row>
    <row r="268" spans="1:24" x14ac:dyDescent="0.2">
      <c r="T268" s="9">
        <f>SUM(T9:T267)</f>
        <v>3960899.06</v>
      </c>
      <c r="U268" s="9">
        <f>SUM(U9:U267)</f>
        <v>7761727.2300000004</v>
      </c>
    </row>
    <row r="269" spans="1:24" s="238" customFormat="1" hidden="1" x14ac:dyDescent="0.2">
      <c r="K269" s="239"/>
      <c r="L269" s="239"/>
      <c r="M269" s="239"/>
      <c r="N269" s="239"/>
      <c r="O269" s="240">
        <v>348293174.62</v>
      </c>
      <c r="P269" s="238">
        <v>342059544.35000002</v>
      </c>
      <c r="Q269" s="240">
        <v>687484761.37</v>
      </c>
      <c r="R269" s="238">
        <v>526373219.10000002</v>
      </c>
      <c r="S269" s="238">
        <v>336789825.97000003</v>
      </c>
    </row>
    <row r="270" spans="1:24" s="238" customFormat="1" hidden="1" x14ac:dyDescent="0.2">
      <c r="O270" s="241">
        <f t="shared" ref="O270:P270" si="43">O269-O267</f>
        <v>0</v>
      </c>
      <c r="P270" s="241">
        <f t="shared" si="43"/>
        <v>0</v>
      </c>
      <c r="Q270" s="241">
        <f>Q269-Q267</f>
        <v>2132705.2500001192</v>
      </c>
      <c r="R270" s="241">
        <f t="shared" ref="R270:S270" si="44">R269-R267</f>
        <v>0</v>
      </c>
      <c r="S270" s="241">
        <f t="shared" si="44"/>
        <v>0</v>
      </c>
      <c r="T270" s="241"/>
      <c r="U270" s="241"/>
    </row>
    <row r="271" spans="1:24" s="238" customFormat="1" hidden="1" x14ac:dyDescent="0.2">
      <c r="N271" s="242">
        <v>857</v>
      </c>
      <c r="O271" s="241">
        <f>O193+O175+O174+O173+O143</f>
        <v>764367.71</v>
      </c>
      <c r="P271" s="241">
        <f>P193+P175+P174+P173+P143</f>
        <v>764343.7</v>
      </c>
      <c r="Q271" s="241">
        <f>Q193+Q175+Q174+Q173+Q143</f>
        <v>968050</v>
      </c>
      <c r="R271" s="241">
        <f>R193+R175+R174+R173+R143</f>
        <v>796000</v>
      </c>
      <c r="S271" s="241">
        <f>S193+S175+S174+S173+S143</f>
        <v>796000</v>
      </c>
      <c r="T271" s="241"/>
      <c r="U271" s="241"/>
    </row>
    <row r="272" spans="1:24" s="238" customFormat="1" hidden="1" x14ac:dyDescent="0.2">
      <c r="K272" s="239"/>
      <c r="L272" s="239"/>
      <c r="M272" s="239"/>
      <c r="N272" s="239" t="s">
        <v>308</v>
      </c>
      <c r="O272" s="243">
        <f>O192+O171+O172</f>
        <v>392700</v>
      </c>
      <c r="P272" s="243">
        <f>P192+P171+P172</f>
        <v>391500</v>
      </c>
      <c r="Q272" s="243">
        <f>Q192+Q171+Q172</f>
        <v>483800</v>
      </c>
      <c r="R272" s="243">
        <f>R192+R171+R172</f>
        <v>408000</v>
      </c>
      <c r="S272" s="243">
        <f>S192+S171+S172</f>
        <v>408000</v>
      </c>
      <c r="T272" s="243"/>
      <c r="U272" s="243"/>
    </row>
    <row r="273" spans="11:21" s="238" customFormat="1" hidden="1" x14ac:dyDescent="0.2">
      <c r="K273" s="239"/>
      <c r="L273" s="239"/>
      <c r="M273" s="239"/>
      <c r="N273" s="239" t="s">
        <v>286</v>
      </c>
      <c r="O273" s="243">
        <f>O265+O253+O191+O190+O189+O170+O169+O168+O167+O166+O142+O13</f>
        <v>12816076.84</v>
      </c>
      <c r="P273" s="243">
        <f>P265+P253+P191+P190+P189+P170+P169+P168+P167+P166+P142+P13</f>
        <v>11937546.140000001</v>
      </c>
      <c r="Q273" s="243">
        <f>Q265+Q253+Q191+Q190+Q189+Q170+Q169+Q168+Q167+Q166+Q142+Q13</f>
        <v>15851801.220000001</v>
      </c>
      <c r="R273" s="243">
        <f>R265+R253+R191+R190+R189+R170+R169+R168+R167+R166+R142+R13</f>
        <v>10642600</v>
      </c>
      <c r="S273" s="243">
        <f>S265+S253+S191+S190+S189+S170+S169+S168+S167+S166+S142+S13</f>
        <v>10642600</v>
      </c>
      <c r="T273" s="243"/>
      <c r="U273" s="243"/>
    </row>
    <row r="274" spans="11:21" s="238" customFormat="1" hidden="1" x14ac:dyDescent="0.2">
      <c r="K274" s="239"/>
      <c r="L274" s="239"/>
      <c r="M274" s="239"/>
      <c r="N274" s="239" t="s">
        <v>289</v>
      </c>
      <c r="O274" s="243">
        <f>O250+O248+O246+O243+O242+O241+O240+O239+O238+O237+O236+O235+O231+O228+O227+O216+O197+O188+O187+O186+O165+O164+O163+O162+O109+O108+O105+O67+O66+O65+O64+O63+O62+O61+O60+O59+O57+O56+O55+O54+O53+O52+O51+O50+O49+O31+O20+O15</f>
        <v>208964960.55000001</v>
      </c>
      <c r="P274" s="243">
        <f t="shared" ref="P274:S274" si="45">P250+P248+P246+P243+P242+P241+P240+P239+P238+P237+P236+P235+P231+P228+P227+P216+P197+P188+P187+P186+P165+P164+P163+P162+P109+P108+P105+P67+P66+P65+P64+P63+P62+P61+P60+P59+P57+P56+P55+P54+P53+P52+P51+P50+P49+P31+P20+P15</f>
        <v>205101684.32000005</v>
      </c>
      <c r="Q274" s="243">
        <f t="shared" si="45"/>
        <v>374957825.48000002</v>
      </c>
      <c r="R274" s="243">
        <f t="shared" si="45"/>
        <v>204480762.86000001</v>
      </c>
      <c r="S274" s="243">
        <f t="shared" si="45"/>
        <v>206106927.47999999</v>
      </c>
      <c r="T274" s="243"/>
      <c r="U274" s="243"/>
    </row>
    <row r="275" spans="11:21" s="238" customFormat="1" hidden="1" x14ac:dyDescent="0.2">
      <c r="K275" s="239"/>
      <c r="L275" s="239"/>
      <c r="M275" s="239"/>
      <c r="N275" s="239" t="s">
        <v>281</v>
      </c>
      <c r="O275" s="243">
        <f>O12+O14+O45+O46+O47+O48+O69+O70+O71+O72+O73+O74+O75+O76+O77+O78+O85+O94+O98+O107+O110+O111+O112+O113+O119+O124+O130+O137+O144+O145+O146+O147+O148+O151+O152+O153+O154+O155+O157+O158+O159+O160+O161+O176+O177+O178+O179+O180+O182+O183+O184+O185+O194+O195+O199+O200+O203+O204+O212+O213+O214+O215+O218+O219+O220+O221+O222+O223+O224+O225+O226+O229+O230+O233+O234+O244+O255+O257+O261+O262+O263</f>
        <v>125355069.52</v>
      </c>
      <c r="P275" s="243">
        <f t="shared" ref="P275:S275" si="46">P12+P14+P45+P46+P47+P48+P69+P70+P71+P72+P73+P74+P75+P76+P77+P78+P85+P94+P98+P107+P110+P111+P112+P113+P119+P124+P130+P137+P144+P145+P146+P147+P148+P151+P152+P153+P154+P155+P157+P158+P159+P160+P161+P176+P177+P178+P179+P180+P182+P183+P184+P185+P194+P195+P199+P200+P203+P204+P212+P213+P214+P215+P218+P219+P220+P221+P222+P223+P224+P225+P226+P229+P230+P233+P234+P244+P255+P257+P261+P262+P263</f>
        <v>123864470.18999998</v>
      </c>
      <c r="Q275" s="243">
        <f t="shared" si="46"/>
        <v>293090579.42000002</v>
      </c>
      <c r="R275" s="243">
        <f t="shared" si="46"/>
        <v>310045856.24000001</v>
      </c>
      <c r="S275" s="243">
        <f t="shared" si="46"/>
        <v>118836298.48999999</v>
      </c>
      <c r="T275" s="243"/>
      <c r="U275" s="243"/>
    </row>
    <row r="276" spans="11:21" s="238" customFormat="1" hidden="1" x14ac:dyDescent="0.2">
      <c r="K276" s="239"/>
      <c r="L276" s="239"/>
      <c r="M276" s="239"/>
      <c r="N276" s="239"/>
      <c r="O276" s="243">
        <f>O267-O271-O272-O273-O274-O275</f>
        <v>0</v>
      </c>
      <c r="P276" s="243">
        <f>P267-P271-P272-P273-P274-P275</f>
        <v>0</v>
      </c>
      <c r="Q276" s="243">
        <f>Q267-Q271-Q272-Q273-Q274-Q275</f>
        <v>0</v>
      </c>
      <c r="R276" s="243">
        <f>R267-R271-R272-R273-R274-R275</f>
        <v>0</v>
      </c>
      <c r="S276" s="243">
        <f>S267-S271-S272-S273-S274-S275</f>
        <v>0</v>
      </c>
      <c r="T276" s="243"/>
      <c r="U276" s="243"/>
    </row>
    <row r="277" spans="11:21" s="238" customFormat="1" hidden="1" x14ac:dyDescent="0.2">
      <c r="K277" s="239"/>
      <c r="L277" s="239"/>
      <c r="M277" s="239"/>
      <c r="N277" s="239"/>
      <c r="Q277" s="243"/>
      <c r="R277" s="243"/>
      <c r="S277" s="243"/>
      <c r="T277" s="243"/>
      <c r="U277" s="243"/>
    </row>
    <row r="278" spans="11:21" s="238" customFormat="1" hidden="1" x14ac:dyDescent="0.2">
      <c r="K278" s="239"/>
      <c r="L278" s="239"/>
      <c r="M278" s="239"/>
      <c r="N278" s="239"/>
    </row>
    <row r="279" spans="11:21" s="238" customFormat="1" hidden="1" x14ac:dyDescent="0.2">
      <c r="K279" s="239"/>
      <c r="L279" s="239"/>
      <c r="M279" s="239"/>
      <c r="N279" s="239"/>
      <c r="Q279" s="243">
        <f>Q275-Q280</f>
        <v>150946491.00000003</v>
      </c>
      <c r="R279" s="243">
        <f t="shared" ref="R279:S279" si="47">R275-R280</f>
        <v>196629787.36000001</v>
      </c>
      <c r="S279" s="243">
        <f t="shared" si="47"/>
        <v>3689707.2299999893</v>
      </c>
      <c r="T279" s="243"/>
      <c r="U279" s="243"/>
    </row>
    <row r="280" spans="11:21" s="238" customFormat="1" hidden="1" x14ac:dyDescent="0.2">
      <c r="K280" s="239"/>
      <c r="L280" s="239"/>
      <c r="M280" s="239"/>
      <c r="N280" s="239"/>
      <c r="Q280" s="238">
        <v>142144088.41999999</v>
      </c>
      <c r="R280" s="238">
        <v>113416068.88</v>
      </c>
      <c r="S280" s="238">
        <v>115146591.26000001</v>
      </c>
    </row>
    <row r="281" spans="11:21" s="238" customFormat="1" hidden="1" x14ac:dyDescent="0.2">
      <c r="K281" s="239"/>
      <c r="L281" s="239"/>
      <c r="M281" s="239"/>
      <c r="N281" s="239"/>
    </row>
    <row r="282" spans="11:21" s="238" customFormat="1" hidden="1" x14ac:dyDescent="0.2">
      <c r="K282" s="239"/>
      <c r="L282" s="239"/>
      <c r="M282" s="239"/>
      <c r="N282" s="239"/>
    </row>
    <row r="283" spans="11:21" s="238" customFormat="1" hidden="1" x14ac:dyDescent="0.2">
      <c r="K283" s="239"/>
      <c r="L283" s="239"/>
      <c r="M283" s="239"/>
      <c r="N283" s="239"/>
    </row>
    <row r="284" spans="11:21" s="238" customFormat="1" hidden="1" x14ac:dyDescent="0.2">
      <c r="K284" s="239"/>
      <c r="L284" s="239"/>
      <c r="M284" s="239"/>
      <c r="N284" s="239"/>
    </row>
    <row r="285" spans="11:21" s="238" customFormat="1" hidden="1" x14ac:dyDescent="0.2">
      <c r="K285" s="239"/>
      <c r="L285" s="239"/>
      <c r="M285" s="239"/>
      <c r="N285" s="239" t="s">
        <v>281</v>
      </c>
      <c r="Q285" s="238">
        <v>288211517.82999998</v>
      </c>
      <c r="R285" s="238">
        <v>308584127.18000001</v>
      </c>
      <c r="S285" s="238">
        <v>115146591.26000001</v>
      </c>
    </row>
    <row r="286" spans="11:21" s="238" customFormat="1" hidden="1" x14ac:dyDescent="0.2">
      <c r="K286" s="239"/>
      <c r="L286" s="239"/>
      <c r="M286" s="239"/>
      <c r="N286" s="239"/>
      <c r="Q286" s="243">
        <f>Q285-Q275</f>
        <v>-4879061.5900000334</v>
      </c>
      <c r="R286" s="243">
        <f t="shared" ref="R286:S286" si="48">R285-R275</f>
        <v>-1461729.0600000024</v>
      </c>
      <c r="S286" s="243">
        <f t="shared" si="48"/>
        <v>-3689707.2299999893</v>
      </c>
      <c r="T286" s="243"/>
      <c r="U286" s="243"/>
    </row>
    <row r="287" spans="11:21" s="238" customFormat="1" hidden="1" x14ac:dyDescent="0.2">
      <c r="K287" s="239"/>
      <c r="L287" s="239"/>
      <c r="M287" s="239"/>
      <c r="N287" s="239" t="s">
        <v>289</v>
      </c>
      <c r="Q287" s="238">
        <f>224971832.78</f>
        <v>224971832.78</v>
      </c>
      <c r="R287" s="238">
        <v>201981592.86000001</v>
      </c>
      <c r="S287" s="238">
        <v>202034907.47999999</v>
      </c>
    </row>
    <row r="288" spans="11:21" s="238" customFormat="1" x14ac:dyDescent="0.2">
      <c r="K288" s="239"/>
      <c r="L288" s="239"/>
      <c r="M288" s="239"/>
      <c r="N288" s="239"/>
      <c r="Q288" s="247"/>
      <c r="R288" s="247"/>
      <c r="S288" s="247"/>
      <c r="T288" s="243"/>
      <c r="U288" s="243"/>
    </row>
    <row r="289" spans="11:24" s="238" customFormat="1" x14ac:dyDescent="0.2">
      <c r="K289" s="239"/>
      <c r="L289" s="239"/>
      <c r="M289" s="239"/>
      <c r="N289" s="239"/>
      <c r="R289" s="248"/>
      <c r="S289" s="248"/>
    </row>
    <row r="290" spans="11:24" s="238" customFormat="1" x14ac:dyDescent="0.2">
      <c r="K290" s="239"/>
      <c r="L290" s="239"/>
      <c r="M290" s="239"/>
      <c r="N290" s="239"/>
      <c r="Q290" s="238">
        <v>685352056.12</v>
      </c>
      <c r="R290" s="248"/>
      <c r="S290" s="248"/>
      <c r="X290" s="243"/>
    </row>
    <row r="291" spans="11:24" s="238" customFormat="1" hidden="1" x14ac:dyDescent="0.2">
      <c r="K291" s="239"/>
      <c r="L291" s="239"/>
      <c r="M291" s="239"/>
      <c r="N291" s="239"/>
      <c r="Q291" s="238">
        <v>687484761.37</v>
      </c>
      <c r="R291" s="248"/>
      <c r="S291" s="248"/>
    </row>
    <row r="292" spans="11:24" s="238" customFormat="1" hidden="1" x14ac:dyDescent="0.2">
      <c r="K292" s="239"/>
      <c r="L292" s="239"/>
      <c r="M292" s="239"/>
      <c r="N292" s="239"/>
      <c r="Q292" s="243"/>
      <c r="R292" s="248"/>
      <c r="S292" s="248"/>
    </row>
    <row r="293" spans="11:24" s="238" customFormat="1" hidden="1" x14ac:dyDescent="0.2">
      <c r="K293" s="239"/>
      <c r="L293" s="239"/>
      <c r="M293" s="239"/>
      <c r="N293" s="239"/>
      <c r="Q293" s="243">
        <f>Q291-Q267</f>
        <v>2132705.2500001192</v>
      </c>
      <c r="R293" s="248"/>
      <c r="S293" s="248"/>
    </row>
    <row r="294" spans="11:24" s="238" customFormat="1" hidden="1" x14ac:dyDescent="0.2">
      <c r="K294" s="239"/>
      <c r="L294" s="239"/>
      <c r="M294" s="239"/>
      <c r="N294" s="239"/>
      <c r="R294" s="248"/>
      <c r="S294" s="248"/>
    </row>
    <row r="295" spans="11:24" s="238" customFormat="1" hidden="1" x14ac:dyDescent="0.2">
      <c r="K295" s="239"/>
      <c r="L295" s="239"/>
      <c r="M295" s="239"/>
      <c r="N295" s="239"/>
      <c r="Q295" s="243"/>
      <c r="R295" s="248"/>
      <c r="S295" s="248"/>
    </row>
    <row r="296" spans="11:24" s="238" customFormat="1" hidden="1" x14ac:dyDescent="0.2">
      <c r="K296" s="239"/>
      <c r="L296" s="239"/>
      <c r="M296" s="239"/>
      <c r="N296" s="239"/>
      <c r="Q296" s="238">
        <v>73366.23</v>
      </c>
      <c r="R296" s="248"/>
      <c r="S296" s="248"/>
    </row>
    <row r="297" spans="11:24" s="238" customFormat="1" hidden="1" x14ac:dyDescent="0.2">
      <c r="K297" s="239"/>
      <c r="L297" s="239"/>
      <c r="M297" s="239"/>
      <c r="N297" s="239"/>
      <c r="Q297" s="238">
        <v>8126827.4800000004</v>
      </c>
      <c r="R297" s="248"/>
      <c r="S297" s="248"/>
    </row>
    <row r="298" spans="11:24" s="238" customFormat="1" hidden="1" x14ac:dyDescent="0.2">
      <c r="K298" s="239"/>
      <c r="L298" s="239"/>
      <c r="M298" s="239"/>
      <c r="N298" s="239"/>
      <c r="Q298" s="238">
        <v>1042810</v>
      </c>
      <c r="R298" s="248"/>
      <c r="S298" s="248"/>
    </row>
    <row r="299" spans="11:24" s="238" customFormat="1" hidden="1" x14ac:dyDescent="0.2">
      <c r="K299" s="239"/>
      <c r="L299" s="239"/>
      <c r="M299" s="239"/>
      <c r="N299" s="239"/>
      <c r="Q299" s="238">
        <v>-139500</v>
      </c>
      <c r="R299" s="248"/>
      <c r="S299" s="248"/>
    </row>
    <row r="300" spans="11:24" s="238" customFormat="1" hidden="1" x14ac:dyDescent="0.2">
      <c r="K300" s="239"/>
      <c r="L300" s="239"/>
      <c r="M300" s="239"/>
      <c r="N300" s="239"/>
      <c r="Q300" s="238">
        <v>-8100</v>
      </c>
      <c r="R300" s="248"/>
      <c r="S300" s="248"/>
    </row>
    <row r="301" spans="11:24" s="238" customFormat="1" hidden="1" x14ac:dyDescent="0.2">
      <c r="K301" s="239"/>
      <c r="L301" s="239"/>
      <c r="M301" s="239"/>
      <c r="N301" s="239"/>
      <c r="Q301" s="238">
        <v>16193331</v>
      </c>
      <c r="R301" s="248"/>
      <c r="S301" s="248"/>
    </row>
    <row r="302" spans="11:24" s="238" customFormat="1" hidden="1" x14ac:dyDescent="0.2">
      <c r="K302" s="239"/>
      <c r="L302" s="239"/>
      <c r="M302" s="239"/>
      <c r="N302" s="239"/>
      <c r="Q302" s="238">
        <v>-3170100</v>
      </c>
      <c r="R302" s="248"/>
      <c r="S302" s="248"/>
    </row>
    <row r="303" spans="11:24" s="238" customFormat="1" hidden="1" x14ac:dyDescent="0.2">
      <c r="K303" s="239"/>
      <c r="L303" s="239"/>
      <c r="M303" s="239"/>
      <c r="N303" s="239"/>
      <c r="Q303" s="238">
        <v>-43000</v>
      </c>
      <c r="R303" s="248"/>
      <c r="S303" s="248"/>
    </row>
    <row r="304" spans="11:24" s="238" customFormat="1" hidden="1" x14ac:dyDescent="0.2">
      <c r="K304" s="239"/>
      <c r="L304" s="239"/>
      <c r="M304" s="239"/>
      <c r="N304" s="239"/>
      <c r="Q304" s="238">
        <v>927</v>
      </c>
      <c r="R304" s="248"/>
      <c r="S304" s="248"/>
    </row>
    <row r="305" spans="11:19" s="238" customFormat="1" hidden="1" x14ac:dyDescent="0.2">
      <c r="K305" s="239"/>
      <c r="L305" s="239"/>
      <c r="M305" s="239"/>
      <c r="N305" s="239"/>
      <c r="Q305" s="243">
        <f>Q293-Q296-Q297-Q298-Q299-Q300-Q301-Q302-Q303-Q304</f>
        <v>-19943856.459999882</v>
      </c>
      <c r="R305" s="248"/>
      <c r="S305" s="248"/>
    </row>
    <row r="306" spans="11:19" s="238" customFormat="1" x14ac:dyDescent="0.2">
      <c r="K306" s="239"/>
      <c r="L306" s="239"/>
      <c r="M306" s="239"/>
      <c r="N306" s="239"/>
      <c r="R306" s="248"/>
      <c r="S306" s="248"/>
    </row>
    <row r="307" spans="11:19" s="238" customFormat="1" x14ac:dyDescent="0.2">
      <c r="K307" s="239"/>
      <c r="L307" s="239"/>
      <c r="M307" s="239"/>
      <c r="N307" s="239"/>
      <c r="Q307" s="243">
        <f>Q267-Q290</f>
        <v>0</v>
      </c>
    </row>
    <row r="308" spans="11:19" s="238" customFormat="1" x14ac:dyDescent="0.2">
      <c r="K308" s="239"/>
      <c r="L308" s="239"/>
      <c r="M308" s="239"/>
      <c r="N308" s="239"/>
    </row>
    <row r="309" spans="11:19" s="238" customFormat="1" x14ac:dyDescent="0.2">
      <c r="K309" s="239"/>
      <c r="L309" s="239"/>
      <c r="M309" s="239"/>
      <c r="N309" s="239"/>
      <c r="Q309" s="248"/>
    </row>
    <row r="310" spans="11:19" s="238" customFormat="1" x14ac:dyDescent="0.2">
      <c r="K310" s="239"/>
      <c r="L310" s="239"/>
      <c r="M310" s="239"/>
      <c r="N310" s="239"/>
      <c r="Q310" s="248"/>
    </row>
    <row r="311" spans="11:19" s="238" customFormat="1" x14ac:dyDescent="0.2">
      <c r="K311" s="239"/>
      <c r="L311" s="239"/>
      <c r="M311" s="239"/>
      <c r="N311" s="239"/>
      <c r="Q311" s="248"/>
    </row>
    <row r="312" spans="11:19" s="238" customFormat="1" x14ac:dyDescent="0.2">
      <c r="K312" s="239"/>
      <c r="L312" s="239"/>
      <c r="M312" s="239"/>
      <c r="N312" s="239"/>
      <c r="Q312" s="248"/>
    </row>
    <row r="313" spans="11:19" s="238" customFormat="1" x14ac:dyDescent="0.2">
      <c r="K313" s="239"/>
      <c r="L313" s="239"/>
      <c r="M313" s="239"/>
      <c r="N313" s="239"/>
    </row>
    <row r="314" spans="11:19" s="238" customFormat="1" x14ac:dyDescent="0.2">
      <c r="K314" s="239"/>
      <c r="L314" s="239"/>
      <c r="M314" s="239"/>
      <c r="N314" s="239"/>
    </row>
    <row r="315" spans="11:19" s="238" customFormat="1" x14ac:dyDescent="0.2">
      <c r="K315" s="239"/>
      <c r="L315" s="239"/>
      <c r="M315" s="239"/>
      <c r="N315" s="239"/>
    </row>
    <row r="316" spans="11:19" s="238" customFormat="1" x14ac:dyDescent="0.2">
      <c r="K316" s="239"/>
      <c r="L316" s="239"/>
      <c r="M316" s="239"/>
      <c r="N316" s="239"/>
    </row>
    <row r="317" spans="11:19" s="238" customFormat="1" x14ac:dyDescent="0.2">
      <c r="K317" s="239"/>
      <c r="L317" s="239"/>
      <c r="M317" s="239"/>
      <c r="N317" s="239"/>
    </row>
    <row r="318" spans="11:19" s="238" customFormat="1" x14ac:dyDescent="0.2">
      <c r="K318" s="239"/>
      <c r="L318" s="239"/>
      <c r="M318" s="239"/>
      <c r="N318" s="239"/>
    </row>
    <row r="319" spans="11:19" s="238" customFormat="1" x14ac:dyDescent="0.2">
      <c r="K319" s="239"/>
      <c r="L319" s="239"/>
      <c r="M319" s="239"/>
      <c r="N319" s="239"/>
    </row>
    <row r="320" spans="11:19" s="238" customFormat="1" x14ac:dyDescent="0.2">
      <c r="K320" s="239"/>
      <c r="L320" s="239"/>
      <c r="M320" s="239"/>
      <c r="N320" s="239"/>
    </row>
    <row r="321" spans="11:14" s="238" customFormat="1" x14ac:dyDescent="0.2">
      <c r="K321" s="239"/>
      <c r="L321" s="239"/>
      <c r="M321" s="239"/>
      <c r="N321" s="239"/>
    </row>
    <row r="322" spans="11:14" s="238" customFormat="1" x14ac:dyDescent="0.2">
      <c r="K322" s="239"/>
      <c r="L322" s="239"/>
      <c r="M322" s="239"/>
      <c r="N322" s="239"/>
    </row>
    <row r="323" spans="11:14" s="238" customFormat="1" x14ac:dyDescent="0.2">
      <c r="K323" s="239"/>
      <c r="L323" s="239"/>
      <c r="M323" s="239"/>
      <c r="N323" s="239"/>
    </row>
    <row r="324" spans="11:14" s="238" customFormat="1" x14ac:dyDescent="0.2">
      <c r="K324" s="239"/>
      <c r="L324" s="239"/>
      <c r="M324" s="239"/>
      <c r="N324" s="239"/>
    </row>
    <row r="325" spans="11:14" s="238" customFormat="1" x14ac:dyDescent="0.2">
      <c r="K325" s="239"/>
      <c r="L325" s="239"/>
      <c r="M325" s="239"/>
      <c r="N325" s="239"/>
    </row>
    <row r="326" spans="11:14" s="238" customFormat="1" x14ac:dyDescent="0.2">
      <c r="K326" s="239"/>
      <c r="L326" s="239"/>
      <c r="M326" s="239"/>
      <c r="N326" s="239"/>
    </row>
    <row r="327" spans="11:14" s="238" customFormat="1" x14ac:dyDescent="0.2">
      <c r="K327" s="239"/>
      <c r="L327" s="239"/>
      <c r="M327" s="239"/>
      <c r="N327" s="239"/>
    </row>
    <row r="328" spans="11:14" s="238" customFormat="1" x14ac:dyDescent="0.2">
      <c r="K328" s="239"/>
      <c r="L328" s="239"/>
      <c r="M328" s="239"/>
      <c r="N328" s="239"/>
    </row>
    <row r="329" spans="11:14" s="238" customFormat="1" x14ac:dyDescent="0.2">
      <c r="K329" s="239"/>
      <c r="L329" s="239"/>
      <c r="M329" s="239"/>
      <c r="N329" s="239"/>
    </row>
    <row r="330" spans="11:14" s="238" customFormat="1" x14ac:dyDescent="0.2">
      <c r="K330" s="239"/>
      <c r="L330" s="239"/>
      <c r="M330" s="239"/>
      <c r="N330" s="239"/>
    </row>
    <row r="331" spans="11:14" s="238" customFormat="1" x14ac:dyDescent="0.2">
      <c r="K331" s="239"/>
      <c r="L331" s="239"/>
      <c r="M331" s="239"/>
      <c r="N331" s="239"/>
    </row>
    <row r="332" spans="11:14" s="238" customFormat="1" x14ac:dyDescent="0.2">
      <c r="K332" s="239"/>
      <c r="L332" s="239"/>
      <c r="M332" s="239"/>
      <c r="N332" s="239"/>
    </row>
    <row r="333" spans="11:14" s="238" customFormat="1" x14ac:dyDescent="0.2">
      <c r="K333" s="239"/>
      <c r="L333" s="239"/>
      <c r="M333" s="239"/>
      <c r="N333" s="239"/>
    </row>
    <row r="334" spans="11:14" s="238" customFormat="1" x14ac:dyDescent="0.2">
      <c r="K334" s="239"/>
      <c r="L334" s="239"/>
      <c r="M334" s="239"/>
      <c r="N334" s="239"/>
    </row>
    <row r="335" spans="11:14" s="238" customFormat="1" x14ac:dyDescent="0.2">
      <c r="K335" s="239"/>
      <c r="L335" s="239"/>
      <c r="M335" s="239"/>
      <c r="N335" s="239"/>
    </row>
    <row r="336" spans="11:14" s="238" customFormat="1" x14ac:dyDescent="0.2">
      <c r="K336" s="239"/>
      <c r="L336" s="239"/>
      <c r="M336" s="239"/>
      <c r="N336" s="239"/>
    </row>
    <row r="337" spans="11:14" s="238" customFormat="1" x14ac:dyDescent="0.2">
      <c r="K337" s="239"/>
      <c r="L337" s="239"/>
      <c r="M337" s="239"/>
      <c r="N337" s="239"/>
    </row>
    <row r="338" spans="11:14" s="238" customFormat="1" x14ac:dyDescent="0.2">
      <c r="K338" s="239"/>
      <c r="L338" s="239"/>
      <c r="M338" s="239"/>
      <c r="N338" s="239"/>
    </row>
    <row r="339" spans="11:14" s="238" customFormat="1" x14ac:dyDescent="0.2">
      <c r="K339" s="239"/>
      <c r="L339" s="239"/>
      <c r="M339" s="239"/>
      <c r="N339" s="239"/>
    </row>
    <row r="340" spans="11:14" s="238" customFormat="1" x14ac:dyDescent="0.2">
      <c r="K340" s="239"/>
      <c r="L340" s="239"/>
      <c r="M340" s="239"/>
      <c r="N340" s="239"/>
    </row>
    <row r="341" spans="11:14" s="238" customFormat="1" x14ac:dyDescent="0.2">
      <c r="K341" s="239"/>
      <c r="L341" s="239"/>
      <c r="M341" s="239"/>
      <c r="N341" s="239"/>
    </row>
    <row r="342" spans="11:14" s="238" customFormat="1" x14ac:dyDescent="0.2">
      <c r="K342" s="239"/>
      <c r="L342" s="239"/>
      <c r="M342" s="239"/>
      <c r="N342" s="239"/>
    </row>
    <row r="343" spans="11:14" s="238" customFormat="1" x14ac:dyDescent="0.2">
      <c r="K343" s="239"/>
      <c r="L343" s="239"/>
      <c r="M343" s="239"/>
      <c r="N343" s="239"/>
    </row>
    <row r="344" spans="11:14" s="238" customFormat="1" x14ac:dyDescent="0.2">
      <c r="K344" s="239"/>
      <c r="L344" s="239"/>
      <c r="M344" s="239"/>
      <c r="N344" s="239"/>
    </row>
    <row r="345" spans="11:14" s="238" customFormat="1" x14ac:dyDescent="0.2">
      <c r="K345" s="239"/>
      <c r="L345" s="239"/>
      <c r="M345" s="239"/>
      <c r="N345" s="239"/>
    </row>
    <row r="346" spans="11:14" s="238" customFormat="1" x14ac:dyDescent="0.2">
      <c r="K346" s="239"/>
      <c r="L346" s="239"/>
      <c r="M346" s="239"/>
      <c r="N346" s="239"/>
    </row>
    <row r="347" spans="11:14" s="238" customFormat="1" x14ac:dyDescent="0.2">
      <c r="K347" s="239"/>
      <c r="L347" s="239"/>
      <c r="M347" s="239"/>
      <c r="N347" s="239"/>
    </row>
    <row r="348" spans="11:14" s="238" customFormat="1" x14ac:dyDescent="0.2">
      <c r="K348" s="239"/>
      <c r="L348" s="239"/>
      <c r="M348" s="239"/>
      <c r="N348" s="239"/>
    </row>
    <row r="349" spans="11:14" s="238" customFormat="1" x14ac:dyDescent="0.2">
      <c r="K349" s="239"/>
      <c r="L349" s="239"/>
      <c r="M349" s="239"/>
      <c r="N349" s="239"/>
    </row>
    <row r="350" spans="11:14" s="238" customFormat="1" x14ac:dyDescent="0.2">
      <c r="K350" s="239"/>
      <c r="L350" s="239"/>
      <c r="M350" s="239"/>
      <c r="N350" s="239"/>
    </row>
    <row r="351" spans="11:14" s="238" customFormat="1" x14ac:dyDescent="0.2">
      <c r="K351" s="239"/>
      <c r="L351" s="239"/>
      <c r="M351" s="239"/>
      <c r="N351" s="239"/>
    </row>
    <row r="352" spans="11:14" s="238" customFormat="1" x14ac:dyDescent="0.2">
      <c r="K352" s="239"/>
      <c r="L352" s="239"/>
      <c r="M352" s="239"/>
      <c r="N352" s="239"/>
    </row>
    <row r="353" spans="11:14" s="238" customFormat="1" x14ac:dyDescent="0.2">
      <c r="K353" s="239"/>
      <c r="L353" s="239"/>
      <c r="M353" s="239"/>
      <c r="N353" s="239"/>
    </row>
    <row r="354" spans="11:14" s="238" customFormat="1" x14ac:dyDescent="0.2">
      <c r="K354" s="239"/>
      <c r="L354" s="239"/>
      <c r="M354" s="239"/>
      <c r="N354" s="239"/>
    </row>
    <row r="355" spans="11:14" s="238" customFormat="1" x14ac:dyDescent="0.2">
      <c r="K355" s="239"/>
      <c r="L355" s="239"/>
      <c r="M355" s="239"/>
      <c r="N355" s="239"/>
    </row>
    <row r="356" spans="11:14" s="238" customFormat="1" x14ac:dyDescent="0.2">
      <c r="K356" s="239"/>
      <c r="L356" s="239"/>
      <c r="M356" s="239"/>
      <c r="N356" s="239"/>
    </row>
    <row r="357" spans="11:14" s="238" customFormat="1" x14ac:dyDescent="0.2">
      <c r="K357" s="239"/>
      <c r="L357" s="239"/>
      <c r="M357" s="239"/>
      <c r="N357" s="239"/>
    </row>
    <row r="358" spans="11:14" s="238" customFormat="1" x14ac:dyDescent="0.2">
      <c r="K358" s="239"/>
      <c r="L358" s="239"/>
      <c r="M358" s="239"/>
      <c r="N358" s="239"/>
    </row>
    <row r="359" spans="11:14" s="238" customFormat="1" x14ac:dyDescent="0.2">
      <c r="K359" s="239"/>
      <c r="L359" s="239"/>
      <c r="M359" s="239"/>
      <c r="N359" s="239"/>
    </row>
    <row r="360" spans="11:14" s="238" customFormat="1" x14ac:dyDescent="0.2">
      <c r="K360" s="239"/>
      <c r="L360" s="239"/>
      <c r="M360" s="239"/>
      <c r="N360" s="239"/>
    </row>
    <row r="361" spans="11:14" s="238" customFormat="1" x14ac:dyDescent="0.2">
      <c r="K361" s="239"/>
      <c r="L361" s="239"/>
      <c r="M361" s="239"/>
      <c r="N361" s="239"/>
    </row>
    <row r="362" spans="11:14" s="238" customFormat="1" x14ac:dyDescent="0.2">
      <c r="K362" s="239"/>
      <c r="L362" s="239"/>
      <c r="M362" s="239"/>
      <c r="N362" s="239"/>
    </row>
    <row r="363" spans="11:14" s="238" customFormat="1" x14ac:dyDescent="0.2">
      <c r="K363" s="239"/>
      <c r="L363" s="239"/>
      <c r="M363" s="239"/>
      <c r="N363" s="239"/>
    </row>
    <row r="364" spans="11:14" s="238" customFormat="1" x14ac:dyDescent="0.2">
      <c r="K364" s="239"/>
      <c r="L364" s="239"/>
      <c r="M364" s="239"/>
      <c r="N364" s="239"/>
    </row>
    <row r="365" spans="11:14" s="238" customFormat="1" x14ac:dyDescent="0.2">
      <c r="K365" s="239"/>
      <c r="L365" s="239"/>
      <c r="M365" s="239"/>
      <c r="N365" s="239"/>
    </row>
    <row r="366" spans="11:14" s="238" customFormat="1" x14ac:dyDescent="0.2">
      <c r="K366" s="239"/>
      <c r="L366" s="239"/>
      <c r="M366" s="239"/>
      <c r="N366" s="239"/>
    </row>
    <row r="367" spans="11:14" s="238" customFormat="1" x14ac:dyDescent="0.2">
      <c r="K367" s="239"/>
      <c r="L367" s="239"/>
      <c r="M367" s="239"/>
      <c r="N367" s="239"/>
    </row>
    <row r="368" spans="11:14" s="238" customFormat="1" x14ac:dyDescent="0.2">
      <c r="K368" s="239"/>
      <c r="L368" s="239"/>
      <c r="M368" s="239"/>
      <c r="N368" s="239"/>
    </row>
    <row r="369" spans="11:14" s="238" customFormat="1" x14ac:dyDescent="0.2">
      <c r="K369" s="239"/>
      <c r="L369" s="239"/>
      <c r="M369" s="239"/>
      <c r="N369" s="239"/>
    </row>
    <row r="370" spans="11:14" s="238" customFormat="1" x14ac:dyDescent="0.2">
      <c r="K370" s="239"/>
      <c r="L370" s="239"/>
      <c r="M370" s="239"/>
      <c r="N370" s="239"/>
    </row>
    <row r="371" spans="11:14" s="238" customFormat="1" x14ac:dyDescent="0.2">
      <c r="K371" s="239"/>
      <c r="L371" s="239"/>
      <c r="M371" s="239"/>
      <c r="N371" s="239"/>
    </row>
    <row r="372" spans="11:14" s="238" customFormat="1" x14ac:dyDescent="0.2">
      <c r="K372" s="239"/>
      <c r="L372" s="239"/>
      <c r="M372" s="239"/>
      <c r="N372" s="239"/>
    </row>
    <row r="373" spans="11:14" s="238" customFormat="1" x14ac:dyDescent="0.2">
      <c r="K373" s="239"/>
      <c r="L373" s="239"/>
      <c r="M373" s="239"/>
      <c r="N373" s="239"/>
    </row>
    <row r="374" spans="11:14" s="238" customFormat="1" x14ac:dyDescent="0.2">
      <c r="K374" s="239"/>
      <c r="L374" s="239"/>
      <c r="M374" s="239"/>
      <c r="N374" s="239"/>
    </row>
    <row r="375" spans="11:14" s="238" customFormat="1" x14ac:dyDescent="0.2">
      <c r="K375" s="239"/>
      <c r="L375" s="239"/>
      <c r="M375" s="239"/>
      <c r="N375" s="239"/>
    </row>
    <row r="376" spans="11:14" s="238" customFormat="1" x14ac:dyDescent="0.2">
      <c r="K376" s="239"/>
      <c r="L376" s="239"/>
      <c r="M376" s="239"/>
      <c r="N376" s="239"/>
    </row>
    <row r="377" spans="11:14" s="238" customFormat="1" x14ac:dyDescent="0.2">
      <c r="K377" s="239"/>
      <c r="L377" s="239"/>
      <c r="M377" s="239"/>
      <c r="N377" s="239"/>
    </row>
    <row r="378" spans="11:14" s="238" customFormat="1" x14ac:dyDescent="0.2">
      <c r="K378" s="239"/>
      <c r="L378" s="239"/>
      <c r="M378" s="239"/>
      <c r="N378" s="239"/>
    </row>
    <row r="379" spans="11:14" s="238" customFormat="1" x14ac:dyDescent="0.2">
      <c r="K379" s="239"/>
      <c r="L379" s="239"/>
      <c r="M379" s="239"/>
      <c r="N379" s="239"/>
    </row>
    <row r="380" spans="11:14" s="238" customFormat="1" x14ac:dyDescent="0.2">
      <c r="K380" s="239"/>
      <c r="L380" s="239"/>
      <c r="M380" s="239"/>
      <c r="N380" s="239"/>
    </row>
    <row r="381" spans="11:14" s="238" customFormat="1" x14ac:dyDescent="0.2">
      <c r="K381" s="239"/>
      <c r="L381" s="239"/>
      <c r="M381" s="239"/>
      <c r="N381" s="239"/>
    </row>
    <row r="382" spans="11:14" s="238" customFormat="1" x14ac:dyDescent="0.2">
      <c r="K382" s="239"/>
      <c r="L382" s="239"/>
      <c r="M382" s="239"/>
      <c r="N382" s="239"/>
    </row>
    <row r="383" spans="11:14" s="238" customFormat="1" x14ac:dyDescent="0.2">
      <c r="K383" s="239"/>
      <c r="L383" s="239"/>
      <c r="M383" s="239"/>
      <c r="N383" s="239"/>
    </row>
    <row r="384" spans="11:14" s="238" customFormat="1" x14ac:dyDescent="0.2">
      <c r="K384" s="239"/>
      <c r="L384" s="239"/>
      <c r="M384" s="239"/>
      <c r="N384" s="239"/>
    </row>
    <row r="385" spans="11:14" s="238" customFormat="1" x14ac:dyDescent="0.2">
      <c r="K385" s="239"/>
      <c r="L385" s="239"/>
      <c r="M385" s="239"/>
      <c r="N385" s="239"/>
    </row>
    <row r="386" spans="11:14" s="238" customFormat="1" x14ac:dyDescent="0.2">
      <c r="K386" s="239"/>
      <c r="L386" s="239"/>
      <c r="M386" s="239"/>
      <c r="N386" s="239"/>
    </row>
    <row r="387" spans="11:14" s="238" customFormat="1" x14ac:dyDescent="0.2">
      <c r="K387" s="239"/>
      <c r="L387" s="239"/>
      <c r="M387" s="239"/>
      <c r="N387" s="239"/>
    </row>
    <row r="388" spans="11:14" s="238" customFormat="1" x14ac:dyDescent="0.2">
      <c r="K388" s="239"/>
      <c r="L388" s="239"/>
      <c r="M388" s="239"/>
      <c r="N388" s="239"/>
    </row>
    <row r="389" spans="11:14" s="238" customFormat="1" x14ac:dyDescent="0.2">
      <c r="K389" s="239"/>
      <c r="L389" s="239"/>
      <c r="M389" s="239"/>
      <c r="N389" s="239"/>
    </row>
    <row r="390" spans="11:14" s="238" customFormat="1" x14ac:dyDescent="0.2">
      <c r="K390" s="239"/>
      <c r="L390" s="239"/>
      <c r="M390" s="239"/>
      <c r="N390" s="239"/>
    </row>
    <row r="391" spans="11:14" s="238" customFormat="1" x14ac:dyDescent="0.2">
      <c r="K391" s="239"/>
      <c r="L391" s="239"/>
      <c r="M391" s="239"/>
      <c r="N391" s="239"/>
    </row>
    <row r="392" spans="11:14" s="238" customFormat="1" x14ac:dyDescent="0.2">
      <c r="K392" s="239"/>
      <c r="L392" s="239"/>
      <c r="M392" s="239"/>
      <c r="N392" s="239"/>
    </row>
    <row r="393" spans="11:14" s="238" customFormat="1" x14ac:dyDescent="0.2">
      <c r="K393" s="239"/>
      <c r="L393" s="239"/>
      <c r="M393" s="239"/>
      <c r="N393" s="239"/>
    </row>
    <row r="394" spans="11:14" s="238" customFormat="1" x14ac:dyDescent="0.2">
      <c r="K394" s="239"/>
      <c r="L394" s="239"/>
      <c r="M394" s="239"/>
      <c r="N394" s="239"/>
    </row>
    <row r="395" spans="11:14" s="238" customFormat="1" x14ac:dyDescent="0.2">
      <c r="K395" s="239"/>
      <c r="L395" s="239"/>
      <c r="M395" s="239"/>
      <c r="N395" s="239"/>
    </row>
    <row r="396" spans="11:14" s="238" customFormat="1" x14ac:dyDescent="0.2">
      <c r="K396" s="239"/>
      <c r="L396" s="239"/>
      <c r="M396" s="239"/>
      <c r="N396" s="239"/>
    </row>
    <row r="397" spans="11:14" s="238" customFormat="1" x14ac:dyDescent="0.2">
      <c r="K397" s="239"/>
      <c r="L397" s="239"/>
      <c r="M397" s="239"/>
      <c r="N397" s="239"/>
    </row>
    <row r="398" spans="11:14" s="238" customFormat="1" x14ac:dyDescent="0.2">
      <c r="K398" s="239"/>
      <c r="L398" s="239"/>
      <c r="M398" s="239"/>
      <c r="N398" s="239"/>
    </row>
    <row r="399" spans="11:14" s="238" customFormat="1" x14ac:dyDescent="0.2">
      <c r="K399" s="239"/>
      <c r="L399" s="239"/>
      <c r="M399" s="239"/>
      <c r="N399" s="239"/>
    </row>
    <row r="400" spans="11:14" s="238" customFormat="1" x14ac:dyDescent="0.2">
      <c r="K400" s="239"/>
      <c r="L400" s="239"/>
      <c r="M400" s="239"/>
      <c r="N400" s="239"/>
    </row>
    <row r="401" spans="11:14" s="238" customFormat="1" x14ac:dyDescent="0.2">
      <c r="K401" s="239"/>
      <c r="L401" s="239"/>
      <c r="M401" s="239"/>
      <c r="N401" s="239"/>
    </row>
    <row r="402" spans="11:14" s="238" customFormat="1" x14ac:dyDescent="0.2">
      <c r="K402" s="239"/>
      <c r="L402" s="239"/>
      <c r="M402" s="239"/>
      <c r="N402" s="239"/>
    </row>
    <row r="403" spans="11:14" s="238" customFormat="1" x14ac:dyDescent="0.2">
      <c r="K403" s="239"/>
      <c r="L403" s="239"/>
      <c r="M403" s="239"/>
      <c r="N403" s="239"/>
    </row>
    <row r="404" spans="11:14" s="238" customFormat="1" x14ac:dyDescent="0.2">
      <c r="K404" s="239"/>
      <c r="L404" s="239"/>
      <c r="M404" s="239"/>
      <c r="N404" s="239"/>
    </row>
    <row r="405" spans="11:14" s="238" customFormat="1" x14ac:dyDescent="0.2">
      <c r="K405" s="239"/>
      <c r="L405" s="239"/>
      <c r="M405" s="239"/>
      <c r="N405" s="239"/>
    </row>
    <row r="406" spans="11:14" s="238" customFormat="1" x14ac:dyDescent="0.2">
      <c r="K406" s="239"/>
      <c r="L406" s="239"/>
      <c r="M406" s="239"/>
      <c r="N406" s="239"/>
    </row>
    <row r="407" spans="11:14" s="238" customFormat="1" x14ac:dyDescent="0.2">
      <c r="K407" s="239"/>
      <c r="L407" s="239"/>
      <c r="M407" s="239"/>
      <c r="N407" s="239"/>
    </row>
    <row r="408" spans="11:14" s="238" customFormat="1" x14ac:dyDescent="0.2">
      <c r="K408" s="239"/>
      <c r="L408" s="239"/>
      <c r="M408" s="239"/>
      <c r="N408" s="239"/>
    </row>
    <row r="409" spans="11:14" s="238" customFormat="1" x14ac:dyDescent="0.2">
      <c r="K409" s="239"/>
      <c r="L409" s="239"/>
      <c r="M409" s="239"/>
      <c r="N409" s="239"/>
    </row>
    <row r="410" spans="11:14" s="238" customFormat="1" x14ac:dyDescent="0.2">
      <c r="K410" s="239"/>
      <c r="L410" s="239"/>
      <c r="M410" s="239"/>
      <c r="N410" s="239"/>
    </row>
    <row r="411" spans="11:14" s="238" customFormat="1" x14ac:dyDescent="0.2">
      <c r="K411" s="239"/>
      <c r="L411" s="239"/>
      <c r="M411" s="239"/>
      <c r="N411" s="239"/>
    </row>
    <row r="412" spans="11:14" s="238" customFormat="1" x14ac:dyDescent="0.2">
      <c r="K412" s="239"/>
      <c r="L412" s="239"/>
      <c r="M412" s="239"/>
      <c r="N412" s="239"/>
    </row>
    <row r="413" spans="11:14" s="238" customFormat="1" x14ac:dyDescent="0.2">
      <c r="K413" s="239"/>
      <c r="L413" s="239"/>
      <c r="M413" s="239"/>
      <c r="N413" s="239"/>
    </row>
    <row r="414" spans="11:14" s="238" customFormat="1" x14ac:dyDescent="0.2">
      <c r="K414" s="239"/>
      <c r="L414" s="239"/>
      <c r="M414" s="239"/>
      <c r="N414" s="239"/>
    </row>
    <row r="415" spans="11:14" s="238" customFormat="1" x14ac:dyDescent="0.2">
      <c r="K415" s="239"/>
      <c r="L415" s="239"/>
      <c r="M415" s="239"/>
      <c r="N415" s="239"/>
    </row>
    <row r="416" spans="11:14" s="238" customFormat="1" x14ac:dyDescent="0.2">
      <c r="K416" s="239"/>
      <c r="L416" s="239"/>
      <c r="M416" s="239"/>
      <c r="N416" s="239"/>
    </row>
    <row r="417" spans="11:14" s="238" customFormat="1" x14ac:dyDescent="0.2">
      <c r="K417" s="239"/>
      <c r="L417" s="239"/>
      <c r="M417" s="239"/>
      <c r="N417" s="239"/>
    </row>
    <row r="418" spans="11:14" s="238" customFormat="1" x14ac:dyDescent="0.2">
      <c r="K418" s="239"/>
      <c r="L418" s="239"/>
      <c r="M418" s="239"/>
      <c r="N418" s="239"/>
    </row>
    <row r="419" spans="11:14" s="238" customFormat="1" x14ac:dyDescent="0.2">
      <c r="K419" s="239"/>
      <c r="L419" s="239"/>
      <c r="M419" s="239"/>
      <c r="N419" s="239"/>
    </row>
    <row r="420" spans="11:14" s="238" customFormat="1" x14ac:dyDescent="0.2">
      <c r="K420" s="239"/>
      <c r="L420" s="239"/>
      <c r="M420" s="239"/>
      <c r="N420" s="239"/>
    </row>
    <row r="421" spans="11:14" s="238" customFormat="1" x14ac:dyDescent="0.2">
      <c r="K421" s="239"/>
      <c r="L421" s="239"/>
      <c r="M421" s="239"/>
      <c r="N421" s="239"/>
    </row>
    <row r="422" spans="11:14" s="238" customFormat="1" x14ac:dyDescent="0.2">
      <c r="K422" s="239"/>
      <c r="L422" s="239"/>
      <c r="M422" s="239"/>
      <c r="N422" s="239"/>
    </row>
    <row r="423" spans="11:14" s="238" customFormat="1" x14ac:dyDescent="0.2">
      <c r="K423" s="239"/>
      <c r="L423" s="239"/>
      <c r="M423" s="239"/>
      <c r="N423" s="239"/>
    </row>
    <row r="424" spans="11:14" s="238" customFormat="1" x14ac:dyDescent="0.2">
      <c r="K424" s="239"/>
      <c r="L424" s="239"/>
      <c r="M424" s="239"/>
      <c r="N424" s="239"/>
    </row>
    <row r="425" spans="11:14" s="238" customFormat="1" x14ac:dyDescent="0.2">
      <c r="K425" s="239"/>
      <c r="L425" s="239"/>
      <c r="M425" s="239"/>
      <c r="N425" s="239"/>
    </row>
    <row r="426" spans="11:14" s="238" customFormat="1" x14ac:dyDescent="0.2">
      <c r="K426" s="239"/>
      <c r="L426" s="239"/>
      <c r="M426" s="239"/>
      <c r="N426" s="239"/>
    </row>
    <row r="427" spans="11:14" s="238" customFormat="1" x14ac:dyDescent="0.2">
      <c r="K427" s="239"/>
      <c r="L427" s="239"/>
      <c r="M427" s="239"/>
      <c r="N427" s="239"/>
    </row>
    <row r="428" spans="11:14" s="238" customFormat="1" x14ac:dyDescent="0.2">
      <c r="K428" s="239"/>
      <c r="L428" s="239"/>
      <c r="M428" s="239"/>
      <c r="N428" s="239"/>
    </row>
    <row r="429" spans="11:14" s="238" customFormat="1" x14ac:dyDescent="0.2">
      <c r="K429" s="239"/>
      <c r="L429" s="239"/>
      <c r="M429" s="239"/>
      <c r="N429" s="239"/>
    </row>
    <row r="430" spans="11:14" s="238" customFormat="1" x14ac:dyDescent="0.2">
      <c r="K430" s="239"/>
      <c r="L430" s="239"/>
      <c r="M430" s="239"/>
      <c r="N430" s="239"/>
    </row>
    <row r="431" spans="11:14" s="238" customFormat="1" x14ac:dyDescent="0.2">
      <c r="K431" s="239"/>
      <c r="L431" s="239"/>
      <c r="M431" s="239"/>
      <c r="N431" s="239"/>
    </row>
    <row r="432" spans="11:14" s="238" customFormat="1" x14ac:dyDescent="0.2">
      <c r="K432" s="239"/>
      <c r="L432" s="239"/>
      <c r="M432" s="239"/>
      <c r="N432" s="239"/>
    </row>
    <row r="433" spans="11:14" s="238" customFormat="1" x14ac:dyDescent="0.2">
      <c r="K433" s="239"/>
      <c r="L433" s="239"/>
      <c r="M433" s="239"/>
      <c r="N433" s="239"/>
    </row>
    <row r="434" spans="11:14" s="238" customFormat="1" x14ac:dyDescent="0.2">
      <c r="K434" s="239"/>
      <c r="L434" s="239"/>
      <c r="M434" s="239"/>
      <c r="N434" s="239"/>
    </row>
    <row r="435" spans="11:14" s="238" customFormat="1" x14ac:dyDescent="0.2">
      <c r="K435" s="239"/>
      <c r="L435" s="239"/>
      <c r="M435" s="239"/>
      <c r="N435" s="239"/>
    </row>
    <row r="436" spans="11:14" s="238" customFormat="1" x14ac:dyDescent="0.2">
      <c r="K436" s="239"/>
      <c r="L436" s="239"/>
      <c r="M436" s="239"/>
      <c r="N436" s="239"/>
    </row>
    <row r="437" spans="11:14" s="238" customFormat="1" x14ac:dyDescent="0.2">
      <c r="K437" s="239"/>
      <c r="L437" s="239"/>
      <c r="M437" s="239"/>
      <c r="N437" s="239"/>
    </row>
    <row r="438" spans="11:14" s="238" customFormat="1" x14ac:dyDescent="0.2">
      <c r="K438" s="239"/>
      <c r="L438" s="239"/>
      <c r="M438" s="239"/>
      <c r="N438" s="239"/>
    </row>
    <row r="439" spans="11:14" s="238" customFormat="1" x14ac:dyDescent="0.2">
      <c r="K439" s="239"/>
      <c r="L439" s="239"/>
      <c r="M439" s="239"/>
      <c r="N439" s="239"/>
    </row>
    <row r="440" spans="11:14" s="238" customFormat="1" x14ac:dyDescent="0.2">
      <c r="K440" s="239"/>
      <c r="L440" s="239"/>
      <c r="M440" s="239"/>
      <c r="N440" s="239"/>
    </row>
    <row r="441" spans="11:14" s="238" customFormat="1" x14ac:dyDescent="0.2">
      <c r="K441" s="239"/>
      <c r="L441" s="239"/>
      <c r="M441" s="239"/>
      <c r="N441" s="239"/>
    </row>
    <row r="442" spans="11:14" s="238" customFormat="1" x14ac:dyDescent="0.2">
      <c r="K442" s="239"/>
      <c r="L442" s="239"/>
      <c r="M442" s="239"/>
      <c r="N442" s="239"/>
    </row>
    <row r="443" spans="11:14" s="238" customFormat="1" x14ac:dyDescent="0.2">
      <c r="K443" s="239"/>
      <c r="L443" s="239"/>
      <c r="M443" s="239"/>
      <c r="N443" s="239"/>
    </row>
    <row r="444" spans="11:14" s="238" customFormat="1" x14ac:dyDescent="0.2">
      <c r="K444" s="239"/>
      <c r="L444" s="239"/>
      <c r="M444" s="239"/>
      <c r="N444" s="239"/>
    </row>
    <row r="445" spans="11:14" s="238" customFormat="1" x14ac:dyDescent="0.2">
      <c r="K445" s="239"/>
      <c r="L445" s="239"/>
      <c r="M445" s="239"/>
      <c r="N445" s="239"/>
    </row>
    <row r="446" spans="11:14" s="238" customFormat="1" x14ac:dyDescent="0.2">
      <c r="K446" s="239"/>
      <c r="L446" s="239"/>
      <c r="M446" s="239"/>
      <c r="N446" s="239"/>
    </row>
    <row r="447" spans="11:14" s="238" customFormat="1" x14ac:dyDescent="0.2">
      <c r="K447" s="239"/>
      <c r="L447" s="239"/>
      <c r="M447" s="239"/>
      <c r="N447" s="239"/>
    </row>
    <row r="448" spans="11:14" s="238" customFormat="1" x14ac:dyDescent="0.2">
      <c r="K448" s="239"/>
      <c r="L448" s="239"/>
      <c r="M448" s="239"/>
      <c r="N448" s="239"/>
    </row>
    <row r="449" spans="11:14" s="238" customFormat="1" x14ac:dyDescent="0.2">
      <c r="K449" s="239"/>
      <c r="L449" s="239"/>
      <c r="M449" s="239"/>
      <c r="N449" s="239"/>
    </row>
    <row r="450" spans="11:14" s="238" customFormat="1" x14ac:dyDescent="0.2">
      <c r="K450" s="239"/>
      <c r="L450" s="239"/>
      <c r="M450" s="239"/>
      <c r="N450" s="239"/>
    </row>
    <row r="451" spans="11:14" s="238" customFormat="1" x14ac:dyDescent="0.2">
      <c r="K451" s="239"/>
      <c r="L451" s="239"/>
      <c r="M451" s="239"/>
      <c r="N451" s="239"/>
    </row>
    <row r="452" spans="11:14" s="238" customFormat="1" x14ac:dyDescent="0.2">
      <c r="K452" s="239"/>
      <c r="L452" s="239"/>
      <c r="M452" s="239"/>
      <c r="N452" s="239"/>
    </row>
    <row r="453" spans="11:14" s="238" customFormat="1" x14ac:dyDescent="0.2">
      <c r="K453" s="239"/>
      <c r="L453" s="239"/>
      <c r="M453" s="239"/>
      <c r="N453" s="239"/>
    </row>
    <row r="454" spans="11:14" s="238" customFormat="1" x14ac:dyDescent="0.2">
      <c r="K454" s="239"/>
      <c r="L454" s="239"/>
      <c r="M454" s="239"/>
      <c r="N454" s="239"/>
    </row>
    <row r="455" spans="11:14" s="238" customFormat="1" x14ac:dyDescent="0.2">
      <c r="K455" s="239"/>
      <c r="L455" s="239"/>
      <c r="M455" s="239"/>
      <c r="N455" s="239"/>
    </row>
    <row r="456" spans="11:14" s="238" customFormat="1" x14ac:dyDescent="0.2">
      <c r="K456" s="239"/>
      <c r="L456" s="239"/>
      <c r="M456" s="239"/>
      <c r="N456" s="239"/>
    </row>
    <row r="457" spans="11:14" s="238" customFormat="1" x14ac:dyDescent="0.2">
      <c r="K457" s="239"/>
      <c r="L457" s="239"/>
      <c r="M457" s="239"/>
      <c r="N457" s="239"/>
    </row>
    <row r="458" spans="11:14" s="238" customFormat="1" x14ac:dyDescent="0.2">
      <c r="K458" s="239"/>
      <c r="L458" s="239"/>
      <c r="M458" s="239"/>
      <c r="N458" s="239"/>
    </row>
    <row r="459" spans="11:14" s="238" customFormat="1" x14ac:dyDescent="0.2">
      <c r="K459" s="239"/>
      <c r="L459" s="239"/>
      <c r="M459" s="239"/>
      <c r="N459" s="239"/>
    </row>
    <row r="460" spans="11:14" s="238" customFormat="1" x14ac:dyDescent="0.2">
      <c r="K460" s="239"/>
      <c r="L460" s="239"/>
      <c r="M460" s="239"/>
      <c r="N460" s="239"/>
    </row>
    <row r="461" spans="11:14" s="238" customFormat="1" x14ac:dyDescent="0.2">
      <c r="K461" s="239"/>
      <c r="L461" s="239"/>
      <c r="M461" s="239"/>
      <c r="N461" s="239"/>
    </row>
    <row r="462" spans="11:14" s="238" customFormat="1" x14ac:dyDescent="0.2">
      <c r="K462" s="239"/>
      <c r="L462" s="239"/>
      <c r="M462" s="239"/>
      <c r="N462" s="239"/>
    </row>
    <row r="463" spans="11:14" s="238" customFormat="1" x14ac:dyDescent="0.2">
      <c r="K463" s="239"/>
      <c r="L463" s="239"/>
      <c r="M463" s="239"/>
      <c r="N463" s="239"/>
    </row>
    <row r="464" spans="11:14" s="238" customFormat="1" x14ac:dyDescent="0.2">
      <c r="K464" s="239"/>
      <c r="L464" s="239"/>
      <c r="M464" s="239"/>
      <c r="N464" s="239"/>
    </row>
    <row r="465" spans="11:14" s="238" customFormat="1" x14ac:dyDescent="0.2">
      <c r="K465" s="239"/>
      <c r="L465" s="239"/>
      <c r="M465" s="239"/>
      <c r="N465" s="239"/>
    </row>
    <row r="466" spans="11:14" s="238" customFormat="1" x14ac:dyDescent="0.2">
      <c r="K466" s="239"/>
      <c r="L466" s="239"/>
      <c r="M466" s="239"/>
      <c r="N466" s="239"/>
    </row>
    <row r="467" spans="11:14" s="238" customFormat="1" x14ac:dyDescent="0.2">
      <c r="K467" s="239"/>
      <c r="L467" s="239"/>
      <c r="M467" s="239"/>
      <c r="N467" s="239"/>
    </row>
    <row r="468" spans="11:14" s="238" customFormat="1" x14ac:dyDescent="0.2">
      <c r="K468" s="239"/>
      <c r="L468" s="239"/>
      <c r="M468" s="239"/>
      <c r="N468" s="239"/>
    </row>
    <row r="469" spans="11:14" s="238" customFormat="1" x14ac:dyDescent="0.2">
      <c r="K469" s="239"/>
      <c r="L469" s="239"/>
      <c r="M469" s="239"/>
      <c r="N469" s="239"/>
    </row>
    <row r="470" spans="11:14" s="238" customFormat="1" x14ac:dyDescent="0.2">
      <c r="K470" s="239"/>
      <c r="L470" s="239"/>
      <c r="M470" s="239"/>
      <c r="N470" s="239"/>
    </row>
    <row r="471" spans="11:14" s="238" customFormat="1" x14ac:dyDescent="0.2">
      <c r="K471" s="239"/>
      <c r="L471" s="239"/>
      <c r="M471" s="239"/>
      <c r="N471" s="239"/>
    </row>
    <row r="472" spans="11:14" s="238" customFormat="1" x14ac:dyDescent="0.2">
      <c r="K472" s="239"/>
      <c r="L472" s="239"/>
      <c r="M472" s="239"/>
      <c r="N472" s="239"/>
    </row>
    <row r="473" spans="11:14" s="238" customFormat="1" x14ac:dyDescent="0.2">
      <c r="K473" s="239"/>
      <c r="L473" s="239"/>
      <c r="M473" s="239"/>
      <c r="N473" s="239"/>
    </row>
    <row r="474" spans="11:14" s="238" customFormat="1" x14ac:dyDescent="0.2">
      <c r="K474" s="239"/>
      <c r="L474" s="239"/>
      <c r="M474" s="239"/>
      <c r="N474" s="239"/>
    </row>
    <row r="475" spans="11:14" s="238" customFormat="1" x14ac:dyDescent="0.2">
      <c r="K475" s="239"/>
      <c r="L475" s="239"/>
      <c r="M475" s="239"/>
      <c r="N475" s="239"/>
    </row>
    <row r="476" spans="11:14" s="238" customFormat="1" x14ac:dyDescent="0.2">
      <c r="K476" s="239"/>
      <c r="L476" s="239"/>
      <c r="M476" s="239"/>
      <c r="N476" s="239"/>
    </row>
    <row r="477" spans="11:14" s="238" customFormat="1" x14ac:dyDescent="0.2">
      <c r="K477" s="239"/>
      <c r="L477" s="239"/>
      <c r="M477" s="239"/>
      <c r="N477" s="239"/>
    </row>
    <row r="478" spans="11:14" s="238" customFormat="1" x14ac:dyDescent="0.2">
      <c r="K478" s="239"/>
      <c r="L478" s="239"/>
      <c r="M478" s="239"/>
      <c r="N478" s="239"/>
    </row>
    <row r="479" spans="11:14" s="238" customFormat="1" x14ac:dyDescent="0.2">
      <c r="K479" s="239"/>
      <c r="L479" s="239"/>
      <c r="M479" s="239"/>
      <c r="N479" s="239"/>
    </row>
    <row r="480" spans="11:14" s="238" customFormat="1" x14ac:dyDescent="0.2">
      <c r="K480" s="239"/>
      <c r="L480" s="239"/>
      <c r="M480" s="239"/>
      <c r="N480" s="239"/>
    </row>
    <row r="481" spans="11:14" s="238" customFormat="1" x14ac:dyDescent="0.2">
      <c r="K481" s="239"/>
      <c r="L481" s="239"/>
      <c r="M481" s="239"/>
      <c r="N481" s="239"/>
    </row>
    <row r="482" spans="11:14" s="238" customFormat="1" x14ac:dyDescent="0.2">
      <c r="K482" s="239"/>
      <c r="L482" s="239"/>
      <c r="M482" s="239"/>
      <c r="N482" s="239"/>
    </row>
    <row r="483" spans="11:14" s="238" customFormat="1" x14ac:dyDescent="0.2">
      <c r="K483" s="239"/>
      <c r="L483" s="239"/>
      <c r="M483" s="239"/>
      <c r="N483" s="239"/>
    </row>
    <row r="484" spans="11:14" s="238" customFormat="1" x14ac:dyDescent="0.2">
      <c r="K484" s="239"/>
      <c r="L484" s="239"/>
      <c r="M484" s="239"/>
      <c r="N484" s="239"/>
    </row>
    <row r="485" spans="11:14" s="238" customFormat="1" x14ac:dyDescent="0.2">
      <c r="K485" s="239"/>
      <c r="L485" s="239"/>
      <c r="M485" s="239"/>
      <c r="N485" s="239"/>
    </row>
    <row r="486" spans="11:14" s="238" customFormat="1" x14ac:dyDescent="0.2">
      <c r="K486" s="239"/>
      <c r="L486" s="239"/>
      <c r="M486" s="239"/>
      <c r="N486" s="239"/>
    </row>
    <row r="487" spans="11:14" s="238" customFormat="1" x14ac:dyDescent="0.2">
      <c r="K487" s="239"/>
      <c r="L487" s="239"/>
      <c r="M487" s="239"/>
      <c r="N487" s="239"/>
    </row>
    <row r="488" spans="11:14" s="238" customFormat="1" x14ac:dyDescent="0.2">
      <c r="K488" s="239"/>
      <c r="L488" s="239"/>
      <c r="M488" s="239"/>
      <c r="N488" s="239"/>
    </row>
    <row r="489" spans="11:14" s="238" customFormat="1" x14ac:dyDescent="0.2">
      <c r="K489" s="239"/>
      <c r="L489" s="239"/>
      <c r="M489" s="239"/>
      <c r="N489" s="239"/>
    </row>
    <row r="490" spans="11:14" s="238" customFormat="1" x14ac:dyDescent="0.2">
      <c r="K490" s="239"/>
      <c r="L490" s="239"/>
      <c r="M490" s="239"/>
      <c r="N490" s="239"/>
    </row>
    <row r="491" spans="11:14" s="238" customFormat="1" x14ac:dyDescent="0.2">
      <c r="K491" s="239"/>
      <c r="L491" s="239"/>
      <c r="M491" s="239"/>
      <c r="N491" s="239"/>
    </row>
    <row r="492" spans="11:14" s="238" customFormat="1" x14ac:dyDescent="0.2">
      <c r="K492" s="239"/>
      <c r="L492" s="239"/>
      <c r="M492" s="239"/>
      <c r="N492" s="239"/>
    </row>
    <row r="493" spans="11:14" s="238" customFormat="1" x14ac:dyDescent="0.2">
      <c r="K493" s="239"/>
      <c r="L493" s="239"/>
      <c r="M493" s="239"/>
      <c r="N493" s="239"/>
    </row>
    <row r="494" spans="11:14" s="238" customFormat="1" x14ac:dyDescent="0.2">
      <c r="K494" s="239"/>
      <c r="L494" s="239"/>
      <c r="M494" s="239"/>
      <c r="N494" s="239"/>
    </row>
    <row r="495" spans="11:14" s="238" customFormat="1" x14ac:dyDescent="0.2">
      <c r="K495" s="239"/>
      <c r="L495" s="239"/>
      <c r="M495" s="239"/>
      <c r="N495" s="239"/>
    </row>
    <row r="496" spans="11:14" s="238" customFormat="1" x14ac:dyDescent="0.2">
      <c r="K496" s="239"/>
      <c r="L496" s="239"/>
      <c r="M496" s="239"/>
      <c r="N496" s="239"/>
    </row>
    <row r="497" spans="11:14" s="238" customFormat="1" x14ac:dyDescent="0.2">
      <c r="K497" s="239"/>
      <c r="L497" s="239"/>
      <c r="M497" s="239"/>
      <c r="N497" s="239"/>
    </row>
    <row r="498" spans="11:14" s="238" customFormat="1" x14ac:dyDescent="0.2">
      <c r="K498" s="239"/>
      <c r="L498" s="239"/>
      <c r="M498" s="239"/>
      <c r="N498" s="239"/>
    </row>
    <row r="499" spans="11:14" s="238" customFormat="1" x14ac:dyDescent="0.2">
      <c r="K499" s="239"/>
      <c r="L499" s="239"/>
      <c r="M499" s="239"/>
      <c r="N499" s="239"/>
    </row>
    <row r="500" spans="11:14" s="238" customFormat="1" x14ac:dyDescent="0.2">
      <c r="K500" s="239"/>
      <c r="L500" s="239"/>
      <c r="M500" s="239"/>
      <c r="N500" s="239"/>
    </row>
    <row r="533" spans="14:14" x14ac:dyDescent="0.2">
      <c r="N533" s="28"/>
    </row>
  </sheetData>
  <mergeCells count="508">
    <mergeCell ref="T4:U4"/>
    <mergeCell ref="N5:N7"/>
    <mergeCell ref="M5:M7"/>
    <mergeCell ref="L5:L7"/>
    <mergeCell ref="K5:K7"/>
    <mergeCell ref="M229:M230"/>
    <mergeCell ref="L229:L230"/>
    <mergeCell ref="K229:K230"/>
    <mergeCell ref="J229:J230"/>
    <mergeCell ref="S195:S196"/>
    <mergeCell ref="J204:J208"/>
    <mergeCell ref="M195:M196"/>
    <mergeCell ref="N195:N196"/>
    <mergeCell ref="L130:L135"/>
    <mergeCell ref="L108:L109"/>
    <mergeCell ref="J124:J129"/>
    <mergeCell ref="K124:K129"/>
    <mergeCell ref="J130:J135"/>
    <mergeCell ref="M144:M145"/>
    <mergeCell ref="M134:M135"/>
    <mergeCell ref="K94:K96"/>
    <mergeCell ref="J68:J77"/>
    <mergeCell ref="M59:M65"/>
    <mergeCell ref="P4:S4"/>
    <mergeCell ref="L97:L105"/>
    <mergeCell ref="A229:A230"/>
    <mergeCell ref="H229:H230"/>
    <mergeCell ref="G229:G230"/>
    <mergeCell ref="F229:F230"/>
    <mergeCell ref="E229:E230"/>
    <mergeCell ref="D229:D230"/>
    <mergeCell ref="C229:C230"/>
    <mergeCell ref="B229:B230"/>
    <mergeCell ref="J97:J105"/>
    <mergeCell ref="I97:I105"/>
    <mergeCell ref="H97:H105"/>
    <mergeCell ref="G97:G105"/>
    <mergeCell ref="F97:F105"/>
    <mergeCell ref="E97:E105"/>
    <mergeCell ref="D97:D105"/>
    <mergeCell ref="C97:C105"/>
    <mergeCell ref="K98:K104"/>
    <mergeCell ref="G218:G220"/>
    <mergeCell ref="H218:H226"/>
    <mergeCell ref="I218:I226"/>
    <mergeCell ref="F223:F224"/>
    <mergeCell ref="G225:G226"/>
    <mergeCell ref="A217:A228"/>
    <mergeCell ref="L166:L170"/>
    <mergeCell ref="M166:M168"/>
    <mergeCell ref="H169:H175"/>
    <mergeCell ref="I169:I175"/>
    <mergeCell ref="K171:K172"/>
    <mergeCell ref="L171:L172"/>
    <mergeCell ref="M171:M172"/>
    <mergeCell ref="I229:I230"/>
    <mergeCell ref="H233:H234"/>
    <mergeCell ref="I233:I234"/>
    <mergeCell ref="K233:K234"/>
    <mergeCell ref="R255:R256"/>
    <mergeCell ref="S255:S256"/>
    <mergeCell ref="K255:K256"/>
    <mergeCell ref="L255:L256"/>
    <mergeCell ref="M255:M256"/>
    <mergeCell ref="N255:N256"/>
    <mergeCell ref="P255:P256"/>
    <mergeCell ref="Q255:Q256"/>
    <mergeCell ref="Q250:Q251"/>
    <mergeCell ref="R250:R251"/>
    <mergeCell ref="S250:S251"/>
    <mergeCell ref="L250:L251"/>
    <mergeCell ref="M250:M251"/>
    <mergeCell ref="N250:N251"/>
    <mergeCell ref="P250:P251"/>
    <mergeCell ref="O250:O251"/>
    <mergeCell ref="O255:O256"/>
    <mergeCell ref="P195:P196"/>
    <mergeCell ref="Q195:Q196"/>
    <mergeCell ref="M248:M249"/>
    <mergeCell ref="A255:A256"/>
    <mergeCell ref="C255:C256"/>
    <mergeCell ref="F255:F256"/>
    <mergeCell ref="G255:G256"/>
    <mergeCell ref="H255:H256"/>
    <mergeCell ref="I255:I256"/>
    <mergeCell ref="J255:J256"/>
    <mergeCell ref="J250:J251"/>
    <mergeCell ref="K250:K251"/>
    <mergeCell ref="A250:A251"/>
    <mergeCell ref="C250:C251"/>
    <mergeCell ref="F250:F251"/>
    <mergeCell ref="G250:G251"/>
    <mergeCell ref="H250:H251"/>
    <mergeCell ref="I250:I251"/>
    <mergeCell ref="A241:A242"/>
    <mergeCell ref="B241:B242"/>
    <mergeCell ref="C241:C242"/>
    <mergeCell ref="N248:N249"/>
    <mergeCell ref="D241:D242"/>
    <mergeCell ref="E241:E242"/>
    <mergeCell ref="S246:S247"/>
    <mergeCell ref="A248:A249"/>
    <mergeCell ref="C248:C249"/>
    <mergeCell ref="F248:F249"/>
    <mergeCell ref="G248:G249"/>
    <mergeCell ref="H248:H249"/>
    <mergeCell ref="I248:I249"/>
    <mergeCell ref="J248:J249"/>
    <mergeCell ref="K248:K249"/>
    <mergeCell ref="L248:L249"/>
    <mergeCell ref="L246:L247"/>
    <mergeCell ref="M246:M247"/>
    <mergeCell ref="N246:N247"/>
    <mergeCell ref="P246:P247"/>
    <mergeCell ref="Q246:Q247"/>
    <mergeCell ref="R246:R247"/>
    <mergeCell ref="A246:A247"/>
    <mergeCell ref="C246:C247"/>
    <mergeCell ref="H246:H247"/>
    <mergeCell ref="O246:O247"/>
    <mergeCell ref="I246:I247"/>
    <mergeCell ref="J246:J247"/>
    <mergeCell ref="K246:K247"/>
    <mergeCell ref="G234:G235"/>
    <mergeCell ref="M241:M242"/>
    <mergeCell ref="N235:N237"/>
    <mergeCell ref="G236:G237"/>
    <mergeCell ref="F239:F240"/>
    <mergeCell ref="L241:L242"/>
    <mergeCell ref="K235:K240"/>
    <mergeCell ref="J235:J240"/>
    <mergeCell ref="I235:I240"/>
    <mergeCell ref="H235:H240"/>
    <mergeCell ref="H241:H242"/>
    <mergeCell ref="I241:I242"/>
    <mergeCell ref="J241:J242"/>
    <mergeCell ref="K241:K242"/>
    <mergeCell ref="B217:B228"/>
    <mergeCell ref="C217:C228"/>
    <mergeCell ref="D217:D228"/>
    <mergeCell ref="E217:E228"/>
    <mergeCell ref="F217:F220"/>
    <mergeCell ref="F227:F228"/>
    <mergeCell ref="G227:G228"/>
    <mergeCell ref="H227:H228"/>
    <mergeCell ref="I227:I228"/>
    <mergeCell ref="F221:F222"/>
    <mergeCell ref="G221:G222"/>
    <mergeCell ref="G223:G224"/>
    <mergeCell ref="F225:F226"/>
    <mergeCell ref="E206:E207"/>
    <mergeCell ref="A211:A216"/>
    <mergeCell ref="B211:B216"/>
    <mergeCell ref="C211:C216"/>
    <mergeCell ref="D211:D216"/>
    <mergeCell ref="E211:E216"/>
    <mergeCell ref="H211:H216"/>
    <mergeCell ref="I211:I216"/>
    <mergeCell ref="A204:A208"/>
    <mergeCell ref="B204:B208"/>
    <mergeCell ref="C204:C208"/>
    <mergeCell ref="D204:D205"/>
    <mergeCell ref="E204:E205"/>
    <mergeCell ref="F204:F208"/>
    <mergeCell ref="G204:G208"/>
    <mergeCell ref="H204:H208"/>
    <mergeCell ref="I204:I208"/>
    <mergeCell ref="D206:D207"/>
    <mergeCell ref="A199:A200"/>
    <mergeCell ref="B199:B200"/>
    <mergeCell ref="C199:C200"/>
    <mergeCell ref="F199:F200"/>
    <mergeCell ref="G199:G200"/>
    <mergeCell ref="R195:R196"/>
    <mergeCell ref="E186:E193"/>
    <mergeCell ref="H186:H193"/>
    <mergeCell ref="G197:G198"/>
    <mergeCell ref="H197:H198"/>
    <mergeCell ref="I197:I198"/>
    <mergeCell ref="J197:J198"/>
    <mergeCell ref="O195:O196"/>
    <mergeCell ref="J181:J193"/>
    <mergeCell ref="A197:A198"/>
    <mergeCell ref="B197:B198"/>
    <mergeCell ref="C197:C198"/>
    <mergeCell ref="D197:D198"/>
    <mergeCell ref="E197:E198"/>
    <mergeCell ref="F197:F198"/>
    <mergeCell ref="I195:I196"/>
    <mergeCell ref="J195:J196"/>
    <mergeCell ref="K195:K196"/>
    <mergeCell ref="A195:A196"/>
    <mergeCell ref="B195:B196"/>
    <mergeCell ref="C195:C196"/>
    <mergeCell ref="F195:F196"/>
    <mergeCell ref="G195:G196"/>
    <mergeCell ref="H195:H196"/>
    <mergeCell ref="L195:L196"/>
    <mergeCell ref="M173:M175"/>
    <mergeCell ref="G150:G175"/>
    <mergeCell ref="J150:J175"/>
    <mergeCell ref="H151:H159"/>
    <mergeCell ref="I151:I159"/>
    <mergeCell ref="K151:K161"/>
    <mergeCell ref="L152:L161"/>
    <mergeCell ref="B181:B193"/>
    <mergeCell ref="I179:I180"/>
    <mergeCell ref="M152:M159"/>
    <mergeCell ref="H160:H162"/>
    <mergeCell ref="I160:I162"/>
    <mergeCell ref="K162:K165"/>
    <mergeCell ref="L162:L165"/>
    <mergeCell ref="M162:M163"/>
    <mergeCell ref="H163:H168"/>
    <mergeCell ref="I163:I168"/>
    <mergeCell ref="K166:K170"/>
    <mergeCell ref="A181:A193"/>
    <mergeCell ref="C181:C193"/>
    <mergeCell ref="D181:D185"/>
    <mergeCell ref="E181:E185"/>
    <mergeCell ref="F181:F193"/>
    <mergeCell ref="G181:G193"/>
    <mergeCell ref="H181:H185"/>
    <mergeCell ref="I181:I193"/>
    <mergeCell ref="A179:A180"/>
    <mergeCell ref="B179:B180"/>
    <mergeCell ref="C179:C180"/>
    <mergeCell ref="D179:D180"/>
    <mergeCell ref="E179:E180"/>
    <mergeCell ref="H179:H180"/>
    <mergeCell ref="G179:G180"/>
    <mergeCell ref="F179:F180"/>
    <mergeCell ref="D186:D193"/>
    <mergeCell ref="A150:A175"/>
    <mergeCell ref="B150:B175"/>
    <mergeCell ref="C150:C175"/>
    <mergeCell ref="D150:D162"/>
    <mergeCell ref="E150:E162"/>
    <mergeCell ref="F150:F175"/>
    <mergeCell ref="D163:D175"/>
    <mergeCell ref="E163:E175"/>
    <mergeCell ref="L137:L140"/>
    <mergeCell ref="I144:I145"/>
    <mergeCell ref="J144:J145"/>
    <mergeCell ref="K144:K145"/>
    <mergeCell ref="L144:L145"/>
    <mergeCell ref="K173:K175"/>
    <mergeCell ref="L173:L175"/>
    <mergeCell ref="G141:G143"/>
    <mergeCell ref="A144:A145"/>
    <mergeCell ref="B144:B145"/>
    <mergeCell ref="C144:C145"/>
    <mergeCell ref="D144:D145"/>
    <mergeCell ref="E144:E145"/>
    <mergeCell ref="F144:F145"/>
    <mergeCell ref="F137:F140"/>
    <mergeCell ref="G137:G140"/>
    <mergeCell ref="H137:H140"/>
    <mergeCell ref="D141:D143"/>
    <mergeCell ref="C141:C143"/>
    <mergeCell ref="B141:B143"/>
    <mergeCell ref="A137:A140"/>
    <mergeCell ref="B137:B140"/>
    <mergeCell ref="C137:C140"/>
    <mergeCell ref="E141:E143"/>
    <mergeCell ref="H141:H143"/>
    <mergeCell ref="G144:G145"/>
    <mergeCell ref="F141:F143"/>
    <mergeCell ref="L124:L129"/>
    <mergeCell ref="M125:M128"/>
    <mergeCell ref="A130:A135"/>
    <mergeCell ref="B130:B135"/>
    <mergeCell ref="C130:C135"/>
    <mergeCell ref="D130:D135"/>
    <mergeCell ref="E130:E135"/>
    <mergeCell ref="F130:F135"/>
    <mergeCell ref="G130:G135"/>
    <mergeCell ref="H130:H135"/>
    <mergeCell ref="F124:F129"/>
    <mergeCell ref="G124:G129"/>
    <mergeCell ref="H124:H129"/>
    <mergeCell ref="I124:I129"/>
    <mergeCell ref="I130:I135"/>
    <mergeCell ref="M137:M140"/>
    <mergeCell ref="A141:A143"/>
    <mergeCell ref="L142:L143"/>
    <mergeCell ref="I137:I140"/>
    <mergeCell ref="J137:J140"/>
    <mergeCell ref="K137:K140"/>
    <mergeCell ref="A124:A129"/>
    <mergeCell ref="B124:B129"/>
    <mergeCell ref="C124:C129"/>
    <mergeCell ref="D124:D129"/>
    <mergeCell ref="E124:E129"/>
    <mergeCell ref="A119:A123"/>
    <mergeCell ref="B119:B123"/>
    <mergeCell ref="C119:C123"/>
    <mergeCell ref="D119:D123"/>
    <mergeCell ref="E119:E123"/>
    <mergeCell ref="G119:G123"/>
    <mergeCell ref="H119:H123"/>
    <mergeCell ref="I119:I123"/>
    <mergeCell ref="J119:J123"/>
    <mergeCell ref="K119:K123"/>
    <mergeCell ref="D110:D111"/>
    <mergeCell ref="H113:H118"/>
    <mergeCell ref="I113:I118"/>
    <mergeCell ref="J113:J118"/>
    <mergeCell ref="K113:K118"/>
    <mergeCell ref="I106:I109"/>
    <mergeCell ref="J106:J109"/>
    <mergeCell ref="K108:K109"/>
    <mergeCell ref="K130:K135"/>
    <mergeCell ref="F119:F123"/>
    <mergeCell ref="D85:D89"/>
    <mergeCell ref="M108:M109"/>
    <mergeCell ref="A113:A118"/>
    <mergeCell ref="B113:B118"/>
    <mergeCell ref="C113:C118"/>
    <mergeCell ref="D113:D118"/>
    <mergeCell ref="E113:E118"/>
    <mergeCell ref="M101:M102"/>
    <mergeCell ref="A106:A109"/>
    <mergeCell ref="B106:B109"/>
    <mergeCell ref="C106:C109"/>
    <mergeCell ref="D106:D109"/>
    <mergeCell ref="E106:E109"/>
    <mergeCell ref="F106:F109"/>
    <mergeCell ref="G106:G109"/>
    <mergeCell ref="H106:H109"/>
    <mergeCell ref="F113:F118"/>
    <mergeCell ref="B97:B105"/>
    <mergeCell ref="A97:A105"/>
    <mergeCell ref="C110:C111"/>
    <mergeCell ref="B110:B111"/>
    <mergeCell ref="A110:A111"/>
    <mergeCell ref="E110:E111"/>
    <mergeCell ref="H44:H56"/>
    <mergeCell ref="K53:K56"/>
    <mergeCell ref="L49:L52"/>
    <mergeCell ref="M87:M88"/>
    <mergeCell ref="D90:D93"/>
    <mergeCell ref="E90:E93"/>
    <mergeCell ref="A94:A96"/>
    <mergeCell ref="B94:B96"/>
    <mergeCell ref="C94:C96"/>
    <mergeCell ref="F94:F96"/>
    <mergeCell ref="G94:G96"/>
    <mergeCell ref="H94:H96"/>
    <mergeCell ref="I94:I96"/>
    <mergeCell ref="G85:G93"/>
    <mergeCell ref="H85:H93"/>
    <mergeCell ref="I85:I93"/>
    <mergeCell ref="J85:J93"/>
    <mergeCell ref="K85:K93"/>
    <mergeCell ref="L85:L93"/>
    <mergeCell ref="J94:J96"/>
    <mergeCell ref="G78:G84"/>
    <mergeCell ref="H78:H81"/>
    <mergeCell ref="I78:I84"/>
    <mergeCell ref="D78:D81"/>
    <mergeCell ref="D95:D96"/>
    <mergeCell ref="E95:E96"/>
    <mergeCell ref="A85:A93"/>
    <mergeCell ref="M79:M80"/>
    <mergeCell ref="D82:D84"/>
    <mergeCell ref="E82:E84"/>
    <mergeCell ref="H82:H84"/>
    <mergeCell ref="J78:J84"/>
    <mergeCell ref="K78:K84"/>
    <mergeCell ref="L78:L84"/>
    <mergeCell ref="A78:A84"/>
    <mergeCell ref="D53:D56"/>
    <mergeCell ref="I53:I56"/>
    <mergeCell ref="G53:G56"/>
    <mergeCell ref="F53:F56"/>
    <mergeCell ref="J31:J43"/>
    <mergeCell ref="D68:D77"/>
    <mergeCell ref="E68:E77"/>
    <mergeCell ref="F68:F77"/>
    <mergeCell ref="G68:G77"/>
    <mergeCell ref="H68:H77"/>
    <mergeCell ref="I68:I77"/>
    <mergeCell ref="M66:M67"/>
    <mergeCell ref="J58:J67"/>
    <mergeCell ref="K59:K67"/>
    <mergeCell ref="L59:L67"/>
    <mergeCell ref="I31:I43"/>
    <mergeCell ref="G58:G67"/>
    <mergeCell ref="H58:H67"/>
    <mergeCell ref="I58:I67"/>
    <mergeCell ref="F44:F52"/>
    <mergeCell ref="G44:G52"/>
    <mergeCell ref="I44:I52"/>
    <mergeCell ref="J44:J52"/>
    <mergeCell ref="K45:K48"/>
    <mergeCell ref="L45:L48"/>
    <mergeCell ref="K49:K52"/>
    <mergeCell ref="L53:L56"/>
    <mergeCell ref="K31:K43"/>
    <mergeCell ref="L31:L43"/>
    <mergeCell ref="R5:S5"/>
    <mergeCell ref="Q5:Q7"/>
    <mergeCell ref="L20:L30"/>
    <mergeCell ref="A31:A43"/>
    <mergeCell ref="B31:B43"/>
    <mergeCell ref="C31:C43"/>
    <mergeCell ref="D31:D43"/>
    <mergeCell ref="E31:E43"/>
    <mergeCell ref="F31:F43"/>
    <mergeCell ref="G31:G43"/>
    <mergeCell ref="H31:H43"/>
    <mergeCell ref="F20:F30"/>
    <mergeCell ref="G20:G30"/>
    <mergeCell ref="H20:H30"/>
    <mergeCell ref="I20:I30"/>
    <mergeCell ref="J20:J30"/>
    <mergeCell ref="K20:K30"/>
    <mergeCell ref="A20:A30"/>
    <mergeCell ref="B20:B30"/>
    <mergeCell ref="C20:C30"/>
    <mergeCell ref="D20:D30"/>
    <mergeCell ref="E20:E30"/>
    <mergeCell ref="D12:D13"/>
    <mergeCell ref="A12:A13"/>
    <mergeCell ref="B12:B13"/>
    <mergeCell ref="C12:C13"/>
    <mergeCell ref="J53:J56"/>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D5:E5"/>
    <mergeCell ref="F5:G5"/>
    <mergeCell ref="A15:A19"/>
    <mergeCell ref="B15:B19"/>
    <mergeCell ref="C15:C19"/>
    <mergeCell ref="D15:D19"/>
    <mergeCell ref="E15:E19"/>
    <mergeCell ref="F15:F19"/>
    <mergeCell ref="G15:G19"/>
    <mergeCell ref="H15:H19"/>
    <mergeCell ref="I15:I19"/>
    <mergeCell ref="D232:D240"/>
    <mergeCell ref="C232:C240"/>
    <mergeCell ref="B232:B240"/>
    <mergeCell ref="B78:B84"/>
    <mergeCell ref="C78:C84"/>
    <mergeCell ref="E78:E81"/>
    <mergeCell ref="E53:E56"/>
    <mergeCell ref="B85:B93"/>
    <mergeCell ref="C85:C93"/>
    <mergeCell ref="F78:F84"/>
    <mergeCell ref="F58:F67"/>
    <mergeCell ref="E85:E89"/>
    <mergeCell ref="F85:F93"/>
    <mergeCell ref="D62:D67"/>
    <mergeCell ref="E62:E67"/>
    <mergeCell ref="D49:D52"/>
    <mergeCell ref="A232:A240"/>
    <mergeCell ref="G239:G240"/>
    <mergeCell ref="E232:E240"/>
    <mergeCell ref="F237:F238"/>
    <mergeCell ref="F235:F236"/>
    <mergeCell ref="F232:F234"/>
    <mergeCell ref="G232:G233"/>
    <mergeCell ref="C44:C56"/>
    <mergeCell ref="B44:B56"/>
    <mergeCell ref="A44:A56"/>
    <mergeCell ref="G113:G118"/>
    <mergeCell ref="D137:D140"/>
    <mergeCell ref="E137:E140"/>
    <mergeCell ref="E44:E48"/>
    <mergeCell ref="E49:E52"/>
    <mergeCell ref="D44:D48"/>
    <mergeCell ref="A58:A67"/>
    <mergeCell ref="B58:B67"/>
    <mergeCell ref="C58:C67"/>
    <mergeCell ref="D58:D61"/>
    <mergeCell ref="E58:E61"/>
    <mergeCell ref="A68:A77"/>
    <mergeCell ref="B68:B77"/>
    <mergeCell ref="C68:C77"/>
    <mergeCell ref="P5:P7"/>
    <mergeCell ref="J12:J13"/>
    <mergeCell ref="J15:J19"/>
    <mergeCell ref="K15:K19"/>
    <mergeCell ref="L15:L19"/>
    <mergeCell ref="E12:E13"/>
    <mergeCell ref="F12:F13"/>
    <mergeCell ref="G12:G13"/>
    <mergeCell ref="H12:H13"/>
    <mergeCell ref="I12:I13"/>
    <mergeCell ref="H5:I5"/>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01.12.24</vt:lpstr>
      <vt:lpstr>'01.12.24'!Заголовки_для_печати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2025-03-11T12:42:10Z</dcterms:modified>
</cp:coreProperties>
</file>