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25" windowWidth="14805" windowHeight="7590"/>
  </bookViews>
  <sheets>
    <sheet name="Осн.характеристики" sheetId="1" r:id="rId1"/>
    <sheet name="Лист1" sheetId="4" state="hidden" r:id="rId2"/>
    <sheet name="Лист2" sheetId="5" state="hidden" r:id="rId3"/>
  </sheets>
  <definedNames>
    <definedName name="_xlnm.Print_Titles" localSheetId="1">Лист1!$4:$7</definedName>
    <definedName name="_xlnm.Print_Titles" localSheetId="0">Осн.характеристики!$A:$B,Осн.характеристики!$3:$4</definedName>
  </definedNames>
  <calcPr calcId="145621"/>
</workbook>
</file>

<file path=xl/calcChain.xml><?xml version="1.0" encoding="utf-8"?>
<calcChain xmlns="http://schemas.openxmlformats.org/spreadsheetml/2006/main">
  <c r="I36" i="1" l="1"/>
  <c r="I33" i="1"/>
  <c r="I32" i="1"/>
  <c r="I41" i="1"/>
  <c r="I39" i="1"/>
  <c r="I35" i="1"/>
  <c r="I34" i="1"/>
  <c r="N36" i="1" l="1"/>
  <c r="N35" i="1"/>
  <c r="N33" i="1"/>
  <c r="N32" i="1"/>
  <c r="O32" i="1"/>
  <c r="B16" i="5"/>
  <c r="C13" i="5"/>
  <c r="D13" i="5"/>
  <c r="B13" i="5" l="1"/>
  <c r="C12" i="5"/>
  <c r="D12" i="5"/>
  <c r="B12" i="5"/>
  <c r="C11" i="5"/>
  <c r="D11" i="5"/>
  <c r="B11" i="5"/>
  <c r="C8" i="5"/>
  <c r="D8" i="5"/>
  <c r="B8" i="5"/>
  <c r="C5" i="5"/>
  <c r="D5" i="5"/>
  <c r="B5" i="5"/>
  <c r="C6" i="5"/>
  <c r="D6" i="5"/>
  <c r="B6" i="5"/>
  <c r="W30" i="1"/>
  <c r="V30" i="1"/>
  <c r="U30" i="1"/>
  <c r="T30" i="1"/>
  <c r="S30" i="1"/>
  <c r="R30" i="1"/>
  <c r="N29" i="1"/>
  <c r="M29" i="1"/>
  <c r="N28" i="1"/>
  <c r="M28" i="1"/>
  <c r="T26" i="1"/>
  <c r="S26" i="1"/>
  <c r="R26" i="1"/>
  <c r="W25" i="1"/>
  <c r="V25" i="1"/>
  <c r="Q25" i="1"/>
  <c r="P25" i="1"/>
  <c r="O25" i="1"/>
  <c r="U25" i="1" s="1"/>
  <c r="N25" i="1"/>
  <c r="R24" i="1"/>
  <c r="Q24" i="1"/>
  <c r="T24" i="1" s="1"/>
  <c r="P24" i="1"/>
  <c r="S24" i="1" s="1"/>
  <c r="V24" i="1" s="1"/>
  <c r="O24" i="1"/>
  <c r="U24" i="1" s="1"/>
  <c r="N24" i="1"/>
  <c r="M24" i="1"/>
  <c r="Q23" i="1"/>
  <c r="Q22" i="1" s="1"/>
  <c r="P23" i="1"/>
  <c r="O23" i="1"/>
  <c r="N23" i="1"/>
  <c r="M23" i="1"/>
  <c r="M22" i="1" s="1"/>
  <c r="L22" i="1"/>
  <c r="K22" i="1"/>
  <c r="J22" i="1"/>
  <c r="I22" i="1"/>
  <c r="H22" i="1"/>
  <c r="G22" i="1"/>
  <c r="F22" i="1"/>
  <c r="E22" i="1"/>
  <c r="D22" i="1"/>
  <c r="C22" i="1"/>
  <c r="O21" i="1"/>
  <c r="N21" i="1"/>
  <c r="M21" i="1"/>
  <c r="Q20" i="1"/>
  <c r="P20" i="1"/>
  <c r="O20" i="1"/>
  <c r="N20" i="1"/>
  <c r="M20" i="1"/>
  <c r="Q19" i="1"/>
  <c r="P19" i="1"/>
  <c r="O19" i="1"/>
  <c r="N19" i="1"/>
  <c r="M19" i="1"/>
  <c r="Q18" i="1"/>
  <c r="P18" i="1"/>
  <c r="O18" i="1"/>
  <c r="N18" i="1"/>
  <c r="M18" i="1"/>
  <c r="Q17" i="1"/>
  <c r="P17" i="1"/>
  <c r="O17" i="1"/>
  <c r="N17" i="1"/>
  <c r="M17" i="1"/>
  <c r="Q16" i="1"/>
  <c r="P16" i="1"/>
  <c r="O16" i="1"/>
  <c r="N16" i="1"/>
  <c r="M16" i="1"/>
  <c r="Q15" i="1"/>
  <c r="P15" i="1"/>
  <c r="O15" i="1"/>
  <c r="N15" i="1"/>
  <c r="M15" i="1"/>
  <c r="M14" i="1"/>
  <c r="Q13" i="1"/>
  <c r="P13" i="1"/>
  <c r="O13" i="1"/>
  <c r="N13" i="1"/>
  <c r="M13" i="1"/>
  <c r="Q12" i="1"/>
  <c r="P12" i="1"/>
  <c r="O12" i="1"/>
  <c r="N12" i="1"/>
  <c r="M12" i="1"/>
  <c r="Q11" i="1"/>
  <c r="P11" i="1"/>
  <c r="O11" i="1"/>
  <c r="N11" i="1"/>
  <c r="M11" i="1"/>
  <c r="Q10" i="1"/>
  <c r="P10" i="1"/>
  <c r="O10" i="1"/>
  <c r="O7" i="1" s="1"/>
  <c r="N10" i="1"/>
  <c r="M10" i="1"/>
  <c r="Q9" i="1"/>
  <c r="P9" i="1"/>
  <c r="O9" i="1"/>
  <c r="N9" i="1"/>
  <c r="M9" i="1"/>
  <c r="Q8" i="1"/>
  <c r="Q7" i="1" s="1"/>
  <c r="Q30" i="1" s="1"/>
  <c r="P8" i="1"/>
  <c r="O8" i="1"/>
  <c r="N8" i="1"/>
  <c r="N7" i="1" s="1"/>
  <c r="M8" i="1"/>
  <c r="M7" i="1" s="1"/>
  <c r="M30" i="1" s="1"/>
  <c r="L7" i="1"/>
  <c r="K7" i="1"/>
  <c r="J7" i="1"/>
  <c r="J30" i="1" s="1"/>
  <c r="I7" i="1"/>
  <c r="H7" i="1"/>
  <c r="G7" i="1"/>
  <c r="F7" i="1"/>
  <c r="F30" i="1" s="1"/>
  <c r="E7" i="1"/>
  <c r="D7" i="1"/>
  <c r="C7" i="1"/>
  <c r="F32" i="1"/>
  <c r="P32" i="1" s="1"/>
  <c r="G32" i="1"/>
  <c r="H32" i="1"/>
  <c r="Q32" i="1"/>
  <c r="R32" i="1"/>
  <c r="S32" i="1"/>
  <c r="T32" i="1"/>
  <c r="K30" i="1" l="1"/>
  <c r="G30" i="1"/>
  <c r="N22" i="1"/>
  <c r="N30" i="1" s="1"/>
  <c r="D30" i="1"/>
  <c r="H30" i="1"/>
  <c r="L30" i="1"/>
  <c r="O22" i="1"/>
  <c r="O30" i="1" s="1"/>
  <c r="E30" i="1"/>
  <c r="I30" i="1"/>
  <c r="P7" i="1"/>
  <c r="P22" i="1"/>
  <c r="C30" i="1"/>
  <c r="W24" i="1"/>
  <c r="P30" i="1" l="1"/>
  <c r="AB30" i="4" l="1"/>
  <c r="Y30" i="4"/>
  <c r="V31" i="4"/>
  <c r="V30" i="4"/>
  <c r="S31" i="4"/>
  <c r="S30" i="4"/>
  <c r="P30" i="4"/>
  <c r="M22" i="4" l="1"/>
  <c r="G22" i="4" s="1"/>
  <c r="N22" i="4"/>
  <c r="H22" i="4" s="1"/>
  <c r="L22" i="4"/>
  <c r="F22" i="4" s="1"/>
  <c r="AC25" i="4"/>
  <c r="AB25" i="4"/>
  <c r="Q25" i="4" l="1"/>
  <c r="P25" i="4"/>
  <c r="K25" i="4"/>
  <c r="J25" i="4"/>
  <c r="Z25" i="4" l="1"/>
  <c r="Y25" i="4"/>
  <c r="T25" i="4"/>
  <c r="S25" i="4"/>
  <c r="W25" i="4" l="1"/>
  <c r="V25" i="4"/>
  <c r="H42" i="1" l="1"/>
  <c r="H41" i="1"/>
  <c r="H39" i="1" l="1"/>
  <c r="H36" i="1"/>
  <c r="H35" i="1"/>
  <c r="H34" i="1"/>
  <c r="H33" i="1"/>
  <c r="L10" i="4" l="1"/>
  <c r="M10" i="4"/>
  <c r="N10" i="4"/>
  <c r="L11" i="4"/>
  <c r="M11" i="4"/>
  <c r="N11" i="4"/>
  <c r="L12" i="4"/>
  <c r="M12" i="4"/>
  <c r="N12" i="4"/>
  <c r="L13" i="4"/>
  <c r="M13" i="4"/>
  <c r="N13" i="4"/>
  <c r="L14" i="4"/>
  <c r="M14" i="4"/>
  <c r="N14" i="4"/>
  <c r="L15" i="4"/>
  <c r="M15" i="4"/>
  <c r="N15" i="4"/>
  <c r="L16" i="4"/>
  <c r="M16" i="4"/>
  <c r="N16" i="4"/>
  <c r="L17" i="4"/>
  <c r="M17" i="4"/>
  <c r="N17" i="4"/>
  <c r="L18" i="4"/>
  <c r="M18" i="4"/>
  <c r="N18" i="4"/>
  <c r="L19" i="4"/>
  <c r="M19" i="4"/>
  <c r="N19" i="4"/>
  <c r="L20" i="4"/>
  <c r="M20" i="4"/>
  <c r="N20" i="4"/>
  <c r="O35" i="1" l="1"/>
  <c r="AB31" i="4" l="1"/>
  <c r="AC31" i="4"/>
  <c r="AA26" i="4"/>
  <c r="AB26" i="4"/>
  <c r="AC26" i="4"/>
  <c r="J26" i="4"/>
  <c r="K26" i="4"/>
  <c r="I26" i="4"/>
  <c r="V26" i="4" l="1"/>
  <c r="W26" i="4"/>
  <c r="U26" i="4"/>
  <c r="Y26" i="4" l="1"/>
  <c r="Z26" i="4"/>
  <c r="X26" i="4"/>
  <c r="O26" i="4"/>
  <c r="P26" i="4"/>
  <c r="Q26" i="4"/>
  <c r="S26" i="4" l="1"/>
  <c r="T26" i="4"/>
  <c r="R26" i="4"/>
  <c r="I42" i="1" l="1"/>
  <c r="N34" i="1"/>
  <c r="O33" i="1"/>
  <c r="P33" i="1"/>
  <c r="Q33" i="1"/>
  <c r="M40" i="1" l="1"/>
  <c r="Q38" i="1"/>
  <c r="P38" i="1"/>
  <c r="O38" i="1"/>
  <c r="N38" i="1"/>
  <c r="M38" i="1"/>
  <c r="F47" i="1" l="1"/>
  <c r="F48" i="1" s="1"/>
  <c r="N37" i="1" l="1"/>
  <c r="N40" i="1"/>
  <c r="N43" i="1"/>
  <c r="N44" i="1"/>
  <c r="N46" i="1"/>
  <c r="M47" i="1"/>
  <c r="M48" i="1" s="1"/>
  <c r="H47" i="1" l="1"/>
  <c r="H48" i="1" s="1"/>
  <c r="N42" i="1"/>
  <c r="N41" i="1"/>
  <c r="N39" i="1"/>
  <c r="N47" i="1" l="1"/>
  <c r="N48" i="1" s="1"/>
  <c r="I47" i="1"/>
  <c r="I48" i="1" s="1"/>
  <c r="D47" i="1"/>
  <c r="D48" i="1" s="1"/>
  <c r="C47" i="1"/>
  <c r="C48" i="1" s="1"/>
  <c r="C9" i="5" l="1"/>
  <c r="D9" i="5"/>
  <c r="B9" i="5"/>
  <c r="P34" i="1"/>
  <c r="Q34" i="1"/>
  <c r="P35" i="1"/>
  <c r="Q35" i="1"/>
  <c r="P36" i="1"/>
  <c r="Q36" i="1"/>
  <c r="P37" i="1"/>
  <c r="Q37" i="1"/>
  <c r="P39" i="1"/>
  <c r="Q39" i="1"/>
  <c r="P40" i="1"/>
  <c r="Q40" i="1"/>
  <c r="P41" i="1"/>
  <c r="Q41" i="1"/>
  <c r="P42" i="1"/>
  <c r="Q42" i="1"/>
  <c r="O34" i="1"/>
  <c r="O36" i="1"/>
  <c r="O37" i="1"/>
  <c r="O39" i="1"/>
  <c r="O40" i="1"/>
  <c r="O41" i="1"/>
  <c r="O42" i="1"/>
  <c r="K47" i="1"/>
  <c r="K48" i="1" s="1"/>
  <c r="L47" i="1"/>
  <c r="L48" i="1" s="1"/>
  <c r="J47" i="1"/>
  <c r="J48" i="1" s="1"/>
  <c r="T47" i="1" l="1"/>
  <c r="R47" i="1"/>
  <c r="S47" i="1"/>
  <c r="AA51" i="4"/>
  <c r="AB51" i="4"/>
  <c r="AC51" i="4"/>
  <c r="Q55" i="4"/>
  <c r="R55" i="4"/>
  <c r="S55" i="4"/>
  <c r="T55" i="4"/>
  <c r="U55" i="4"/>
  <c r="V55" i="4"/>
  <c r="W55" i="4"/>
  <c r="X55" i="4"/>
  <c r="Y55" i="4"/>
  <c r="Z55" i="4"/>
  <c r="AA55" i="4"/>
  <c r="AB55" i="4"/>
  <c r="AC55" i="4"/>
  <c r="AA56" i="4"/>
  <c r="AB56" i="4"/>
  <c r="AC56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P57" i="4"/>
  <c r="P55" i="4"/>
  <c r="AB54" i="4" l="1"/>
  <c r="AA54" i="4"/>
  <c r="AC54" i="4"/>
  <c r="K54" i="4" l="1"/>
  <c r="J54" i="4"/>
  <c r="L32" i="4"/>
  <c r="M32" i="4"/>
  <c r="N32" i="4"/>
  <c r="F32" i="4" l="1"/>
  <c r="G32" i="4"/>
  <c r="H32" i="4"/>
  <c r="N34" i="4"/>
  <c r="H34" i="4" s="1"/>
  <c r="L34" i="4"/>
  <c r="F34" i="4" s="1"/>
  <c r="P31" i="4"/>
  <c r="Q31" i="4"/>
  <c r="X31" i="4"/>
  <c r="Y31" i="4"/>
  <c r="Z31" i="4"/>
  <c r="O31" i="4"/>
  <c r="O51" i="4" s="1"/>
  <c r="X43" i="4"/>
  <c r="X52" i="4" s="1"/>
  <c r="Y43" i="4"/>
  <c r="Y52" i="4" s="1"/>
  <c r="Z43" i="4"/>
  <c r="Z52" i="4" s="1"/>
  <c r="AA43" i="4"/>
  <c r="AA52" i="4" s="1"/>
  <c r="AB43" i="4"/>
  <c r="AB52" i="4" s="1"/>
  <c r="AC43" i="4"/>
  <c r="AC52" i="4" s="1"/>
  <c r="U43" i="4"/>
  <c r="U52" i="4" s="1"/>
  <c r="V43" i="4"/>
  <c r="V52" i="4" s="1"/>
  <c r="W43" i="4"/>
  <c r="W52" i="4" s="1"/>
  <c r="R43" i="4"/>
  <c r="R52" i="4" s="1"/>
  <c r="S43" i="4"/>
  <c r="S52" i="4" s="1"/>
  <c r="T43" i="4"/>
  <c r="T52" i="4" s="1"/>
  <c r="P43" i="4"/>
  <c r="P52" i="4" s="1"/>
  <c r="Q43" i="4"/>
  <c r="Q52" i="4" s="1"/>
  <c r="O43" i="4"/>
  <c r="O52" i="4" s="1"/>
  <c r="I48" i="4"/>
  <c r="Z56" i="4" l="1"/>
  <c r="Z54" i="4" s="1"/>
  <c r="Z51" i="4"/>
  <c r="R56" i="4"/>
  <c r="R54" i="4" s="1"/>
  <c r="R51" i="4"/>
  <c r="Y56" i="4"/>
  <c r="Y54" i="4" s="1"/>
  <c r="Y51" i="4"/>
  <c r="U56" i="4"/>
  <c r="U54" i="4" s="1"/>
  <c r="U51" i="4"/>
  <c r="Q56" i="4"/>
  <c r="Q54" i="4" s="1"/>
  <c r="Q51" i="4"/>
  <c r="V56" i="4"/>
  <c r="V54" i="4" s="1"/>
  <c r="V51" i="4"/>
  <c r="X56" i="4"/>
  <c r="X54" i="4" s="1"/>
  <c r="X51" i="4"/>
  <c r="T56" i="4"/>
  <c r="T54" i="4" s="1"/>
  <c r="T51" i="4"/>
  <c r="P56" i="4"/>
  <c r="P51" i="4"/>
  <c r="W56" i="4"/>
  <c r="W54" i="4" s="1"/>
  <c r="W51" i="4"/>
  <c r="S56" i="4"/>
  <c r="S54" i="4" s="1"/>
  <c r="S51" i="4"/>
  <c r="N31" i="4"/>
  <c r="M31" i="4"/>
  <c r="L31" i="4"/>
  <c r="P60" i="4"/>
  <c r="O60" i="4"/>
  <c r="M34" i="4"/>
  <c r="G34" i="4" s="1"/>
  <c r="Q60" i="4"/>
  <c r="F31" i="4" l="1"/>
  <c r="G31" i="4"/>
  <c r="H31" i="4"/>
  <c r="J43" i="4"/>
  <c r="K43" i="4"/>
  <c r="I43" i="4"/>
  <c r="J39" i="4"/>
  <c r="K39" i="4"/>
  <c r="J28" i="4"/>
  <c r="J51" i="4" s="1"/>
  <c r="K28" i="4"/>
  <c r="K51" i="4" s="1"/>
  <c r="I28" i="4"/>
  <c r="I51" i="4" s="1"/>
  <c r="I52" i="4" l="1"/>
  <c r="K52" i="4"/>
  <c r="J52" i="4"/>
  <c r="I49" i="4"/>
  <c r="L9" i="4"/>
  <c r="M9" i="4"/>
  <c r="G9" i="4" s="1"/>
  <c r="N9" i="4"/>
  <c r="H9" i="4" s="1"/>
  <c r="F10" i="4"/>
  <c r="G10" i="4"/>
  <c r="H10" i="4"/>
  <c r="F11" i="4"/>
  <c r="G11" i="4"/>
  <c r="H11" i="4"/>
  <c r="L21" i="4"/>
  <c r="F21" i="4" s="1"/>
  <c r="M21" i="4"/>
  <c r="G21" i="4" s="1"/>
  <c r="N21" i="4"/>
  <c r="H21" i="4" s="1"/>
  <c r="F13" i="4"/>
  <c r="G13" i="4"/>
  <c r="H13" i="4"/>
  <c r="F14" i="4"/>
  <c r="G14" i="4"/>
  <c r="H14" i="4"/>
  <c r="F15" i="4"/>
  <c r="G15" i="4"/>
  <c r="H15" i="4"/>
  <c r="F16" i="4"/>
  <c r="G16" i="4"/>
  <c r="H16" i="4"/>
  <c r="F17" i="4"/>
  <c r="G17" i="4"/>
  <c r="H17" i="4"/>
  <c r="F18" i="4"/>
  <c r="G18" i="4"/>
  <c r="H18" i="4"/>
  <c r="F19" i="4"/>
  <c r="G19" i="4"/>
  <c r="H19" i="4"/>
  <c r="F20" i="4"/>
  <c r="G20" i="4"/>
  <c r="H20" i="4"/>
  <c r="H12" i="4"/>
  <c r="G12" i="4"/>
  <c r="F12" i="4"/>
  <c r="G8" i="4" l="1"/>
  <c r="G23" i="4" s="1"/>
  <c r="H8" i="4"/>
  <c r="H23" i="4" s="1"/>
  <c r="N8" i="4"/>
  <c r="N23" i="4" s="1"/>
  <c r="M8" i="4"/>
  <c r="M23" i="4" s="1"/>
  <c r="L8" i="4"/>
  <c r="L23" i="4" s="1"/>
  <c r="F9" i="4"/>
  <c r="F8" i="4" s="1"/>
  <c r="F23" i="4" s="1"/>
  <c r="C25" i="4" l="1"/>
  <c r="L27" i="4"/>
  <c r="F27" i="4" s="1"/>
  <c r="M27" i="4"/>
  <c r="G27" i="4" s="1"/>
  <c r="N27" i="4"/>
  <c r="H27" i="4" s="1"/>
  <c r="L29" i="4"/>
  <c r="F29" i="4" s="1"/>
  <c r="M29" i="4"/>
  <c r="G29" i="4" s="1"/>
  <c r="N29" i="4"/>
  <c r="H29" i="4" s="1"/>
  <c r="L30" i="4"/>
  <c r="F30" i="4" s="1"/>
  <c r="M30" i="4"/>
  <c r="G30" i="4" s="1"/>
  <c r="N30" i="4"/>
  <c r="H30" i="4" s="1"/>
  <c r="L33" i="4"/>
  <c r="F33" i="4" s="1"/>
  <c r="M33" i="4"/>
  <c r="G33" i="4" s="1"/>
  <c r="N33" i="4"/>
  <c r="H33" i="4" s="1"/>
  <c r="L35" i="4"/>
  <c r="F35" i="4" s="1"/>
  <c r="M35" i="4"/>
  <c r="G35" i="4" s="1"/>
  <c r="N35" i="4"/>
  <c r="H35" i="4" s="1"/>
  <c r="L36" i="4"/>
  <c r="F36" i="4" s="1"/>
  <c r="M36" i="4"/>
  <c r="G36" i="4" s="1"/>
  <c r="N36" i="4"/>
  <c r="H36" i="4" s="1"/>
  <c r="L37" i="4"/>
  <c r="F37" i="4" s="1"/>
  <c r="M37" i="4"/>
  <c r="G37" i="4" s="1"/>
  <c r="N37" i="4"/>
  <c r="H37" i="4" s="1"/>
  <c r="L38" i="4"/>
  <c r="F38" i="4" s="1"/>
  <c r="M38" i="4"/>
  <c r="G38" i="4" s="1"/>
  <c r="N38" i="4"/>
  <c r="H38" i="4" s="1"/>
  <c r="L39" i="4"/>
  <c r="F39" i="4" s="1"/>
  <c r="M39" i="4"/>
  <c r="G39" i="4" s="1"/>
  <c r="N39" i="4"/>
  <c r="H39" i="4" s="1"/>
  <c r="L40" i="4"/>
  <c r="F40" i="4" s="1"/>
  <c r="M40" i="4"/>
  <c r="G40" i="4" s="1"/>
  <c r="N40" i="4"/>
  <c r="H40" i="4" s="1"/>
  <c r="L41" i="4"/>
  <c r="F41" i="4" s="1"/>
  <c r="M41" i="4"/>
  <c r="G41" i="4" s="1"/>
  <c r="N41" i="4"/>
  <c r="H41" i="4" s="1"/>
  <c r="L42" i="4"/>
  <c r="F42" i="4" s="1"/>
  <c r="M42" i="4"/>
  <c r="G42" i="4" s="1"/>
  <c r="N42" i="4"/>
  <c r="H42" i="4" s="1"/>
  <c r="L44" i="4"/>
  <c r="F44" i="4" s="1"/>
  <c r="M44" i="4"/>
  <c r="G44" i="4" s="1"/>
  <c r="N44" i="4"/>
  <c r="H44" i="4" s="1"/>
  <c r="L45" i="4"/>
  <c r="F45" i="4" s="1"/>
  <c r="M45" i="4"/>
  <c r="G45" i="4" s="1"/>
  <c r="N45" i="4"/>
  <c r="H45" i="4" s="1"/>
  <c r="L46" i="4"/>
  <c r="F46" i="4" s="1"/>
  <c r="M46" i="4"/>
  <c r="G46" i="4" s="1"/>
  <c r="N46" i="4"/>
  <c r="H46" i="4" s="1"/>
  <c r="L47" i="4"/>
  <c r="F47" i="4" s="1"/>
  <c r="M47" i="4"/>
  <c r="G47" i="4" s="1"/>
  <c r="N47" i="4"/>
  <c r="H47" i="4" s="1"/>
  <c r="M25" i="4"/>
  <c r="G25" i="4" s="1"/>
  <c r="N25" i="4"/>
  <c r="H25" i="4" s="1"/>
  <c r="L25" i="4"/>
  <c r="F25" i="4" s="1"/>
  <c r="C9" i="4"/>
  <c r="C49" i="4"/>
  <c r="D49" i="4"/>
  <c r="E49" i="4"/>
  <c r="AB49" i="4"/>
  <c r="P54" i="4"/>
  <c r="Z49" i="4"/>
  <c r="AC49" i="4"/>
  <c r="L26" i="4"/>
  <c r="M26" i="4"/>
  <c r="Q49" i="4"/>
  <c r="N26" i="4"/>
  <c r="X49" i="4"/>
  <c r="G48" i="4" l="1"/>
  <c r="T49" i="4"/>
  <c r="F48" i="4"/>
  <c r="F50" i="4" s="1"/>
  <c r="H48" i="4"/>
  <c r="W49" i="4"/>
  <c r="N43" i="4"/>
  <c r="H43" i="4" s="1"/>
  <c r="L43" i="4"/>
  <c r="F43" i="4" s="1"/>
  <c r="N28" i="4"/>
  <c r="N51" i="4" s="1"/>
  <c r="H51" i="4" s="1"/>
  <c r="M28" i="4"/>
  <c r="M51" i="4" s="1"/>
  <c r="G51" i="4" s="1"/>
  <c r="S49" i="4"/>
  <c r="L28" i="4"/>
  <c r="L51" i="4" s="1"/>
  <c r="F51" i="4" s="1"/>
  <c r="V49" i="4"/>
  <c r="Y49" i="4"/>
  <c r="R49" i="4"/>
  <c r="U49" i="4"/>
  <c r="P49" i="4"/>
  <c r="M43" i="4"/>
  <c r="G43" i="4" s="1"/>
  <c r="AA49" i="4"/>
  <c r="O49" i="4"/>
  <c r="L52" i="4" l="1"/>
  <c r="F52" i="4" s="1"/>
  <c r="M52" i="4"/>
  <c r="G52" i="4" s="1"/>
  <c r="N52" i="4"/>
  <c r="H52" i="4" s="1"/>
  <c r="G50" i="4"/>
  <c r="H50" i="4"/>
  <c r="N49" i="4"/>
  <c r="M49" i="4"/>
  <c r="L49" i="4"/>
  <c r="J48" i="4"/>
  <c r="J53" i="4" s="1"/>
  <c r="K48" i="4"/>
  <c r="K53" i="4" s="1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G28" i="4"/>
  <c r="H28" i="4"/>
  <c r="G26" i="4"/>
  <c r="H26" i="4"/>
  <c r="F26" i="4"/>
  <c r="I8" i="4"/>
  <c r="Z53" i="4" l="1"/>
  <c r="V53" i="4"/>
  <c r="AC53" i="4"/>
  <c r="Y53" i="4"/>
  <c r="Q53" i="4"/>
  <c r="AB53" i="4"/>
  <c r="T53" i="4"/>
  <c r="P53" i="4"/>
  <c r="W53" i="4"/>
  <c r="S53" i="4"/>
  <c r="H49" i="4"/>
  <c r="G49" i="4"/>
  <c r="F28" i="4"/>
  <c r="F49" i="4" s="1"/>
  <c r="K49" i="4"/>
  <c r="J49" i="4"/>
  <c r="N48" i="4"/>
  <c r="N50" i="4" s="1"/>
  <c r="M48" i="4"/>
  <c r="M50" i="4" s="1"/>
  <c r="L48" i="4"/>
  <c r="L50" i="4" s="1"/>
  <c r="C46" i="4" l="1"/>
  <c r="C27" i="4" l="1"/>
  <c r="D27" i="4"/>
  <c r="E27" i="4"/>
  <c r="C29" i="4"/>
  <c r="D29" i="4"/>
  <c r="E29" i="4"/>
  <c r="C30" i="4"/>
  <c r="D30" i="4"/>
  <c r="E30" i="4"/>
  <c r="C33" i="4"/>
  <c r="C36" i="4"/>
  <c r="D36" i="4"/>
  <c r="E36" i="4"/>
  <c r="C37" i="4"/>
  <c r="D37" i="4"/>
  <c r="E37" i="4"/>
  <c r="C38" i="4"/>
  <c r="D38" i="4"/>
  <c r="E38" i="4"/>
  <c r="C40" i="4"/>
  <c r="D40" i="4"/>
  <c r="E40" i="4"/>
  <c r="C41" i="4"/>
  <c r="D41" i="4"/>
  <c r="E41" i="4"/>
  <c r="C42" i="4"/>
  <c r="D42" i="4"/>
  <c r="E42" i="4"/>
  <c r="C44" i="4"/>
  <c r="D44" i="4"/>
  <c r="E44" i="4"/>
  <c r="C45" i="4"/>
  <c r="D45" i="4"/>
  <c r="E45" i="4"/>
  <c r="D46" i="4"/>
  <c r="E46" i="4"/>
  <c r="C47" i="4"/>
  <c r="D47" i="4"/>
  <c r="E47" i="4"/>
  <c r="E25" i="4"/>
  <c r="D25" i="4"/>
  <c r="C10" i="4"/>
  <c r="D10" i="4"/>
  <c r="E10" i="4"/>
  <c r="C11" i="4"/>
  <c r="D11" i="4"/>
  <c r="E11" i="4"/>
  <c r="C12" i="4"/>
  <c r="D12" i="4"/>
  <c r="E12" i="4"/>
  <c r="C13" i="4"/>
  <c r="D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D9" i="4"/>
  <c r="E9" i="4"/>
  <c r="C8" i="4" l="1"/>
  <c r="I23" i="4" l="1"/>
  <c r="J8" i="4"/>
  <c r="J23" i="4" s="1"/>
  <c r="K8" i="4"/>
  <c r="K23" i="4" s="1"/>
  <c r="K50" i="4" l="1"/>
  <c r="I50" i="4"/>
  <c r="J50" i="4"/>
  <c r="D33" i="4" l="1"/>
  <c r="E33" i="4" l="1"/>
  <c r="E48" i="4" s="1"/>
  <c r="W8" i="4"/>
  <c r="W23" i="4" s="1"/>
  <c r="V8" i="4"/>
  <c r="V23" i="4" s="1"/>
  <c r="U8" i="4"/>
  <c r="U23" i="4" s="1"/>
  <c r="AC8" i="4"/>
  <c r="AC23" i="4" s="1"/>
  <c r="AB8" i="4"/>
  <c r="AB23" i="4" s="1"/>
  <c r="AA8" i="4"/>
  <c r="AA23" i="4" s="1"/>
  <c r="Z8" i="4"/>
  <c r="Z23" i="4" s="1"/>
  <c r="Y8" i="4"/>
  <c r="Y23" i="4" s="1"/>
  <c r="X8" i="4"/>
  <c r="X23" i="4" s="1"/>
  <c r="T8" i="4"/>
  <c r="T23" i="4" s="1"/>
  <c r="S8" i="4"/>
  <c r="S23" i="4" s="1"/>
  <c r="R8" i="4"/>
  <c r="R23" i="4" s="1"/>
  <c r="Q8" i="4"/>
  <c r="Q23" i="4" s="1"/>
  <c r="P8" i="4"/>
  <c r="P23" i="4" s="1"/>
  <c r="O8" i="4"/>
  <c r="O23" i="4" l="1"/>
  <c r="O50" i="4" s="1"/>
  <c r="P50" i="4"/>
  <c r="Q50" i="4"/>
  <c r="W50" i="4"/>
  <c r="V50" i="4"/>
  <c r="U50" i="4"/>
  <c r="T50" i="4"/>
  <c r="S50" i="4"/>
  <c r="R50" i="4"/>
  <c r="X50" i="4"/>
  <c r="Y50" i="4"/>
  <c r="Z50" i="4"/>
  <c r="AC50" i="4"/>
  <c r="AB50" i="4"/>
  <c r="AA50" i="4"/>
  <c r="C48" i="4"/>
  <c r="E8" i="4"/>
  <c r="E23" i="4" s="1"/>
  <c r="E50" i="4" s="1"/>
  <c r="D8" i="4"/>
  <c r="D23" i="4" s="1"/>
  <c r="C23" i="4"/>
  <c r="D48" i="4"/>
  <c r="C50" i="4" l="1"/>
  <c r="D50" i="4"/>
  <c r="P46" i="1" l="1"/>
  <c r="Q46" i="1"/>
  <c r="O46" i="1"/>
  <c r="G47" i="1" l="1"/>
  <c r="G48" i="1" s="1"/>
  <c r="E47" i="1"/>
  <c r="E48" i="1" s="1"/>
  <c r="O43" i="1" l="1"/>
  <c r="P43" i="1"/>
  <c r="P47" i="1" s="1"/>
  <c r="P48" i="1" s="1"/>
  <c r="Q43" i="1"/>
  <c r="O44" i="1"/>
  <c r="P44" i="1"/>
  <c r="Q44" i="1"/>
  <c r="B4" i="5" l="1"/>
  <c r="D4" i="5"/>
  <c r="D16" i="5" s="1"/>
  <c r="C4" i="5"/>
  <c r="C16" i="5" s="1"/>
  <c r="O47" i="1"/>
  <c r="O48" i="1" s="1"/>
  <c r="Q47" i="1"/>
  <c r="Q48" i="1" s="1"/>
  <c r="B18" i="5" l="1"/>
  <c r="B21" i="5" s="1"/>
  <c r="D18" i="5"/>
  <c r="C18" i="5"/>
</calcChain>
</file>

<file path=xl/sharedStrings.xml><?xml version="1.0" encoding="utf-8"?>
<sst xmlns="http://schemas.openxmlformats.org/spreadsheetml/2006/main" count="222" uniqueCount="124">
  <si>
    <t xml:space="preserve">Код бюджетной классификации </t>
  </si>
  <si>
    <t xml:space="preserve">Наименование </t>
  </si>
  <si>
    <t>1 00 00000 00 0000 000</t>
  </si>
  <si>
    <t xml:space="preserve">НАЛОГОВЫЕ И НЕНАЛОГОВЫЕ ДОХОДЫ                                 </t>
  </si>
  <si>
    <t>1 01 00000 00 0000 000</t>
  </si>
  <si>
    <t>НАЛОГИ НА ПРИБЫЛЬ, ДОХОДЫ</t>
  </si>
  <si>
    <t>1 03 00000 00 0000 000</t>
  </si>
  <si>
    <t>НАЛОГИ НА ТОВАРЫ (РАБОТЫ, УСЛУГИ), РЕАЛИЗУЕМЫЕ НА ТЕРРИТОРИИ РОССИЙСКОЙ ФЕДЕРАЦИИ</t>
  </si>
  <si>
    <t>1 05 00000 00 0000 000</t>
  </si>
  <si>
    <t>НАЛОГИ НА СОВОКУПНЫЙ ДОХОД</t>
  </si>
  <si>
    <t>1 06 00000 00 0000 000</t>
  </si>
  <si>
    <t>НАЛОГИ НА ИМУЩЕСТВО</t>
  </si>
  <si>
    <t>1 07 00000 00 0000 000</t>
  </si>
  <si>
    <t>НАЛОГИ, СБОРЫ И РЕГУЛЯРНЫЕ ПЛАТЕЖИ ЗА ПОЛЬЗОВАНИЕ ПРИРОДНЫМИ РЕСУРСАМИ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</si>
  <si>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</si>
  <si>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</si>
  <si>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</si>
  <si>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</si>
  <si>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</si>
  <si>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</si>
  <si>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</si>
  <si>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</si>
  <si>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</si>
  <si>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</si>
  <si>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1 15 00000 00 0000 000</t>
  </si>
  <si>
    <t>АДМИНИСТРАТИВНЫЕ ПЛАТЕЖИ И СБОРЫ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</si>
  <si>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</si>
  <si>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</si>
  <si>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</si>
  <si>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</si>
  <si>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ИТОГО ДОХОДОВ</t>
  </si>
  <si>
    <t>РАСХОДЫ</t>
  </si>
  <si>
    <t>0100</t>
  </si>
  <si>
    <t>ОБЩЕГОСУДАРСТВЕННЫЕ ВОПРОСЫ</t>
  </si>
  <si>
    <t>0200</t>
  </si>
  <si>
    <t>НАЦИОНАЛЬНАЯ ОБОРОНА</t>
  </si>
  <si>
    <t>0300</t>
  </si>
  <si>
    <t>НАЦИОНАЛЬНАЯ БЕЗОПАСНОСТЬ И ПРАВООХРАНИТЕЛЬНАЯ ДЕЯТЕЛЬНОСТЬ</t>
  </si>
  <si>
    <t>0400</t>
  </si>
  <si>
    <t>НАЦИОНАЛЬНАЯ ЭКОНОМИКА</t>
  </si>
  <si>
    <t>0500</t>
  </si>
  <si>
    <t>ЖИЛИЩНО-КОММУНАЛЬНОЕ ХОЗЯЙСТВО</t>
  </si>
  <si>
    <t>0600</t>
  </si>
  <si>
    <t>ОХРАНА ОКРУЖАЮЩЕЙ СРЕДЫ</t>
  </si>
  <si>
    <t>0700</t>
  </si>
  <si>
    <t>ОБРАЗОВАНИЕ</t>
  </si>
  <si>
    <t>0800</t>
  </si>
  <si>
    <t>КУЛЬТУРА, КИНЕМАТОГРАФИЯ</t>
  </si>
  <si>
    <t>0900</t>
  </si>
  <si>
    <t>ЗДРАВООХРАНЕНИЕ</t>
  </si>
  <si>
    <t>1000</t>
  </si>
  <si>
    <t>СОЦИАЛЬНАЯ ПОЛИТИКА</t>
  </si>
  <si>
    <t>1100</t>
  </si>
  <si>
    <t>ФИЗИЧЕСКАЯ КУЛЬТУРА И СПОРТ</t>
  </si>
  <si>
    <t>1200</t>
  </si>
  <si>
    <t>СРЕДСТВА МАССОВОЙ ИНФОРМАЦИИ</t>
  </si>
  <si>
    <t>1300</t>
  </si>
  <si>
    <t>ОБСЛУЖИВАНИЕ ГОСУДАРСТВЕННОГО И МУНИЦИПАЛЬНОГО ДОЛГА</t>
  </si>
  <si>
    <t>1400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</si>
  <si>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</si>
  <si>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ИТОГО РАСХОДОВ</t>
  </si>
  <si>
    <t>ДЕФИЦИТ БЮДЖЕТА (-), ПРОФИЦИТ БЮДЖЕТА (+)</t>
  </si>
  <si>
    <t>Бюджет муниципального района</t>
  </si>
  <si>
    <t>Бюджеты поселений</t>
  </si>
  <si>
    <t>Консолидированный бюджет района</t>
  </si>
  <si>
    <t>2020 год</t>
  </si>
  <si>
    <t>рублей</t>
  </si>
  <si>
    <t>9999</t>
  </si>
  <si>
    <t>УСЛОВНО УТВЕРЖДЕННЫЕ РАСХОДЫ</t>
  </si>
  <si>
    <t>2021 год</t>
  </si>
  <si>
    <t>ПРОГНОЗ ОСНОВНЫХ ХАРАКТЕРИСТИК КОНСОЛИДИРОВАННОГО БЮДЖЕТА КЛЕТНЯНСКОГО РАЙОНА НА 2020 ГОД И НА ПЛАНОВЫЙ ПЕРИОД 2021 И 2022 ГОДОВ</t>
  </si>
  <si>
    <t>2022 год</t>
  </si>
  <si>
    <t>Акуличи</t>
  </si>
  <si>
    <t>от района</t>
  </si>
  <si>
    <t>в район</t>
  </si>
  <si>
    <t>Всего</t>
  </si>
  <si>
    <t>Клетня</t>
  </si>
  <si>
    <t>Лутна</t>
  </si>
  <si>
    <t>Мирный</t>
  </si>
  <si>
    <t>Мужиново</t>
  </si>
  <si>
    <t>Надва</t>
  </si>
  <si>
    <t>Целевые МБТ</t>
  </si>
  <si>
    <t>ВУС</t>
  </si>
  <si>
    <t>дороги</t>
  </si>
  <si>
    <t>жилье</t>
  </si>
  <si>
    <t>вода</t>
  </si>
  <si>
    <t>2024 год</t>
  </si>
  <si>
    <t>СД</t>
  </si>
  <si>
    <t>с/п</t>
  </si>
  <si>
    <t>МР</t>
  </si>
  <si>
    <t>Дотации</t>
  </si>
  <si>
    <t>Субсидии</t>
  </si>
  <si>
    <t>Субвенции</t>
  </si>
  <si>
    <t>Иные МБТ</t>
  </si>
  <si>
    <t>Консолидация</t>
  </si>
  <si>
    <t>дор.фонд</t>
  </si>
  <si>
    <t>2025 год</t>
  </si>
  <si>
    <t>МБТ из МР</t>
  </si>
  <si>
    <t>МБТ от поселений в район</t>
  </si>
  <si>
    <t>п</t>
  </si>
  <si>
    <t>г/п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</si>
  <si>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</si>
  <si>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</si>
  <si>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</si>
  <si>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</si>
  <si>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</si>
  <si>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</si>
  <si>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</si>
  <si>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</si>
  <si>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1 09 00000 00 0000 000</t>
  </si>
  <si>
    <t xml:space="preserve">ЗАДОЛЖЕННОСТЬ И ПЕРЕРАСЧЕТЫ ПО ОТМЕНЕННЫМ НАЛОГАМ, СБОРАМ И ИНЫМ ОБЯЗАТЕЛЬНЫМ ПЛАТЕЖАМ
</t>
  </si>
  <si>
    <t>1 17 00000 00 0000 000</t>
  </si>
  <si>
    <t>ПРОЧИЕ НЕНАЛОГОВЫЕ ДОХОДЫ</t>
  </si>
  <si>
    <t>2 19 00000 00 0000 150</t>
  </si>
  <si>
    <t>Возврат остатков субсидий, субвенций и иных межбюджетных трансфертов, имеющих целевое назначение, прошлых лет</t>
  </si>
  <si>
    <t>2026 год</t>
  </si>
  <si>
    <t>2023 год (исполнение)</t>
  </si>
  <si>
    <t>2024 год (оценка)</t>
  </si>
  <si>
    <t>2027 год</t>
  </si>
  <si>
    <t>ПРОГНОЗ ОСНОВНЫХ ХАРАКТЕРИСТИК КОНСОЛИДИРОВАННОГО БЮДЖЕТА КЛЕТНЯНСКОГО РАЙОНА 
НА 2025 ГОД И НА ПЛАНОВЫЙ ПЕРИОД 2026 И 2027 ГОДОВ</t>
  </si>
  <si>
    <t>2 02  49999 00 0000 150</t>
  </si>
  <si>
    <t>Прочие  межбюджетные трансферты,  передаваемые  бюджетам</t>
  </si>
  <si>
    <t>2 18 00000 00 0000 150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</si>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</sst>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_р_."/>
    <numFmt numFmtId="166" formatCode="0.0"/>
  </numFmts>
  <fonts count="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164" fontId="2" fillId="5" borderId="2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4" fontId="2" fillId="4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center"/>
    </xf>
    <xf numFmtId="4" fontId="2" fillId="0" borderId="0" xfId="0" applyNumberFormat="1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2" fillId="0" borderId="3" xfId="0" quotePrefix="1" applyNumberFormat="1" applyFont="1" applyFill="1" applyBorder="1" applyAlignment="1">
      <alignment horizontal="center" vertical="center" wrapText="1"/>
    </xf>
    <xf numFmtId="49" fontId="2" fillId="0" borderId="4" xfId="0" quotePrefix="1" applyNumberFormat="1" applyFont="1" applyFill="1" applyBorder="1" applyAlignment="1">
      <alignment horizontal="center" vertical="center" wrapText="1"/>
    </xf>
    <xf numFmtId="165" fontId="1" fillId="3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49" fontId="2" fillId="3" borderId="2" xfId="0" quotePrefix="1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165" fontId="2" fillId="3" borderId="2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vertical="center" wrapText="1"/>
    </xf>
    <xf numFmtId="165" fontId="2" fillId="0" borderId="0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 wrapText="1"/>
    </xf>
    <xf numFmtId="0" fontId="2" fillId="6" borderId="2" xfId="0" applyNumberFormat="1" applyFont="1" applyFill="1" applyBorder="1" applyAlignment="1">
      <alignment horizontal="left" vertical="center" wrapText="1"/>
    </xf>
    <xf numFmtId="165" fontId="2" fillId="6" borderId="2" xfId="0" applyNumberFormat="1" applyFont="1" applyFill="1" applyBorder="1" applyAlignment="1">
      <alignment horizontal="center" vertical="center" wrapText="1"/>
    </xf>
    <xf numFmtId="4" fontId="5" fillId="6" borderId="2" xfId="0" applyNumberFormat="1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 wrapText="1"/>
    </xf>
    <xf numFmtId="0" fontId="3" fillId="6" borderId="0" xfId="0" applyFont="1" applyFill="1" applyBorder="1" applyAlignment="1">
      <alignment vertical="center" wrapText="1"/>
    </xf>
    <xf numFmtId="0" fontId="2" fillId="6" borderId="0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left" vertical="center" wrapText="1"/>
    </xf>
    <xf numFmtId="4" fontId="2" fillId="6" borderId="2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166" fontId="2" fillId="2" borderId="0" xfId="0" applyNumberFormat="1" applyFont="1" applyFill="1" applyBorder="1" applyAlignment="1">
      <alignment vertical="center" wrapText="1"/>
    </xf>
    <xf numFmtId="0" fontId="4" fillId="6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7" fillId="0" borderId="0" xfId="0" applyFont="1"/>
    <xf numFmtId="4" fontId="7" fillId="0" borderId="0" xfId="0" applyNumberFormat="1" applyFont="1"/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0" fontId="7" fillId="0" borderId="2" xfId="0" applyFont="1" applyBorder="1"/>
    <xf numFmtId="4" fontId="7" fillId="0" borderId="2" xfId="0" applyNumberFormat="1" applyFont="1" applyBorder="1"/>
    <xf numFmtId="4" fontId="5" fillId="7" borderId="2" xfId="0" applyNumberFormat="1" applyFont="1" applyFill="1" applyBorder="1" applyAlignment="1">
      <alignment horizontal="right" vertical="center"/>
    </xf>
    <xf numFmtId="49" fontId="6" fillId="7" borderId="2" xfId="0" applyNumberFormat="1" applyFont="1" applyFill="1" applyBorder="1" applyAlignment="1">
      <alignment horizontal="center" vertical="center" wrapText="1"/>
    </xf>
    <xf numFmtId="0" fontId="2" fillId="7" borderId="2" xfId="0" applyNumberFormat="1" applyFont="1" applyFill="1" applyBorder="1" applyAlignment="1">
      <alignment horizontal="left" vertical="center" wrapText="1"/>
    </xf>
    <xf numFmtId="165" fontId="2" fillId="7" borderId="2" xfId="0" applyNumberFormat="1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/>
    </xf>
    <xf numFmtId="0" fontId="4" fillId="7" borderId="0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2" fillId="2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49" fontId="2" fillId="0" borderId="2" xfId="0" quotePrefix="1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165" fontId="2" fillId="0" borderId="2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vertical="center" wrapText="1"/>
    </xf>
    <xf numFmtId="165" fontId="1" fillId="3" borderId="2" xfId="0" applyNumberFormat="1" applyFont="1" applyFill="1" applyBorder="1" applyAlignment="1">
      <alignment horizontal="right" vertical="center"/>
    </xf>
    <xf numFmtId="165" fontId="2" fillId="0" borderId="2" xfId="0" applyNumberFormat="1" applyFont="1" applyFill="1" applyBorder="1" applyAlignment="1">
      <alignment horizontal="right" vertical="center" wrapText="1"/>
    </xf>
    <xf numFmtId="165" fontId="2" fillId="2" borderId="2" xfId="0" applyNumberFormat="1" applyFont="1" applyFill="1" applyBorder="1" applyAlignment="1">
      <alignment horizontal="right" vertical="center" wrapText="1"/>
    </xf>
    <xf numFmtId="165" fontId="2" fillId="3" borderId="2" xfId="0" applyNumberFormat="1" applyFont="1" applyFill="1" applyBorder="1" applyAlignment="1">
      <alignment horizontal="right" vertical="center" wrapText="1"/>
    </xf>
    <xf numFmtId="165" fontId="2" fillId="4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164" fontId="2" fillId="10" borderId="2" xfId="0" applyNumberFormat="1" applyFont="1" applyFill="1" applyBorder="1" applyAlignment="1">
      <alignment horizontal="center" vertical="center"/>
    </xf>
    <xf numFmtId="165" fontId="2" fillId="1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4" fontId="5" fillId="10" borderId="2" xfId="0" applyNumberFormat="1" applyFont="1" applyFill="1" applyBorder="1" applyAlignment="1">
      <alignment horizontal="right" vertical="center"/>
    </xf>
    <xf numFmtId="165" fontId="2" fillId="1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0" fillId="0" borderId="0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49" fontId="2" fillId="3" borderId="2" xfId="0" quotePrefix="1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tabSelected="1" zoomScale="78" zoomScaleNormal="78" workbookViewId="0">
      <pane xSplit="2" ySplit="4" topLeftCell="H33" activePane="bottomRight" state="frozen"/>
      <selection pane="topRight" activeCell="C1" sqref="C1"/>
      <selection pane="bottomLeft" activeCell="A7" sqref="A7"/>
      <selection pane="bottomRight" activeCell="L56" sqref="L56"/>
    </sheetView>
  </sheetViews>
  <sheetFormatPr defaultRowHeight="15.75" x14ac:dyDescent="0.25"/>
  <cols>
    <col min="1" max="1" width="14.7109375" style="1" customWidth="1"/>
    <col min="2" max="2" width="41.140625" style="1" customWidth="1"/>
    <col min="3" max="6" width="16.42578125" style="1" customWidth="1"/>
    <col min="7" max="7" width="16.7109375" style="1" customWidth="1"/>
    <col min="8" max="8" width="17.7109375" style="1" customWidth="1"/>
    <col min="9" max="12" width="15.42578125" style="1" customWidth="1"/>
    <col min="13" max="13" width="17.5703125" style="1" customWidth="1"/>
    <col min="14" max="14" width="17.42578125" style="1" customWidth="1"/>
    <col min="15" max="17" width="16.5703125" style="1" customWidth="1"/>
    <col min="18" max="18" width="18.85546875" style="1" hidden="1" customWidth="1"/>
    <col min="19" max="20" width="13.7109375" style="1" hidden="1" customWidth="1"/>
    <col min="21" max="21" width="17.5703125" style="1" hidden="1" customWidth="1"/>
    <col min="22" max="23" width="15.85546875" style="1" hidden="1" customWidth="1"/>
    <col min="24" max="259" width="9.140625" style="1"/>
    <col min="260" max="260" width="25.7109375" style="1" customWidth="1"/>
    <col min="261" max="261" width="36.7109375" style="1" customWidth="1"/>
    <col min="262" max="262" width="20.140625" style="1" customWidth="1"/>
    <col min="263" max="263" width="20" style="1" customWidth="1"/>
    <col min="264" max="264" width="21.28515625" style="1" customWidth="1"/>
    <col min="265" max="267" width="19" style="1" bestFit="1" customWidth="1"/>
    <col min="268" max="270" width="20.7109375" style="1" bestFit="1" customWidth="1"/>
    <col min="271" max="272" width="14.42578125" style="1" customWidth="1"/>
    <col min="273" max="273" width="14" style="1" customWidth="1"/>
    <col min="274" max="515" width="9.140625" style="1"/>
    <col min="516" max="516" width="25.7109375" style="1" customWidth="1"/>
    <col min="517" max="517" width="36.7109375" style="1" customWidth="1"/>
    <col min="518" max="518" width="20.140625" style="1" customWidth="1"/>
    <col min="519" max="519" width="20" style="1" customWidth="1"/>
    <col min="520" max="520" width="21.28515625" style="1" customWidth="1"/>
    <col min="521" max="523" width="19" style="1" bestFit="1" customWidth="1"/>
    <col min="524" max="526" width="20.7109375" style="1" bestFit="1" customWidth="1"/>
    <col min="527" max="528" width="14.42578125" style="1" customWidth="1"/>
    <col min="529" max="529" width="14" style="1" customWidth="1"/>
    <col min="530" max="771" width="9.140625" style="1"/>
    <col min="772" max="772" width="25.7109375" style="1" customWidth="1"/>
    <col min="773" max="773" width="36.7109375" style="1" customWidth="1"/>
    <col min="774" max="774" width="20.140625" style="1" customWidth="1"/>
    <col min="775" max="775" width="20" style="1" customWidth="1"/>
    <col min="776" max="776" width="21.28515625" style="1" customWidth="1"/>
    <col min="777" max="779" width="19" style="1" bestFit="1" customWidth="1"/>
    <col min="780" max="782" width="20.7109375" style="1" bestFit="1" customWidth="1"/>
    <col min="783" max="784" width="14.42578125" style="1" customWidth="1"/>
    <col min="785" max="785" width="14" style="1" customWidth="1"/>
    <col min="786" max="1027" width="9.140625" style="1"/>
    <col min="1028" max="1028" width="25.7109375" style="1" customWidth="1"/>
    <col min="1029" max="1029" width="36.7109375" style="1" customWidth="1"/>
    <col min="1030" max="1030" width="20.140625" style="1" customWidth="1"/>
    <col min="1031" max="1031" width="20" style="1" customWidth="1"/>
    <col min="1032" max="1032" width="21.28515625" style="1" customWidth="1"/>
    <col min="1033" max="1035" width="19" style="1" bestFit="1" customWidth="1"/>
    <col min="1036" max="1038" width="20.7109375" style="1" bestFit="1" customWidth="1"/>
    <col min="1039" max="1040" width="14.42578125" style="1" customWidth="1"/>
    <col min="1041" max="1041" width="14" style="1" customWidth="1"/>
    <col min="1042" max="1283" width="9.140625" style="1"/>
    <col min="1284" max="1284" width="25.7109375" style="1" customWidth="1"/>
    <col min="1285" max="1285" width="36.7109375" style="1" customWidth="1"/>
    <col min="1286" max="1286" width="20.140625" style="1" customWidth="1"/>
    <col min="1287" max="1287" width="20" style="1" customWidth="1"/>
    <col min="1288" max="1288" width="21.28515625" style="1" customWidth="1"/>
    <col min="1289" max="1291" width="19" style="1" bestFit="1" customWidth="1"/>
    <col min="1292" max="1294" width="20.7109375" style="1" bestFit="1" customWidth="1"/>
    <col min="1295" max="1296" width="14.42578125" style="1" customWidth="1"/>
    <col min="1297" max="1297" width="14" style="1" customWidth="1"/>
    <col min="1298" max="1539" width="9.140625" style="1"/>
    <col min="1540" max="1540" width="25.7109375" style="1" customWidth="1"/>
    <col min="1541" max="1541" width="36.7109375" style="1" customWidth="1"/>
    <col min="1542" max="1542" width="20.140625" style="1" customWidth="1"/>
    <col min="1543" max="1543" width="20" style="1" customWidth="1"/>
    <col min="1544" max="1544" width="21.28515625" style="1" customWidth="1"/>
    <col min="1545" max="1547" width="19" style="1" bestFit="1" customWidth="1"/>
    <col min="1548" max="1550" width="20.7109375" style="1" bestFit="1" customWidth="1"/>
    <col min="1551" max="1552" width="14.42578125" style="1" customWidth="1"/>
    <col min="1553" max="1553" width="14" style="1" customWidth="1"/>
    <col min="1554" max="1795" width="9.140625" style="1"/>
    <col min="1796" max="1796" width="25.7109375" style="1" customWidth="1"/>
    <col min="1797" max="1797" width="36.7109375" style="1" customWidth="1"/>
    <col min="1798" max="1798" width="20.140625" style="1" customWidth="1"/>
    <col min="1799" max="1799" width="20" style="1" customWidth="1"/>
    <col min="1800" max="1800" width="21.28515625" style="1" customWidth="1"/>
    <col min="1801" max="1803" width="19" style="1" bestFit="1" customWidth="1"/>
    <col min="1804" max="1806" width="20.7109375" style="1" bestFit="1" customWidth="1"/>
    <col min="1807" max="1808" width="14.42578125" style="1" customWidth="1"/>
    <col min="1809" max="1809" width="14" style="1" customWidth="1"/>
    <col min="1810" max="2051" width="9.140625" style="1"/>
    <col min="2052" max="2052" width="25.7109375" style="1" customWidth="1"/>
    <col min="2053" max="2053" width="36.7109375" style="1" customWidth="1"/>
    <col min="2054" max="2054" width="20.140625" style="1" customWidth="1"/>
    <col min="2055" max="2055" width="20" style="1" customWidth="1"/>
    <col min="2056" max="2056" width="21.28515625" style="1" customWidth="1"/>
    <col min="2057" max="2059" width="19" style="1" bestFit="1" customWidth="1"/>
    <col min="2060" max="2062" width="20.7109375" style="1" bestFit="1" customWidth="1"/>
    <col min="2063" max="2064" width="14.42578125" style="1" customWidth="1"/>
    <col min="2065" max="2065" width="14" style="1" customWidth="1"/>
    <col min="2066" max="2307" width="9.140625" style="1"/>
    <col min="2308" max="2308" width="25.7109375" style="1" customWidth="1"/>
    <col min="2309" max="2309" width="36.7109375" style="1" customWidth="1"/>
    <col min="2310" max="2310" width="20.140625" style="1" customWidth="1"/>
    <col min="2311" max="2311" width="20" style="1" customWidth="1"/>
    <col min="2312" max="2312" width="21.28515625" style="1" customWidth="1"/>
    <col min="2313" max="2315" width="19" style="1" bestFit="1" customWidth="1"/>
    <col min="2316" max="2318" width="20.7109375" style="1" bestFit="1" customWidth="1"/>
    <col min="2319" max="2320" width="14.42578125" style="1" customWidth="1"/>
    <col min="2321" max="2321" width="14" style="1" customWidth="1"/>
    <col min="2322" max="2563" width="9.140625" style="1"/>
    <col min="2564" max="2564" width="25.7109375" style="1" customWidth="1"/>
    <col min="2565" max="2565" width="36.7109375" style="1" customWidth="1"/>
    <col min="2566" max="2566" width="20.140625" style="1" customWidth="1"/>
    <col min="2567" max="2567" width="20" style="1" customWidth="1"/>
    <col min="2568" max="2568" width="21.28515625" style="1" customWidth="1"/>
    <col min="2569" max="2571" width="19" style="1" bestFit="1" customWidth="1"/>
    <col min="2572" max="2574" width="20.7109375" style="1" bestFit="1" customWidth="1"/>
    <col min="2575" max="2576" width="14.42578125" style="1" customWidth="1"/>
    <col min="2577" max="2577" width="14" style="1" customWidth="1"/>
    <col min="2578" max="2819" width="9.140625" style="1"/>
    <col min="2820" max="2820" width="25.7109375" style="1" customWidth="1"/>
    <col min="2821" max="2821" width="36.7109375" style="1" customWidth="1"/>
    <col min="2822" max="2822" width="20.140625" style="1" customWidth="1"/>
    <col min="2823" max="2823" width="20" style="1" customWidth="1"/>
    <col min="2824" max="2824" width="21.28515625" style="1" customWidth="1"/>
    <col min="2825" max="2827" width="19" style="1" bestFit="1" customWidth="1"/>
    <col min="2828" max="2830" width="20.7109375" style="1" bestFit="1" customWidth="1"/>
    <col min="2831" max="2832" width="14.42578125" style="1" customWidth="1"/>
    <col min="2833" max="2833" width="14" style="1" customWidth="1"/>
    <col min="2834" max="3075" width="9.140625" style="1"/>
    <col min="3076" max="3076" width="25.7109375" style="1" customWidth="1"/>
    <col min="3077" max="3077" width="36.7109375" style="1" customWidth="1"/>
    <col min="3078" max="3078" width="20.140625" style="1" customWidth="1"/>
    <col min="3079" max="3079" width="20" style="1" customWidth="1"/>
    <col min="3080" max="3080" width="21.28515625" style="1" customWidth="1"/>
    <col min="3081" max="3083" width="19" style="1" bestFit="1" customWidth="1"/>
    <col min="3084" max="3086" width="20.7109375" style="1" bestFit="1" customWidth="1"/>
    <col min="3087" max="3088" width="14.42578125" style="1" customWidth="1"/>
    <col min="3089" max="3089" width="14" style="1" customWidth="1"/>
    <col min="3090" max="3331" width="9.140625" style="1"/>
    <col min="3332" max="3332" width="25.7109375" style="1" customWidth="1"/>
    <col min="3333" max="3333" width="36.7109375" style="1" customWidth="1"/>
    <col min="3334" max="3334" width="20.140625" style="1" customWidth="1"/>
    <col min="3335" max="3335" width="20" style="1" customWidth="1"/>
    <col min="3336" max="3336" width="21.28515625" style="1" customWidth="1"/>
    <col min="3337" max="3339" width="19" style="1" bestFit="1" customWidth="1"/>
    <col min="3340" max="3342" width="20.7109375" style="1" bestFit="1" customWidth="1"/>
    <col min="3343" max="3344" width="14.42578125" style="1" customWidth="1"/>
    <col min="3345" max="3345" width="14" style="1" customWidth="1"/>
    <col min="3346" max="3587" width="9.140625" style="1"/>
    <col min="3588" max="3588" width="25.7109375" style="1" customWidth="1"/>
    <col min="3589" max="3589" width="36.7109375" style="1" customWidth="1"/>
    <col min="3590" max="3590" width="20.140625" style="1" customWidth="1"/>
    <col min="3591" max="3591" width="20" style="1" customWidth="1"/>
    <col min="3592" max="3592" width="21.28515625" style="1" customWidth="1"/>
    <col min="3593" max="3595" width="19" style="1" bestFit="1" customWidth="1"/>
    <col min="3596" max="3598" width="20.7109375" style="1" bestFit="1" customWidth="1"/>
    <col min="3599" max="3600" width="14.42578125" style="1" customWidth="1"/>
    <col min="3601" max="3601" width="14" style="1" customWidth="1"/>
    <col min="3602" max="3843" width="9.140625" style="1"/>
    <col min="3844" max="3844" width="25.7109375" style="1" customWidth="1"/>
    <col min="3845" max="3845" width="36.7109375" style="1" customWidth="1"/>
    <col min="3846" max="3846" width="20.140625" style="1" customWidth="1"/>
    <col min="3847" max="3847" width="20" style="1" customWidth="1"/>
    <col min="3848" max="3848" width="21.28515625" style="1" customWidth="1"/>
    <col min="3849" max="3851" width="19" style="1" bestFit="1" customWidth="1"/>
    <col min="3852" max="3854" width="20.7109375" style="1" bestFit="1" customWidth="1"/>
    <col min="3855" max="3856" width="14.42578125" style="1" customWidth="1"/>
    <col min="3857" max="3857" width="14" style="1" customWidth="1"/>
    <col min="3858" max="4099" width="9.140625" style="1"/>
    <col min="4100" max="4100" width="25.7109375" style="1" customWidth="1"/>
    <col min="4101" max="4101" width="36.7109375" style="1" customWidth="1"/>
    <col min="4102" max="4102" width="20.140625" style="1" customWidth="1"/>
    <col min="4103" max="4103" width="20" style="1" customWidth="1"/>
    <col min="4104" max="4104" width="21.28515625" style="1" customWidth="1"/>
    <col min="4105" max="4107" width="19" style="1" bestFit="1" customWidth="1"/>
    <col min="4108" max="4110" width="20.7109375" style="1" bestFit="1" customWidth="1"/>
    <col min="4111" max="4112" width="14.42578125" style="1" customWidth="1"/>
    <col min="4113" max="4113" width="14" style="1" customWidth="1"/>
    <col min="4114" max="4355" width="9.140625" style="1"/>
    <col min="4356" max="4356" width="25.7109375" style="1" customWidth="1"/>
    <col min="4357" max="4357" width="36.7109375" style="1" customWidth="1"/>
    <col min="4358" max="4358" width="20.140625" style="1" customWidth="1"/>
    <col min="4359" max="4359" width="20" style="1" customWidth="1"/>
    <col min="4360" max="4360" width="21.28515625" style="1" customWidth="1"/>
    <col min="4361" max="4363" width="19" style="1" bestFit="1" customWidth="1"/>
    <col min="4364" max="4366" width="20.7109375" style="1" bestFit="1" customWidth="1"/>
    <col min="4367" max="4368" width="14.42578125" style="1" customWidth="1"/>
    <col min="4369" max="4369" width="14" style="1" customWidth="1"/>
    <col min="4370" max="4611" width="9.140625" style="1"/>
    <col min="4612" max="4612" width="25.7109375" style="1" customWidth="1"/>
    <col min="4613" max="4613" width="36.7109375" style="1" customWidth="1"/>
    <col min="4614" max="4614" width="20.140625" style="1" customWidth="1"/>
    <col min="4615" max="4615" width="20" style="1" customWidth="1"/>
    <col min="4616" max="4616" width="21.28515625" style="1" customWidth="1"/>
    <col min="4617" max="4619" width="19" style="1" bestFit="1" customWidth="1"/>
    <col min="4620" max="4622" width="20.7109375" style="1" bestFit="1" customWidth="1"/>
    <col min="4623" max="4624" width="14.42578125" style="1" customWidth="1"/>
    <col min="4625" max="4625" width="14" style="1" customWidth="1"/>
    <col min="4626" max="4867" width="9.140625" style="1"/>
    <col min="4868" max="4868" width="25.7109375" style="1" customWidth="1"/>
    <col min="4869" max="4869" width="36.7109375" style="1" customWidth="1"/>
    <col min="4870" max="4870" width="20.140625" style="1" customWidth="1"/>
    <col min="4871" max="4871" width="20" style="1" customWidth="1"/>
    <col min="4872" max="4872" width="21.28515625" style="1" customWidth="1"/>
    <col min="4873" max="4875" width="19" style="1" bestFit="1" customWidth="1"/>
    <col min="4876" max="4878" width="20.7109375" style="1" bestFit="1" customWidth="1"/>
    <col min="4879" max="4880" width="14.42578125" style="1" customWidth="1"/>
    <col min="4881" max="4881" width="14" style="1" customWidth="1"/>
    <col min="4882" max="5123" width="9.140625" style="1"/>
    <col min="5124" max="5124" width="25.7109375" style="1" customWidth="1"/>
    <col min="5125" max="5125" width="36.7109375" style="1" customWidth="1"/>
    <col min="5126" max="5126" width="20.140625" style="1" customWidth="1"/>
    <col min="5127" max="5127" width="20" style="1" customWidth="1"/>
    <col min="5128" max="5128" width="21.28515625" style="1" customWidth="1"/>
    <col min="5129" max="5131" width="19" style="1" bestFit="1" customWidth="1"/>
    <col min="5132" max="5134" width="20.7109375" style="1" bestFit="1" customWidth="1"/>
    <col min="5135" max="5136" width="14.42578125" style="1" customWidth="1"/>
    <col min="5137" max="5137" width="14" style="1" customWidth="1"/>
    <col min="5138" max="5379" width="9.140625" style="1"/>
    <col min="5380" max="5380" width="25.7109375" style="1" customWidth="1"/>
    <col min="5381" max="5381" width="36.7109375" style="1" customWidth="1"/>
    <col min="5382" max="5382" width="20.140625" style="1" customWidth="1"/>
    <col min="5383" max="5383" width="20" style="1" customWidth="1"/>
    <col min="5384" max="5384" width="21.28515625" style="1" customWidth="1"/>
    <col min="5385" max="5387" width="19" style="1" bestFit="1" customWidth="1"/>
    <col min="5388" max="5390" width="20.7109375" style="1" bestFit="1" customWidth="1"/>
    <col min="5391" max="5392" width="14.42578125" style="1" customWidth="1"/>
    <col min="5393" max="5393" width="14" style="1" customWidth="1"/>
    <col min="5394" max="5635" width="9.140625" style="1"/>
    <col min="5636" max="5636" width="25.7109375" style="1" customWidth="1"/>
    <col min="5637" max="5637" width="36.7109375" style="1" customWidth="1"/>
    <col min="5638" max="5638" width="20.140625" style="1" customWidth="1"/>
    <col min="5639" max="5639" width="20" style="1" customWidth="1"/>
    <col min="5640" max="5640" width="21.28515625" style="1" customWidth="1"/>
    <col min="5641" max="5643" width="19" style="1" bestFit="1" customWidth="1"/>
    <col min="5644" max="5646" width="20.7109375" style="1" bestFit="1" customWidth="1"/>
    <col min="5647" max="5648" width="14.42578125" style="1" customWidth="1"/>
    <col min="5649" max="5649" width="14" style="1" customWidth="1"/>
    <col min="5650" max="5891" width="9.140625" style="1"/>
    <col min="5892" max="5892" width="25.7109375" style="1" customWidth="1"/>
    <col min="5893" max="5893" width="36.7109375" style="1" customWidth="1"/>
    <col min="5894" max="5894" width="20.140625" style="1" customWidth="1"/>
    <col min="5895" max="5895" width="20" style="1" customWidth="1"/>
    <col min="5896" max="5896" width="21.28515625" style="1" customWidth="1"/>
    <col min="5897" max="5899" width="19" style="1" bestFit="1" customWidth="1"/>
    <col min="5900" max="5902" width="20.7109375" style="1" bestFit="1" customWidth="1"/>
    <col min="5903" max="5904" width="14.42578125" style="1" customWidth="1"/>
    <col min="5905" max="5905" width="14" style="1" customWidth="1"/>
    <col min="5906" max="6147" width="9.140625" style="1"/>
    <col min="6148" max="6148" width="25.7109375" style="1" customWidth="1"/>
    <col min="6149" max="6149" width="36.7109375" style="1" customWidth="1"/>
    <col min="6150" max="6150" width="20.140625" style="1" customWidth="1"/>
    <col min="6151" max="6151" width="20" style="1" customWidth="1"/>
    <col min="6152" max="6152" width="21.28515625" style="1" customWidth="1"/>
    <col min="6153" max="6155" width="19" style="1" bestFit="1" customWidth="1"/>
    <col min="6156" max="6158" width="20.7109375" style="1" bestFit="1" customWidth="1"/>
    <col min="6159" max="6160" width="14.42578125" style="1" customWidth="1"/>
    <col min="6161" max="6161" width="14" style="1" customWidth="1"/>
    <col min="6162" max="6403" width="9.140625" style="1"/>
    <col min="6404" max="6404" width="25.7109375" style="1" customWidth="1"/>
    <col min="6405" max="6405" width="36.7109375" style="1" customWidth="1"/>
    <col min="6406" max="6406" width="20.140625" style="1" customWidth="1"/>
    <col min="6407" max="6407" width="20" style="1" customWidth="1"/>
    <col min="6408" max="6408" width="21.28515625" style="1" customWidth="1"/>
    <col min="6409" max="6411" width="19" style="1" bestFit="1" customWidth="1"/>
    <col min="6412" max="6414" width="20.7109375" style="1" bestFit="1" customWidth="1"/>
    <col min="6415" max="6416" width="14.42578125" style="1" customWidth="1"/>
    <col min="6417" max="6417" width="14" style="1" customWidth="1"/>
    <col min="6418" max="6659" width="9.140625" style="1"/>
    <col min="6660" max="6660" width="25.7109375" style="1" customWidth="1"/>
    <col min="6661" max="6661" width="36.7109375" style="1" customWidth="1"/>
    <col min="6662" max="6662" width="20.140625" style="1" customWidth="1"/>
    <col min="6663" max="6663" width="20" style="1" customWidth="1"/>
    <col min="6664" max="6664" width="21.28515625" style="1" customWidth="1"/>
    <col min="6665" max="6667" width="19" style="1" bestFit="1" customWidth="1"/>
    <col min="6668" max="6670" width="20.7109375" style="1" bestFit="1" customWidth="1"/>
    <col min="6671" max="6672" width="14.42578125" style="1" customWidth="1"/>
    <col min="6673" max="6673" width="14" style="1" customWidth="1"/>
    <col min="6674" max="6915" width="9.140625" style="1"/>
    <col min="6916" max="6916" width="25.7109375" style="1" customWidth="1"/>
    <col min="6917" max="6917" width="36.7109375" style="1" customWidth="1"/>
    <col min="6918" max="6918" width="20.140625" style="1" customWidth="1"/>
    <col min="6919" max="6919" width="20" style="1" customWidth="1"/>
    <col min="6920" max="6920" width="21.28515625" style="1" customWidth="1"/>
    <col min="6921" max="6923" width="19" style="1" bestFit="1" customWidth="1"/>
    <col min="6924" max="6926" width="20.7109375" style="1" bestFit="1" customWidth="1"/>
    <col min="6927" max="6928" width="14.42578125" style="1" customWidth="1"/>
    <col min="6929" max="6929" width="14" style="1" customWidth="1"/>
    <col min="6930" max="7171" width="9.140625" style="1"/>
    <col min="7172" max="7172" width="25.7109375" style="1" customWidth="1"/>
    <col min="7173" max="7173" width="36.7109375" style="1" customWidth="1"/>
    <col min="7174" max="7174" width="20.140625" style="1" customWidth="1"/>
    <col min="7175" max="7175" width="20" style="1" customWidth="1"/>
    <col min="7176" max="7176" width="21.28515625" style="1" customWidth="1"/>
    <col min="7177" max="7179" width="19" style="1" bestFit="1" customWidth="1"/>
    <col min="7180" max="7182" width="20.7109375" style="1" bestFit="1" customWidth="1"/>
    <col min="7183" max="7184" width="14.42578125" style="1" customWidth="1"/>
    <col min="7185" max="7185" width="14" style="1" customWidth="1"/>
    <col min="7186" max="7427" width="9.140625" style="1"/>
    <col min="7428" max="7428" width="25.7109375" style="1" customWidth="1"/>
    <col min="7429" max="7429" width="36.7109375" style="1" customWidth="1"/>
    <col min="7430" max="7430" width="20.140625" style="1" customWidth="1"/>
    <col min="7431" max="7431" width="20" style="1" customWidth="1"/>
    <col min="7432" max="7432" width="21.28515625" style="1" customWidth="1"/>
    <col min="7433" max="7435" width="19" style="1" bestFit="1" customWidth="1"/>
    <col min="7436" max="7438" width="20.7109375" style="1" bestFit="1" customWidth="1"/>
    <col min="7439" max="7440" width="14.42578125" style="1" customWidth="1"/>
    <col min="7441" max="7441" width="14" style="1" customWidth="1"/>
    <col min="7442" max="7683" width="9.140625" style="1"/>
    <col min="7684" max="7684" width="25.7109375" style="1" customWidth="1"/>
    <col min="7685" max="7685" width="36.7109375" style="1" customWidth="1"/>
    <col min="7686" max="7686" width="20.140625" style="1" customWidth="1"/>
    <col min="7687" max="7687" width="20" style="1" customWidth="1"/>
    <col min="7688" max="7688" width="21.28515625" style="1" customWidth="1"/>
    <col min="7689" max="7691" width="19" style="1" bestFit="1" customWidth="1"/>
    <col min="7692" max="7694" width="20.7109375" style="1" bestFit="1" customWidth="1"/>
    <col min="7695" max="7696" width="14.42578125" style="1" customWidth="1"/>
    <col min="7697" max="7697" width="14" style="1" customWidth="1"/>
    <col min="7698" max="7939" width="9.140625" style="1"/>
    <col min="7940" max="7940" width="25.7109375" style="1" customWidth="1"/>
    <col min="7941" max="7941" width="36.7109375" style="1" customWidth="1"/>
    <col min="7942" max="7942" width="20.140625" style="1" customWidth="1"/>
    <col min="7943" max="7943" width="20" style="1" customWidth="1"/>
    <col min="7944" max="7944" width="21.28515625" style="1" customWidth="1"/>
    <col min="7945" max="7947" width="19" style="1" bestFit="1" customWidth="1"/>
    <col min="7948" max="7950" width="20.7109375" style="1" bestFit="1" customWidth="1"/>
    <col min="7951" max="7952" width="14.42578125" style="1" customWidth="1"/>
    <col min="7953" max="7953" width="14" style="1" customWidth="1"/>
    <col min="7954" max="8195" width="9.140625" style="1"/>
    <col min="8196" max="8196" width="25.7109375" style="1" customWidth="1"/>
    <col min="8197" max="8197" width="36.7109375" style="1" customWidth="1"/>
    <col min="8198" max="8198" width="20.140625" style="1" customWidth="1"/>
    <col min="8199" max="8199" width="20" style="1" customWidth="1"/>
    <col min="8200" max="8200" width="21.28515625" style="1" customWidth="1"/>
    <col min="8201" max="8203" width="19" style="1" bestFit="1" customWidth="1"/>
    <col min="8204" max="8206" width="20.7109375" style="1" bestFit="1" customWidth="1"/>
    <col min="8207" max="8208" width="14.42578125" style="1" customWidth="1"/>
    <col min="8209" max="8209" width="14" style="1" customWidth="1"/>
    <col min="8210" max="8451" width="9.140625" style="1"/>
    <col min="8452" max="8452" width="25.7109375" style="1" customWidth="1"/>
    <col min="8453" max="8453" width="36.7109375" style="1" customWidth="1"/>
    <col min="8454" max="8454" width="20.140625" style="1" customWidth="1"/>
    <col min="8455" max="8455" width="20" style="1" customWidth="1"/>
    <col min="8456" max="8456" width="21.28515625" style="1" customWidth="1"/>
    <col min="8457" max="8459" width="19" style="1" bestFit="1" customWidth="1"/>
    <col min="8460" max="8462" width="20.7109375" style="1" bestFit="1" customWidth="1"/>
    <col min="8463" max="8464" width="14.42578125" style="1" customWidth="1"/>
    <col min="8465" max="8465" width="14" style="1" customWidth="1"/>
    <col min="8466" max="8707" width="9.140625" style="1"/>
    <col min="8708" max="8708" width="25.7109375" style="1" customWidth="1"/>
    <col min="8709" max="8709" width="36.7109375" style="1" customWidth="1"/>
    <col min="8710" max="8710" width="20.140625" style="1" customWidth="1"/>
    <col min="8711" max="8711" width="20" style="1" customWidth="1"/>
    <col min="8712" max="8712" width="21.28515625" style="1" customWidth="1"/>
    <col min="8713" max="8715" width="19" style="1" bestFit="1" customWidth="1"/>
    <col min="8716" max="8718" width="20.7109375" style="1" bestFit="1" customWidth="1"/>
    <col min="8719" max="8720" width="14.42578125" style="1" customWidth="1"/>
    <col min="8721" max="8721" width="14" style="1" customWidth="1"/>
    <col min="8722" max="8963" width="9.140625" style="1"/>
    <col min="8964" max="8964" width="25.7109375" style="1" customWidth="1"/>
    <col min="8965" max="8965" width="36.7109375" style="1" customWidth="1"/>
    <col min="8966" max="8966" width="20.140625" style="1" customWidth="1"/>
    <col min="8967" max="8967" width="20" style="1" customWidth="1"/>
    <col min="8968" max="8968" width="21.28515625" style="1" customWidth="1"/>
    <col min="8969" max="8971" width="19" style="1" bestFit="1" customWidth="1"/>
    <col min="8972" max="8974" width="20.7109375" style="1" bestFit="1" customWidth="1"/>
    <col min="8975" max="8976" width="14.42578125" style="1" customWidth="1"/>
    <col min="8977" max="8977" width="14" style="1" customWidth="1"/>
    <col min="8978" max="9219" width="9.140625" style="1"/>
    <col min="9220" max="9220" width="25.7109375" style="1" customWidth="1"/>
    <col min="9221" max="9221" width="36.7109375" style="1" customWidth="1"/>
    <col min="9222" max="9222" width="20.140625" style="1" customWidth="1"/>
    <col min="9223" max="9223" width="20" style="1" customWidth="1"/>
    <col min="9224" max="9224" width="21.28515625" style="1" customWidth="1"/>
    <col min="9225" max="9227" width="19" style="1" bestFit="1" customWidth="1"/>
    <col min="9228" max="9230" width="20.7109375" style="1" bestFit="1" customWidth="1"/>
    <col min="9231" max="9232" width="14.42578125" style="1" customWidth="1"/>
    <col min="9233" max="9233" width="14" style="1" customWidth="1"/>
    <col min="9234" max="9475" width="9.140625" style="1"/>
    <col min="9476" max="9476" width="25.7109375" style="1" customWidth="1"/>
    <col min="9477" max="9477" width="36.7109375" style="1" customWidth="1"/>
    <col min="9478" max="9478" width="20.140625" style="1" customWidth="1"/>
    <col min="9479" max="9479" width="20" style="1" customWidth="1"/>
    <col min="9480" max="9480" width="21.28515625" style="1" customWidth="1"/>
    <col min="9481" max="9483" width="19" style="1" bestFit="1" customWidth="1"/>
    <col min="9484" max="9486" width="20.7109375" style="1" bestFit="1" customWidth="1"/>
    <col min="9487" max="9488" width="14.42578125" style="1" customWidth="1"/>
    <col min="9489" max="9489" width="14" style="1" customWidth="1"/>
    <col min="9490" max="9731" width="9.140625" style="1"/>
    <col min="9732" max="9732" width="25.7109375" style="1" customWidth="1"/>
    <col min="9733" max="9733" width="36.7109375" style="1" customWidth="1"/>
    <col min="9734" max="9734" width="20.140625" style="1" customWidth="1"/>
    <col min="9735" max="9735" width="20" style="1" customWidth="1"/>
    <col min="9736" max="9736" width="21.28515625" style="1" customWidth="1"/>
    <col min="9737" max="9739" width="19" style="1" bestFit="1" customWidth="1"/>
    <col min="9740" max="9742" width="20.7109375" style="1" bestFit="1" customWidth="1"/>
    <col min="9743" max="9744" width="14.42578125" style="1" customWidth="1"/>
    <col min="9745" max="9745" width="14" style="1" customWidth="1"/>
    <col min="9746" max="9987" width="9.140625" style="1"/>
    <col min="9988" max="9988" width="25.7109375" style="1" customWidth="1"/>
    <col min="9989" max="9989" width="36.7109375" style="1" customWidth="1"/>
    <col min="9990" max="9990" width="20.140625" style="1" customWidth="1"/>
    <col min="9991" max="9991" width="20" style="1" customWidth="1"/>
    <col min="9992" max="9992" width="21.28515625" style="1" customWidth="1"/>
    <col min="9993" max="9995" width="19" style="1" bestFit="1" customWidth="1"/>
    <col min="9996" max="9998" width="20.7109375" style="1" bestFit="1" customWidth="1"/>
    <col min="9999" max="10000" width="14.42578125" style="1" customWidth="1"/>
    <col min="10001" max="10001" width="14" style="1" customWidth="1"/>
    <col min="10002" max="10243" width="9.140625" style="1"/>
    <col min="10244" max="10244" width="25.7109375" style="1" customWidth="1"/>
    <col min="10245" max="10245" width="36.7109375" style="1" customWidth="1"/>
    <col min="10246" max="10246" width="20.140625" style="1" customWidth="1"/>
    <col min="10247" max="10247" width="20" style="1" customWidth="1"/>
    <col min="10248" max="10248" width="21.28515625" style="1" customWidth="1"/>
    <col min="10249" max="10251" width="19" style="1" bestFit="1" customWidth="1"/>
    <col min="10252" max="10254" width="20.7109375" style="1" bestFit="1" customWidth="1"/>
    <col min="10255" max="10256" width="14.42578125" style="1" customWidth="1"/>
    <col min="10257" max="10257" width="14" style="1" customWidth="1"/>
    <col min="10258" max="10499" width="9.140625" style="1"/>
    <col min="10500" max="10500" width="25.7109375" style="1" customWidth="1"/>
    <col min="10501" max="10501" width="36.7109375" style="1" customWidth="1"/>
    <col min="10502" max="10502" width="20.140625" style="1" customWidth="1"/>
    <col min="10503" max="10503" width="20" style="1" customWidth="1"/>
    <col min="10504" max="10504" width="21.28515625" style="1" customWidth="1"/>
    <col min="10505" max="10507" width="19" style="1" bestFit="1" customWidth="1"/>
    <col min="10508" max="10510" width="20.7109375" style="1" bestFit="1" customWidth="1"/>
    <col min="10511" max="10512" width="14.42578125" style="1" customWidth="1"/>
    <col min="10513" max="10513" width="14" style="1" customWidth="1"/>
    <col min="10514" max="10755" width="9.140625" style="1"/>
    <col min="10756" max="10756" width="25.7109375" style="1" customWidth="1"/>
    <col min="10757" max="10757" width="36.7109375" style="1" customWidth="1"/>
    <col min="10758" max="10758" width="20.140625" style="1" customWidth="1"/>
    <col min="10759" max="10759" width="20" style="1" customWidth="1"/>
    <col min="10760" max="10760" width="21.28515625" style="1" customWidth="1"/>
    <col min="10761" max="10763" width="19" style="1" bestFit="1" customWidth="1"/>
    <col min="10764" max="10766" width="20.7109375" style="1" bestFit="1" customWidth="1"/>
    <col min="10767" max="10768" width="14.42578125" style="1" customWidth="1"/>
    <col min="10769" max="10769" width="14" style="1" customWidth="1"/>
    <col min="10770" max="11011" width="9.140625" style="1"/>
    <col min="11012" max="11012" width="25.7109375" style="1" customWidth="1"/>
    <col min="11013" max="11013" width="36.7109375" style="1" customWidth="1"/>
    <col min="11014" max="11014" width="20.140625" style="1" customWidth="1"/>
    <col min="11015" max="11015" width="20" style="1" customWidth="1"/>
    <col min="11016" max="11016" width="21.28515625" style="1" customWidth="1"/>
    <col min="11017" max="11019" width="19" style="1" bestFit="1" customWidth="1"/>
    <col min="11020" max="11022" width="20.7109375" style="1" bestFit="1" customWidth="1"/>
    <col min="11023" max="11024" width="14.42578125" style="1" customWidth="1"/>
    <col min="11025" max="11025" width="14" style="1" customWidth="1"/>
    <col min="11026" max="11267" width="9.140625" style="1"/>
    <col min="11268" max="11268" width="25.7109375" style="1" customWidth="1"/>
    <col min="11269" max="11269" width="36.7109375" style="1" customWidth="1"/>
    <col min="11270" max="11270" width="20.140625" style="1" customWidth="1"/>
    <col min="11271" max="11271" width="20" style="1" customWidth="1"/>
    <col min="11272" max="11272" width="21.28515625" style="1" customWidth="1"/>
    <col min="11273" max="11275" width="19" style="1" bestFit="1" customWidth="1"/>
    <col min="11276" max="11278" width="20.7109375" style="1" bestFit="1" customWidth="1"/>
    <col min="11279" max="11280" width="14.42578125" style="1" customWidth="1"/>
    <col min="11281" max="11281" width="14" style="1" customWidth="1"/>
    <col min="11282" max="11523" width="9.140625" style="1"/>
    <col min="11524" max="11524" width="25.7109375" style="1" customWidth="1"/>
    <col min="11525" max="11525" width="36.7109375" style="1" customWidth="1"/>
    <col min="11526" max="11526" width="20.140625" style="1" customWidth="1"/>
    <col min="11527" max="11527" width="20" style="1" customWidth="1"/>
    <col min="11528" max="11528" width="21.28515625" style="1" customWidth="1"/>
    <col min="11529" max="11531" width="19" style="1" bestFit="1" customWidth="1"/>
    <col min="11532" max="11534" width="20.7109375" style="1" bestFit="1" customWidth="1"/>
    <col min="11535" max="11536" width="14.42578125" style="1" customWidth="1"/>
    <col min="11537" max="11537" width="14" style="1" customWidth="1"/>
    <col min="11538" max="11779" width="9.140625" style="1"/>
    <col min="11780" max="11780" width="25.7109375" style="1" customWidth="1"/>
    <col min="11781" max="11781" width="36.7109375" style="1" customWidth="1"/>
    <col min="11782" max="11782" width="20.140625" style="1" customWidth="1"/>
    <col min="11783" max="11783" width="20" style="1" customWidth="1"/>
    <col min="11784" max="11784" width="21.28515625" style="1" customWidth="1"/>
    <col min="11785" max="11787" width="19" style="1" bestFit="1" customWidth="1"/>
    <col min="11788" max="11790" width="20.7109375" style="1" bestFit="1" customWidth="1"/>
    <col min="11791" max="11792" width="14.42578125" style="1" customWidth="1"/>
    <col min="11793" max="11793" width="14" style="1" customWidth="1"/>
    <col min="11794" max="12035" width="9.140625" style="1"/>
    <col min="12036" max="12036" width="25.7109375" style="1" customWidth="1"/>
    <col min="12037" max="12037" width="36.7109375" style="1" customWidth="1"/>
    <col min="12038" max="12038" width="20.140625" style="1" customWidth="1"/>
    <col min="12039" max="12039" width="20" style="1" customWidth="1"/>
    <col min="12040" max="12040" width="21.28515625" style="1" customWidth="1"/>
    <col min="12041" max="12043" width="19" style="1" bestFit="1" customWidth="1"/>
    <col min="12044" max="12046" width="20.7109375" style="1" bestFit="1" customWidth="1"/>
    <col min="12047" max="12048" width="14.42578125" style="1" customWidth="1"/>
    <col min="12049" max="12049" width="14" style="1" customWidth="1"/>
    <col min="12050" max="12291" width="9.140625" style="1"/>
    <col min="12292" max="12292" width="25.7109375" style="1" customWidth="1"/>
    <col min="12293" max="12293" width="36.7109375" style="1" customWidth="1"/>
    <col min="12294" max="12294" width="20.140625" style="1" customWidth="1"/>
    <col min="12295" max="12295" width="20" style="1" customWidth="1"/>
    <col min="12296" max="12296" width="21.28515625" style="1" customWidth="1"/>
    <col min="12297" max="12299" width="19" style="1" bestFit="1" customWidth="1"/>
    <col min="12300" max="12302" width="20.7109375" style="1" bestFit="1" customWidth="1"/>
    <col min="12303" max="12304" width="14.42578125" style="1" customWidth="1"/>
    <col min="12305" max="12305" width="14" style="1" customWidth="1"/>
    <col min="12306" max="12547" width="9.140625" style="1"/>
    <col min="12548" max="12548" width="25.7109375" style="1" customWidth="1"/>
    <col min="12549" max="12549" width="36.7109375" style="1" customWidth="1"/>
    <col min="12550" max="12550" width="20.140625" style="1" customWidth="1"/>
    <col min="12551" max="12551" width="20" style="1" customWidth="1"/>
    <col min="12552" max="12552" width="21.28515625" style="1" customWidth="1"/>
    <col min="12553" max="12555" width="19" style="1" bestFit="1" customWidth="1"/>
    <col min="12556" max="12558" width="20.7109375" style="1" bestFit="1" customWidth="1"/>
    <col min="12559" max="12560" width="14.42578125" style="1" customWidth="1"/>
    <col min="12561" max="12561" width="14" style="1" customWidth="1"/>
    <col min="12562" max="12803" width="9.140625" style="1"/>
    <col min="12804" max="12804" width="25.7109375" style="1" customWidth="1"/>
    <col min="12805" max="12805" width="36.7109375" style="1" customWidth="1"/>
    <col min="12806" max="12806" width="20.140625" style="1" customWidth="1"/>
    <col min="12807" max="12807" width="20" style="1" customWidth="1"/>
    <col min="12808" max="12808" width="21.28515625" style="1" customWidth="1"/>
    <col min="12809" max="12811" width="19" style="1" bestFit="1" customWidth="1"/>
    <col min="12812" max="12814" width="20.7109375" style="1" bestFit="1" customWidth="1"/>
    <col min="12815" max="12816" width="14.42578125" style="1" customWidth="1"/>
    <col min="12817" max="12817" width="14" style="1" customWidth="1"/>
    <col min="12818" max="13059" width="9.140625" style="1"/>
    <col min="13060" max="13060" width="25.7109375" style="1" customWidth="1"/>
    <col min="13061" max="13061" width="36.7109375" style="1" customWidth="1"/>
    <col min="13062" max="13062" width="20.140625" style="1" customWidth="1"/>
    <col min="13063" max="13063" width="20" style="1" customWidth="1"/>
    <col min="13064" max="13064" width="21.28515625" style="1" customWidth="1"/>
    <col min="13065" max="13067" width="19" style="1" bestFit="1" customWidth="1"/>
    <col min="13068" max="13070" width="20.7109375" style="1" bestFit="1" customWidth="1"/>
    <col min="13071" max="13072" width="14.42578125" style="1" customWidth="1"/>
    <col min="13073" max="13073" width="14" style="1" customWidth="1"/>
    <col min="13074" max="13315" width="9.140625" style="1"/>
    <col min="13316" max="13316" width="25.7109375" style="1" customWidth="1"/>
    <col min="13317" max="13317" width="36.7109375" style="1" customWidth="1"/>
    <col min="13318" max="13318" width="20.140625" style="1" customWidth="1"/>
    <col min="13319" max="13319" width="20" style="1" customWidth="1"/>
    <col min="13320" max="13320" width="21.28515625" style="1" customWidth="1"/>
    <col min="13321" max="13323" width="19" style="1" bestFit="1" customWidth="1"/>
    <col min="13324" max="13326" width="20.7109375" style="1" bestFit="1" customWidth="1"/>
    <col min="13327" max="13328" width="14.42578125" style="1" customWidth="1"/>
    <col min="13329" max="13329" width="14" style="1" customWidth="1"/>
    <col min="13330" max="13571" width="9.140625" style="1"/>
    <col min="13572" max="13572" width="25.7109375" style="1" customWidth="1"/>
    <col min="13573" max="13573" width="36.7109375" style="1" customWidth="1"/>
    <col min="13574" max="13574" width="20.140625" style="1" customWidth="1"/>
    <col min="13575" max="13575" width="20" style="1" customWidth="1"/>
    <col min="13576" max="13576" width="21.28515625" style="1" customWidth="1"/>
    <col min="13577" max="13579" width="19" style="1" bestFit="1" customWidth="1"/>
    <col min="13580" max="13582" width="20.7109375" style="1" bestFit="1" customWidth="1"/>
    <col min="13583" max="13584" width="14.42578125" style="1" customWidth="1"/>
    <col min="13585" max="13585" width="14" style="1" customWidth="1"/>
    <col min="13586" max="13827" width="9.140625" style="1"/>
    <col min="13828" max="13828" width="25.7109375" style="1" customWidth="1"/>
    <col min="13829" max="13829" width="36.7109375" style="1" customWidth="1"/>
    <col min="13830" max="13830" width="20.140625" style="1" customWidth="1"/>
    <col min="13831" max="13831" width="20" style="1" customWidth="1"/>
    <col min="13832" max="13832" width="21.28515625" style="1" customWidth="1"/>
    <col min="13833" max="13835" width="19" style="1" bestFit="1" customWidth="1"/>
    <col min="13836" max="13838" width="20.7109375" style="1" bestFit="1" customWidth="1"/>
    <col min="13839" max="13840" width="14.42578125" style="1" customWidth="1"/>
    <col min="13841" max="13841" width="14" style="1" customWidth="1"/>
    <col min="13842" max="14083" width="9.140625" style="1"/>
    <col min="14084" max="14084" width="25.7109375" style="1" customWidth="1"/>
    <col min="14085" max="14085" width="36.7109375" style="1" customWidth="1"/>
    <col min="14086" max="14086" width="20.140625" style="1" customWidth="1"/>
    <col min="14087" max="14087" width="20" style="1" customWidth="1"/>
    <col min="14088" max="14088" width="21.28515625" style="1" customWidth="1"/>
    <col min="14089" max="14091" width="19" style="1" bestFit="1" customWidth="1"/>
    <col min="14092" max="14094" width="20.7109375" style="1" bestFit="1" customWidth="1"/>
    <col min="14095" max="14096" width="14.42578125" style="1" customWidth="1"/>
    <col min="14097" max="14097" width="14" style="1" customWidth="1"/>
    <col min="14098" max="14339" width="9.140625" style="1"/>
    <col min="14340" max="14340" width="25.7109375" style="1" customWidth="1"/>
    <col min="14341" max="14341" width="36.7109375" style="1" customWidth="1"/>
    <col min="14342" max="14342" width="20.140625" style="1" customWidth="1"/>
    <col min="14343" max="14343" width="20" style="1" customWidth="1"/>
    <col min="14344" max="14344" width="21.28515625" style="1" customWidth="1"/>
    <col min="14345" max="14347" width="19" style="1" bestFit="1" customWidth="1"/>
    <col min="14348" max="14350" width="20.7109375" style="1" bestFit="1" customWidth="1"/>
    <col min="14351" max="14352" width="14.42578125" style="1" customWidth="1"/>
    <col min="14353" max="14353" width="14" style="1" customWidth="1"/>
    <col min="14354" max="14595" width="9.140625" style="1"/>
    <col min="14596" max="14596" width="25.7109375" style="1" customWidth="1"/>
    <col min="14597" max="14597" width="36.7109375" style="1" customWidth="1"/>
    <col min="14598" max="14598" width="20.140625" style="1" customWidth="1"/>
    <col min="14599" max="14599" width="20" style="1" customWidth="1"/>
    <col min="14600" max="14600" width="21.28515625" style="1" customWidth="1"/>
    <col min="14601" max="14603" width="19" style="1" bestFit="1" customWidth="1"/>
    <col min="14604" max="14606" width="20.7109375" style="1" bestFit="1" customWidth="1"/>
    <col min="14607" max="14608" width="14.42578125" style="1" customWidth="1"/>
    <col min="14609" max="14609" width="14" style="1" customWidth="1"/>
    <col min="14610" max="14851" width="9.140625" style="1"/>
    <col min="14852" max="14852" width="25.7109375" style="1" customWidth="1"/>
    <col min="14853" max="14853" width="36.7109375" style="1" customWidth="1"/>
    <col min="14854" max="14854" width="20.140625" style="1" customWidth="1"/>
    <col min="14855" max="14855" width="20" style="1" customWidth="1"/>
    <col min="14856" max="14856" width="21.28515625" style="1" customWidth="1"/>
    <col min="14857" max="14859" width="19" style="1" bestFit="1" customWidth="1"/>
    <col min="14860" max="14862" width="20.7109375" style="1" bestFit="1" customWidth="1"/>
    <col min="14863" max="14864" width="14.42578125" style="1" customWidth="1"/>
    <col min="14865" max="14865" width="14" style="1" customWidth="1"/>
    <col min="14866" max="15107" width="9.140625" style="1"/>
    <col min="15108" max="15108" width="25.7109375" style="1" customWidth="1"/>
    <col min="15109" max="15109" width="36.7109375" style="1" customWidth="1"/>
    <col min="15110" max="15110" width="20.140625" style="1" customWidth="1"/>
    <col min="15111" max="15111" width="20" style="1" customWidth="1"/>
    <col min="15112" max="15112" width="21.28515625" style="1" customWidth="1"/>
    <col min="15113" max="15115" width="19" style="1" bestFit="1" customWidth="1"/>
    <col min="15116" max="15118" width="20.7109375" style="1" bestFit="1" customWidth="1"/>
    <col min="15119" max="15120" width="14.42578125" style="1" customWidth="1"/>
    <col min="15121" max="15121" width="14" style="1" customWidth="1"/>
    <col min="15122" max="15363" width="9.140625" style="1"/>
    <col min="15364" max="15364" width="25.7109375" style="1" customWidth="1"/>
    <col min="15365" max="15365" width="36.7109375" style="1" customWidth="1"/>
    <col min="15366" max="15366" width="20.140625" style="1" customWidth="1"/>
    <col min="15367" max="15367" width="20" style="1" customWidth="1"/>
    <col min="15368" max="15368" width="21.28515625" style="1" customWidth="1"/>
    <col min="15369" max="15371" width="19" style="1" bestFit="1" customWidth="1"/>
    <col min="15372" max="15374" width="20.7109375" style="1" bestFit="1" customWidth="1"/>
    <col min="15375" max="15376" width="14.42578125" style="1" customWidth="1"/>
    <col min="15377" max="15377" width="14" style="1" customWidth="1"/>
    <col min="15378" max="15619" width="9.140625" style="1"/>
    <col min="15620" max="15620" width="25.7109375" style="1" customWidth="1"/>
    <col min="15621" max="15621" width="36.7109375" style="1" customWidth="1"/>
    <col min="15622" max="15622" width="20.140625" style="1" customWidth="1"/>
    <col min="15623" max="15623" width="20" style="1" customWidth="1"/>
    <col min="15624" max="15624" width="21.28515625" style="1" customWidth="1"/>
    <col min="15625" max="15627" width="19" style="1" bestFit="1" customWidth="1"/>
    <col min="15628" max="15630" width="20.7109375" style="1" bestFit="1" customWidth="1"/>
    <col min="15631" max="15632" width="14.42578125" style="1" customWidth="1"/>
    <col min="15633" max="15633" width="14" style="1" customWidth="1"/>
    <col min="15634" max="15875" width="9.140625" style="1"/>
    <col min="15876" max="15876" width="25.7109375" style="1" customWidth="1"/>
    <col min="15877" max="15877" width="36.7109375" style="1" customWidth="1"/>
    <col min="15878" max="15878" width="20.140625" style="1" customWidth="1"/>
    <col min="15879" max="15879" width="20" style="1" customWidth="1"/>
    <col min="15880" max="15880" width="21.28515625" style="1" customWidth="1"/>
    <col min="15881" max="15883" width="19" style="1" bestFit="1" customWidth="1"/>
    <col min="15884" max="15886" width="20.7109375" style="1" bestFit="1" customWidth="1"/>
    <col min="15887" max="15888" width="14.42578125" style="1" customWidth="1"/>
    <col min="15889" max="15889" width="14" style="1" customWidth="1"/>
    <col min="15890" max="16131" width="9.140625" style="1"/>
    <col min="16132" max="16132" width="25.7109375" style="1" customWidth="1"/>
    <col min="16133" max="16133" width="36.7109375" style="1" customWidth="1"/>
    <col min="16134" max="16134" width="20.140625" style="1" customWidth="1"/>
    <col min="16135" max="16135" width="20" style="1" customWidth="1"/>
    <col min="16136" max="16136" width="21.28515625" style="1" customWidth="1"/>
    <col min="16137" max="16139" width="19" style="1" bestFit="1" customWidth="1"/>
    <col min="16140" max="16142" width="20.7109375" style="1" bestFit="1" customWidth="1"/>
    <col min="16143" max="16144" width="14.42578125" style="1" customWidth="1"/>
    <col min="16145" max="16145" width="14" style="1" customWidth="1"/>
    <col min="16146" max="16384" width="9.140625" style="1"/>
  </cols>
  <sheetData>
    <row r="1" spans="1:20" ht="33.75" customHeight="1" x14ac:dyDescent="0.25">
      <c r="B1" s="2"/>
      <c r="C1" s="113" t="s">
        <v>119</v>
      </c>
      <c r="D1" s="113"/>
      <c r="E1" s="113"/>
      <c r="F1" s="113"/>
      <c r="G1" s="113"/>
      <c r="H1" s="113"/>
      <c r="I1" s="113"/>
      <c r="J1" s="113"/>
      <c r="K1" s="113"/>
      <c r="L1" s="113"/>
      <c r="M1" s="2"/>
      <c r="N1" s="2"/>
      <c r="O1" s="2"/>
      <c r="P1" s="2"/>
      <c r="Q1" s="2"/>
    </row>
    <row r="2" spans="1:20" ht="16.5" customHeight="1" x14ac:dyDescent="0.25">
      <c r="B2" s="2"/>
      <c r="C2" s="90"/>
      <c r="D2" s="90"/>
      <c r="E2" s="90"/>
      <c r="F2" s="90"/>
      <c r="G2" s="90"/>
      <c r="H2" s="77"/>
      <c r="I2" s="77"/>
      <c r="O2" s="4"/>
      <c r="P2" s="99" t="s">
        <v>66</v>
      </c>
      <c r="Q2" s="100"/>
    </row>
    <row r="3" spans="1:20" ht="19.5" customHeight="1" x14ac:dyDescent="0.25">
      <c r="A3" s="101" t="s">
        <v>0</v>
      </c>
      <c r="B3" s="101" t="s">
        <v>1</v>
      </c>
      <c r="C3" s="102" t="s">
        <v>62</v>
      </c>
      <c r="D3" s="103"/>
      <c r="E3" s="103"/>
      <c r="F3" s="103"/>
      <c r="G3" s="104"/>
      <c r="H3" s="105" t="s">
        <v>63</v>
      </c>
      <c r="I3" s="106"/>
      <c r="J3" s="106"/>
      <c r="K3" s="106"/>
      <c r="L3" s="107"/>
      <c r="M3" s="108" t="s">
        <v>64</v>
      </c>
      <c r="N3" s="109"/>
      <c r="O3" s="109"/>
      <c r="P3" s="109"/>
      <c r="Q3" s="110"/>
    </row>
    <row r="4" spans="1:20" ht="30.75" customHeight="1" x14ac:dyDescent="0.25">
      <c r="A4" s="101"/>
      <c r="B4" s="101"/>
      <c r="C4" s="88" t="s">
        <v>116</v>
      </c>
      <c r="D4" s="74" t="s">
        <v>117</v>
      </c>
      <c r="E4" s="81" t="s">
        <v>96</v>
      </c>
      <c r="F4" s="81" t="s">
        <v>115</v>
      </c>
      <c r="G4" s="64" t="s">
        <v>118</v>
      </c>
      <c r="H4" s="91" t="s">
        <v>116</v>
      </c>
      <c r="I4" s="91" t="s">
        <v>117</v>
      </c>
      <c r="J4" s="91" t="s">
        <v>96</v>
      </c>
      <c r="K4" s="91" t="s">
        <v>115</v>
      </c>
      <c r="L4" s="91" t="s">
        <v>118</v>
      </c>
      <c r="M4" s="91" t="s">
        <v>116</v>
      </c>
      <c r="N4" s="91" t="s">
        <v>117</v>
      </c>
      <c r="O4" s="91" t="s">
        <v>96</v>
      </c>
      <c r="P4" s="91" t="s">
        <v>115</v>
      </c>
      <c r="Q4" s="91" t="s">
        <v>118</v>
      </c>
    </row>
    <row r="5" spans="1:20" ht="15.75" customHeight="1" x14ac:dyDescent="0.25">
      <c r="A5" s="78">
        <v>1</v>
      </c>
      <c r="B5" s="78">
        <v>2</v>
      </c>
      <c r="C5" s="78">
        <v>3</v>
      </c>
      <c r="D5" s="78">
        <v>3</v>
      </c>
      <c r="E5" s="78">
        <v>3</v>
      </c>
      <c r="F5" s="78">
        <v>4</v>
      </c>
      <c r="G5" s="78">
        <v>5</v>
      </c>
      <c r="H5" s="78">
        <v>3</v>
      </c>
      <c r="I5" s="78">
        <v>4</v>
      </c>
      <c r="J5" s="78">
        <v>5</v>
      </c>
      <c r="K5" s="5">
        <v>6</v>
      </c>
      <c r="L5" s="78">
        <v>7</v>
      </c>
      <c r="M5" s="78">
        <v>8</v>
      </c>
      <c r="N5" s="88">
        <v>9</v>
      </c>
      <c r="O5" s="5">
        <v>10</v>
      </c>
      <c r="P5" s="78">
        <v>11</v>
      </c>
      <c r="Q5" s="5">
        <v>12</v>
      </c>
    </row>
    <row r="6" spans="1:20" ht="15.7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7"/>
      <c r="L6" s="6"/>
      <c r="M6" s="6"/>
      <c r="N6" s="6"/>
      <c r="O6" s="7"/>
      <c r="P6" s="6"/>
      <c r="Q6" s="7"/>
    </row>
    <row r="7" spans="1:20" s="2" customFormat="1" ht="33" customHeight="1" x14ac:dyDescent="0.25">
      <c r="A7" s="28" t="s">
        <v>2</v>
      </c>
      <c r="B7" s="8" t="s">
        <v>3</v>
      </c>
      <c r="C7" s="23">
        <f>SUM(C8:C21)</f>
        <v>98495454.310000002</v>
      </c>
      <c r="D7" s="83">
        <f t="shared" ref="D7:Q7" si="0">SUM(D8:D21)</f>
        <v>110751300</v>
      </c>
      <c r="E7" s="83">
        <f t="shared" si="0"/>
        <v>120872200</v>
      </c>
      <c r="F7" s="83">
        <f t="shared" si="0"/>
        <v>131928400</v>
      </c>
      <c r="G7" s="83">
        <f t="shared" si="0"/>
        <v>143504200</v>
      </c>
      <c r="H7" s="83">
        <f t="shared" si="0"/>
        <v>45428231.960000001</v>
      </c>
      <c r="I7" s="83">
        <f t="shared" si="0"/>
        <v>40959073.5</v>
      </c>
      <c r="J7" s="83">
        <f t="shared" si="0"/>
        <v>39221900</v>
      </c>
      <c r="K7" s="83">
        <f t="shared" si="0"/>
        <v>38484800</v>
      </c>
      <c r="L7" s="83">
        <f t="shared" si="0"/>
        <v>41548600</v>
      </c>
      <c r="M7" s="23">
        <f t="shared" si="0"/>
        <v>143923686.27000001</v>
      </c>
      <c r="N7" s="23">
        <f t="shared" si="0"/>
        <v>151710373.5</v>
      </c>
      <c r="O7" s="23">
        <f t="shared" si="0"/>
        <v>160094100</v>
      </c>
      <c r="P7" s="23">
        <f t="shared" si="0"/>
        <v>170413200</v>
      </c>
      <c r="Q7" s="23">
        <f t="shared" si="0"/>
        <v>185052800</v>
      </c>
      <c r="S7" s="19"/>
    </row>
    <row r="8" spans="1:20" ht="29.25" customHeight="1" x14ac:dyDescent="0.25">
      <c r="A8" s="72" t="s">
        <v>4</v>
      </c>
      <c r="B8" s="9" t="s">
        <v>5</v>
      </c>
      <c r="C8" s="60">
        <v>82573199.390000001</v>
      </c>
      <c r="D8" s="84">
        <v>89349000</v>
      </c>
      <c r="E8" s="84">
        <v>102933000</v>
      </c>
      <c r="F8" s="84">
        <v>113640000</v>
      </c>
      <c r="G8" s="84">
        <v>122103000</v>
      </c>
      <c r="H8" s="84">
        <v>9310516.3000000007</v>
      </c>
      <c r="I8" s="84">
        <v>10596000</v>
      </c>
      <c r="J8" s="85">
        <v>11482000</v>
      </c>
      <c r="K8" s="85">
        <v>12358000</v>
      </c>
      <c r="L8" s="85">
        <v>13278000</v>
      </c>
      <c r="M8" s="25">
        <f t="shared" ref="M8:Q21" si="1">C8+H8</f>
        <v>91883715.689999998</v>
      </c>
      <c r="N8" s="25">
        <f>D8+I8</f>
        <v>99945000</v>
      </c>
      <c r="O8" s="25">
        <f t="shared" si="1"/>
        <v>114415000</v>
      </c>
      <c r="P8" s="25">
        <f t="shared" si="1"/>
        <v>125998000</v>
      </c>
      <c r="Q8" s="25">
        <f t="shared" si="1"/>
        <v>135381000</v>
      </c>
      <c r="R8" s="31"/>
      <c r="S8" s="19"/>
    </row>
    <row r="9" spans="1:20" ht="59.25" customHeight="1" x14ac:dyDescent="0.25">
      <c r="A9" s="72" t="s">
        <v>6</v>
      </c>
      <c r="B9" s="9" t="s">
        <v>7</v>
      </c>
      <c r="C9" s="60">
        <v>9118113.3200000003</v>
      </c>
      <c r="D9" s="84">
        <v>8917000</v>
      </c>
      <c r="E9" s="84">
        <v>9739500</v>
      </c>
      <c r="F9" s="84">
        <v>9850000</v>
      </c>
      <c r="G9" s="84">
        <v>12766200</v>
      </c>
      <c r="H9" s="84">
        <v>6240533.8700000001</v>
      </c>
      <c r="I9" s="84">
        <v>6102900</v>
      </c>
      <c r="J9" s="85">
        <v>6635700</v>
      </c>
      <c r="K9" s="85">
        <v>6711000</v>
      </c>
      <c r="L9" s="85">
        <v>8697800</v>
      </c>
      <c r="M9" s="25">
        <f t="shared" si="1"/>
        <v>15358647.190000001</v>
      </c>
      <c r="N9" s="25">
        <f>D9+I9</f>
        <v>15019900</v>
      </c>
      <c r="O9" s="25">
        <f t="shared" si="1"/>
        <v>16375200</v>
      </c>
      <c r="P9" s="25">
        <f t="shared" si="1"/>
        <v>16561000</v>
      </c>
      <c r="Q9" s="25">
        <f t="shared" si="1"/>
        <v>21464000</v>
      </c>
      <c r="R9" s="31"/>
      <c r="S9" s="19"/>
    </row>
    <row r="10" spans="1:20" s="11" customFormat="1" ht="31.5" customHeight="1" x14ac:dyDescent="0.25">
      <c r="A10" s="72" t="s">
        <v>8</v>
      </c>
      <c r="B10" s="9" t="s">
        <v>9</v>
      </c>
      <c r="C10" s="60">
        <v>1555378.72</v>
      </c>
      <c r="D10" s="84">
        <v>3454800</v>
      </c>
      <c r="E10" s="84">
        <v>3588000</v>
      </c>
      <c r="F10" s="84">
        <v>3725000</v>
      </c>
      <c r="G10" s="84">
        <v>3855000</v>
      </c>
      <c r="H10" s="84">
        <v>100988.93</v>
      </c>
      <c r="I10" s="84">
        <v>134800</v>
      </c>
      <c r="J10" s="85">
        <v>107000</v>
      </c>
      <c r="K10" s="85">
        <v>113000</v>
      </c>
      <c r="L10" s="85">
        <v>121000</v>
      </c>
      <c r="M10" s="25">
        <f t="shared" si="1"/>
        <v>1656367.65</v>
      </c>
      <c r="N10" s="25">
        <f>D10+I10</f>
        <v>3589600</v>
      </c>
      <c r="O10" s="25">
        <f t="shared" si="1"/>
        <v>3695000</v>
      </c>
      <c r="P10" s="25">
        <f t="shared" si="1"/>
        <v>3838000</v>
      </c>
      <c r="Q10" s="25">
        <f t="shared" si="1"/>
        <v>3976000</v>
      </c>
      <c r="R10" s="31"/>
      <c r="S10" s="19"/>
      <c r="T10" s="1"/>
    </row>
    <row r="11" spans="1:20" ht="32.25" customHeight="1" x14ac:dyDescent="0.25">
      <c r="A11" s="72" t="s">
        <v>10</v>
      </c>
      <c r="B11" s="9" t="s">
        <v>11</v>
      </c>
      <c r="C11" s="60"/>
      <c r="D11" s="84"/>
      <c r="E11" s="84"/>
      <c r="F11" s="84"/>
      <c r="G11" s="84"/>
      <c r="H11" s="84">
        <v>17703588.670000002</v>
      </c>
      <c r="I11" s="84">
        <v>16194700</v>
      </c>
      <c r="J11" s="85">
        <v>17145000</v>
      </c>
      <c r="K11" s="85">
        <v>17818000</v>
      </c>
      <c r="L11" s="85">
        <v>17967000</v>
      </c>
      <c r="M11" s="25">
        <f t="shared" si="1"/>
        <v>17703588.670000002</v>
      </c>
      <c r="N11" s="25">
        <f>D11+I11</f>
        <v>16194700</v>
      </c>
      <c r="O11" s="25">
        <f t="shared" si="1"/>
        <v>17145000</v>
      </c>
      <c r="P11" s="25">
        <f t="shared" si="1"/>
        <v>17818000</v>
      </c>
      <c r="Q11" s="25">
        <f t="shared" si="1"/>
        <v>17967000</v>
      </c>
      <c r="R11" s="31"/>
      <c r="S11" s="19"/>
    </row>
    <row r="12" spans="1:20" ht="65.25" hidden="1" customHeight="1" x14ac:dyDescent="0.25">
      <c r="A12" s="72" t="s">
        <v>12</v>
      </c>
      <c r="B12" s="9" t="s">
        <v>13</v>
      </c>
      <c r="C12" s="60"/>
      <c r="D12" s="84"/>
      <c r="E12" s="84"/>
      <c r="F12" s="84"/>
      <c r="G12" s="84"/>
      <c r="H12" s="84"/>
      <c r="I12" s="84"/>
      <c r="J12" s="85"/>
      <c r="K12" s="85"/>
      <c r="L12" s="85"/>
      <c r="M12" s="25">
        <f t="shared" si="1"/>
        <v>0</v>
      </c>
      <c r="N12" s="25">
        <f t="shared" si="1"/>
        <v>0</v>
      </c>
      <c r="O12" s="25">
        <f t="shared" si="1"/>
        <v>0</v>
      </c>
      <c r="P12" s="25">
        <f t="shared" si="1"/>
        <v>0</v>
      </c>
      <c r="Q12" s="25">
        <f t="shared" si="1"/>
        <v>0</v>
      </c>
      <c r="R12" s="31"/>
      <c r="S12" s="19"/>
    </row>
    <row r="13" spans="1:20" ht="32.25" customHeight="1" x14ac:dyDescent="0.25">
      <c r="A13" s="72" t="s">
        <v>14</v>
      </c>
      <c r="B13" s="9" t="s">
        <v>15</v>
      </c>
      <c r="C13" s="60">
        <v>1747351.8</v>
      </c>
      <c r="D13" s="84">
        <v>1900000</v>
      </c>
      <c r="E13" s="84">
        <v>1855000</v>
      </c>
      <c r="F13" s="84">
        <v>1909000</v>
      </c>
      <c r="G13" s="84">
        <v>1964000</v>
      </c>
      <c r="H13" s="84"/>
      <c r="I13" s="84"/>
      <c r="J13" s="85"/>
      <c r="K13" s="85"/>
      <c r="L13" s="85"/>
      <c r="M13" s="25">
        <f t="shared" si="1"/>
        <v>1747351.8</v>
      </c>
      <c r="N13" s="25">
        <f t="shared" si="1"/>
        <v>1900000</v>
      </c>
      <c r="O13" s="25">
        <f t="shared" si="1"/>
        <v>1855000</v>
      </c>
      <c r="P13" s="25">
        <f t="shared" si="1"/>
        <v>1909000</v>
      </c>
      <c r="Q13" s="25">
        <f t="shared" si="1"/>
        <v>1964000</v>
      </c>
      <c r="R13" s="31"/>
      <c r="S13" s="19"/>
    </row>
    <row r="14" spans="1:20" ht="45" customHeight="1" x14ac:dyDescent="0.25">
      <c r="A14" s="72" t="s">
        <v>109</v>
      </c>
      <c r="B14" s="79" t="s">
        <v>110</v>
      </c>
      <c r="C14" s="60"/>
      <c r="D14" s="84"/>
      <c r="E14" s="84"/>
      <c r="F14" s="84"/>
      <c r="G14" s="84"/>
      <c r="H14" s="84"/>
      <c r="I14" s="84"/>
      <c r="J14" s="85"/>
      <c r="K14" s="85"/>
      <c r="L14" s="85"/>
      <c r="M14" s="25">
        <f t="shared" si="1"/>
        <v>0</v>
      </c>
      <c r="N14" s="25"/>
      <c r="O14" s="25"/>
      <c r="P14" s="25"/>
      <c r="Q14" s="25"/>
      <c r="R14" s="31"/>
      <c r="S14" s="19"/>
    </row>
    <row r="15" spans="1:20" ht="78.75" customHeight="1" x14ac:dyDescent="0.25">
      <c r="A15" s="72" t="s">
        <v>16</v>
      </c>
      <c r="B15" s="9" t="s">
        <v>17</v>
      </c>
      <c r="C15" s="60">
        <v>1608224.03</v>
      </c>
      <c r="D15" s="84">
        <v>1580900</v>
      </c>
      <c r="E15" s="84">
        <v>1648700</v>
      </c>
      <c r="F15" s="84">
        <v>1690000</v>
      </c>
      <c r="G15" s="84">
        <v>1695000</v>
      </c>
      <c r="H15" s="84">
        <v>1775316.83</v>
      </c>
      <c r="I15" s="84">
        <v>1602600</v>
      </c>
      <c r="J15" s="84">
        <v>1398200</v>
      </c>
      <c r="K15" s="85">
        <v>1409800</v>
      </c>
      <c r="L15" s="85">
        <v>1409800</v>
      </c>
      <c r="M15" s="25">
        <f t="shared" si="1"/>
        <v>3383540.8600000003</v>
      </c>
      <c r="N15" s="25">
        <f>D15+I15</f>
        <v>3183500</v>
      </c>
      <c r="O15" s="25">
        <f t="shared" ref="N15:Q20" si="2">E15+J15</f>
        <v>3046900</v>
      </c>
      <c r="P15" s="25">
        <f t="shared" si="2"/>
        <v>3099800</v>
      </c>
      <c r="Q15" s="25">
        <f t="shared" si="2"/>
        <v>3104800</v>
      </c>
      <c r="R15" s="31"/>
      <c r="S15" s="19"/>
    </row>
    <row r="16" spans="1:20" ht="38.25" customHeight="1" x14ac:dyDescent="0.25">
      <c r="A16" s="72" t="s">
        <v>18</v>
      </c>
      <c r="B16" s="9" t="s">
        <v>19</v>
      </c>
      <c r="C16" s="60">
        <v>58508.73</v>
      </c>
      <c r="D16" s="84">
        <v>17000</v>
      </c>
      <c r="E16" s="84">
        <v>61800</v>
      </c>
      <c r="F16" s="84">
        <v>61800</v>
      </c>
      <c r="G16" s="84">
        <v>61800</v>
      </c>
      <c r="H16" s="84"/>
      <c r="I16" s="84"/>
      <c r="J16" s="85"/>
      <c r="K16" s="85"/>
      <c r="L16" s="85"/>
      <c r="M16" s="25">
        <f t="shared" si="1"/>
        <v>58508.73</v>
      </c>
      <c r="N16" s="25">
        <f>D16+I16</f>
        <v>17000</v>
      </c>
      <c r="O16" s="25">
        <f t="shared" si="2"/>
        <v>61800</v>
      </c>
      <c r="P16" s="25">
        <f t="shared" si="2"/>
        <v>61800</v>
      </c>
      <c r="Q16" s="25">
        <f t="shared" si="2"/>
        <v>61800</v>
      </c>
      <c r="R16" s="31"/>
      <c r="S16" s="19"/>
    </row>
    <row r="17" spans="1:23" s="11" customFormat="1" ht="51" customHeight="1" x14ac:dyDescent="0.25">
      <c r="A17" s="72" t="s">
        <v>20</v>
      </c>
      <c r="B17" s="9" t="s">
        <v>21</v>
      </c>
      <c r="C17" s="60">
        <v>228612.07</v>
      </c>
      <c r="D17" s="84">
        <v>442600</v>
      </c>
      <c r="E17" s="84">
        <v>291200</v>
      </c>
      <c r="F17" s="84">
        <v>297600</v>
      </c>
      <c r="G17" s="84">
        <v>304200</v>
      </c>
      <c r="H17" s="84">
        <v>25364.98</v>
      </c>
      <c r="I17" s="84">
        <v>37052.22</v>
      </c>
      <c r="J17" s="85">
        <v>25000</v>
      </c>
      <c r="K17" s="85">
        <v>25000</v>
      </c>
      <c r="L17" s="85">
        <v>25000</v>
      </c>
      <c r="M17" s="25">
        <f t="shared" si="1"/>
        <v>253977.05000000002</v>
      </c>
      <c r="N17" s="25">
        <f>D17+I17</f>
        <v>479652.22</v>
      </c>
      <c r="O17" s="25">
        <f t="shared" si="2"/>
        <v>316200</v>
      </c>
      <c r="P17" s="25">
        <f t="shared" si="2"/>
        <v>322600</v>
      </c>
      <c r="Q17" s="25">
        <f t="shared" si="2"/>
        <v>329200</v>
      </c>
      <c r="R17" s="31"/>
      <c r="S17" s="19"/>
      <c r="T17" s="1"/>
    </row>
    <row r="18" spans="1:23" s="11" customFormat="1" ht="51" customHeight="1" x14ac:dyDescent="0.25">
      <c r="A18" s="72" t="s">
        <v>22</v>
      </c>
      <c r="B18" s="9" t="s">
        <v>23</v>
      </c>
      <c r="C18" s="60">
        <v>826115.93</v>
      </c>
      <c r="D18" s="84">
        <v>4490000</v>
      </c>
      <c r="E18" s="84">
        <v>100000</v>
      </c>
      <c r="F18" s="84">
        <v>100000</v>
      </c>
      <c r="G18" s="84">
        <v>100000</v>
      </c>
      <c r="H18" s="84">
        <v>10115067.390000001</v>
      </c>
      <c r="I18" s="84">
        <v>6157721.2800000003</v>
      </c>
      <c r="J18" s="85">
        <v>2429000</v>
      </c>
      <c r="K18" s="85">
        <v>50000</v>
      </c>
      <c r="L18" s="85">
        <v>50000</v>
      </c>
      <c r="M18" s="25">
        <f t="shared" si="1"/>
        <v>10941183.32</v>
      </c>
      <c r="N18" s="25">
        <f>D18+I18</f>
        <v>10647721.280000001</v>
      </c>
      <c r="O18" s="25">
        <f t="shared" si="2"/>
        <v>2529000</v>
      </c>
      <c r="P18" s="25">
        <f t="shared" si="2"/>
        <v>150000</v>
      </c>
      <c r="Q18" s="25">
        <f t="shared" si="2"/>
        <v>150000</v>
      </c>
      <c r="R18" s="31"/>
      <c r="S18" s="19"/>
      <c r="T18" s="1"/>
    </row>
    <row r="19" spans="1:23" ht="32.25" customHeight="1" x14ac:dyDescent="0.25">
      <c r="A19" s="72" t="s">
        <v>24</v>
      </c>
      <c r="B19" s="9" t="s">
        <v>25</v>
      </c>
      <c r="C19" s="60"/>
      <c r="D19" s="84"/>
      <c r="E19" s="84"/>
      <c r="F19" s="84"/>
      <c r="G19" s="84"/>
      <c r="H19" s="84"/>
      <c r="I19" s="84"/>
      <c r="J19" s="85"/>
      <c r="K19" s="85"/>
      <c r="L19" s="85"/>
      <c r="M19" s="25">
        <f t="shared" si="1"/>
        <v>0</v>
      </c>
      <c r="N19" s="25">
        <f t="shared" si="2"/>
        <v>0</v>
      </c>
      <c r="O19" s="25">
        <f t="shared" si="2"/>
        <v>0</v>
      </c>
      <c r="P19" s="25">
        <f t="shared" si="2"/>
        <v>0</v>
      </c>
      <c r="Q19" s="25">
        <f t="shared" si="2"/>
        <v>0</v>
      </c>
      <c r="R19" s="31"/>
      <c r="S19" s="19"/>
    </row>
    <row r="20" spans="1:23" ht="35.25" customHeight="1" x14ac:dyDescent="0.25">
      <c r="A20" s="72" t="s">
        <v>26</v>
      </c>
      <c r="B20" s="9" t="s">
        <v>27</v>
      </c>
      <c r="C20" s="60">
        <v>779950.32</v>
      </c>
      <c r="D20" s="84">
        <v>600000</v>
      </c>
      <c r="E20" s="84">
        <v>655000</v>
      </c>
      <c r="F20" s="84">
        <v>655000</v>
      </c>
      <c r="G20" s="84">
        <v>655000</v>
      </c>
      <c r="H20" s="84">
        <v>156854.99</v>
      </c>
      <c r="I20" s="84">
        <v>3300</v>
      </c>
      <c r="J20" s="85"/>
      <c r="K20" s="85"/>
      <c r="L20" s="85"/>
      <c r="M20" s="25">
        <f t="shared" si="1"/>
        <v>936805.30999999994</v>
      </c>
      <c r="N20" s="25">
        <f>D20+I20</f>
        <v>603300</v>
      </c>
      <c r="O20" s="25">
        <f t="shared" si="2"/>
        <v>655000</v>
      </c>
      <c r="P20" s="25">
        <f t="shared" si="2"/>
        <v>655000</v>
      </c>
      <c r="Q20" s="25">
        <f t="shared" si="2"/>
        <v>655000</v>
      </c>
      <c r="R20" s="31"/>
      <c r="S20" s="19"/>
    </row>
    <row r="21" spans="1:23" ht="35.25" customHeight="1" x14ac:dyDescent="0.25">
      <c r="A21" s="72" t="s">
        <v>111</v>
      </c>
      <c r="B21" s="9" t="s">
        <v>112</v>
      </c>
      <c r="C21" s="60"/>
      <c r="D21" s="84"/>
      <c r="E21" s="84"/>
      <c r="F21" s="84"/>
      <c r="G21" s="84"/>
      <c r="H21" s="84"/>
      <c r="I21" s="84">
        <v>130000</v>
      </c>
      <c r="J21" s="85"/>
      <c r="K21" s="85"/>
      <c r="L21" s="85"/>
      <c r="M21" s="25">
        <f t="shared" si="1"/>
        <v>0</v>
      </c>
      <c r="N21" s="25">
        <f>D21+I21</f>
        <v>130000</v>
      </c>
      <c r="O21" s="25">
        <f>E21+J21</f>
        <v>0</v>
      </c>
      <c r="P21" s="25"/>
      <c r="Q21" s="25"/>
      <c r="R21" s="31"/>
      <c r="S21" s="19"/>
    </row>
    <row r="22" spans="1:23" s="11" customFormat="1" ht="31.5" x14ac:dyDescent="0.25">
      <c r="A22" s="116" t="s">
        <v>28</v>
      </c>
      <c r="B22" s="28" t="s">
        <v>29</v>
      </c>
      <c r="C22" s="86">
        <f>C23+C24+C25+C26+C29</f>
        <v>258754383.03999999</v>
      </c>
      <c r="D22" s="86">
        <f>D23+D24+D25+D26+D29+D28</f>
        <v>556418368.25000012</v>
      </c>
      <c r="E22" s="86">
        <f t="shared" ref="E22:Q22" si="3">E23+E24+E25+E26+E29</f>
        <v>465197633.74000001</v>
      </c>
      <c r="F22" s="86">
        <f t="shared" si="3"/>
        <v>246989167.88999999</v>
      </c>
      <c r="G22" s="86">
        <f t="shared" si="3"/>
        <v>244246339.88999999</v>
      </c>
      <c r="H22" s="86">
        <f>H23+H24+H25+H26+H29</f>
        <v>58694239.560000002</v>
      </c>
      <c r="I22" s="86">
        <f>I23+I24+I25+I26+I29+I27</f>
        <v>33481676.210000001</v>
      </c>
      <c r="J22" s="86">
        <f>J23+J24+J25+J26+J29+J27</f>
        <v>50329444.659999996</v>
      </c>
      <c r="K22" s="86">
        <f t="shared" ref="K22:L22" si="4">K23+K24+K25+K26+K29+K27</f>
        <v>30365937.66</v>
      </c>
      <c r="L22" s="86">
        <f t="shared" si="4"/>
        <v>32380321.66</v>
      </c>
      <c r="M22" s="86">
        <f t="shared" si="3"/>
        <v>295599241.34000003</v>
      </c>
      <c r="N22" s="86">
        <f t="shared" si="3"/>
        <v>565905390.49000001</v>
      </c>
      <c r="O22" s="86">
        <f t="shared" si="3"/>
        <v>491076778.74000001</v>
      </c>
      <c r="P22" s="86">
        <f t="shared" si="3"/>
        <v>256734639.88999999</v>
      </c>
      <c r="Q22" s="86">
        <f t="shared" si="3"/>
        <v>253043021.88999999</v>
      </c>
      <c r="R22" s="31"/>
      <c r="S22" s="19"/>
      <c r="T22" s="1"/>
    </row>
    <row r="23" spans="1:23" s="11" customFormat="1" ht="31.5" x14ac:dyDescent="0.25">
      <c r="A23" s="72" t="s">
        <v>101</v>
      </c>
      <c r="B23" s="75" t="s">
        <v>102</v>
      </c>
      <c r="C23" s="60">
        <v>74087640</v>
      </c>
      <c r="D23" s="84">
        <v>76042900</v>
      </c>
      <c r="E23" s="84">
        <v>76723600</v>
      </c>
      <c r="F23" s="84">
        <v>53351000</v>
      </c>
      <c r="G23" s="84">
        <v>51739000</v>
      </c>
      <c r="H23" s="84">
        <v>5124300</v>
      </c>
      <c r="I23" s="84">
        <v>928000</v>
      </c>
      <c r="J23" s="84">
        <v>958500</v>
      </c>
      <c r="K23" s="84">
        <v>958500</v>
      </c>
      <c r="L23" s="84">
        <v>958500</v>
      </c>
      <c r="M23" s="76">
        <f>C23</f>
        <v>74087640</v>
      </c>
      <c r="N23" s="76">
        <f>D23</f>
        <v>76042900</v>
      </c>
      <c r="O23" s="76">
        <f>E23</f>
        <v>76723600</v>
      </c>
      <c r="P23" s="76">
        <f>F23</f>
        <v>53351000</v>
      </c>
      <c r="Q23" s="76">
        <f>G23</f>
        <v>51739000</v>
      </c>
      <c r="R23" s="31"/>
      <c r="S23" s="19"/>
      <c r="T23" s="1"/>
    </row>
    <row r="24" spans="1:23" s="11" customFormat="1" ht="47.25" x14ac:dyDescent="0.25">
      <c r="A24" s="72" t="s">
        <v>103</v>
      </c>
      <c r="B24" s="75" t="s">
        <v>104</v>
      </c>
      <c r="C24" s="60">
        <v>27827515.620000001</v>
      </c>
      <c r="D24" s="84">
        <v>290743917.60000002</v>
      </c>
      <c r="E24" s="84">
        <v>197316323.30000001</v>
      </c>
      <c r="F24" s="84">
        <v>4685452</v>
      </c>
      <c r="G24" s="84">
        <v>3232297</v>
      </c>
      <c r="H24" s="84">
        <v>43238721.140000001</v>
      </c>
      <c r="I24" s="84">
        <v>14819615.449999999</v>
      </c>
      <c r="J24" s="84">
        <v>30992475</v>
      </c>
      <c r="K24" s="84">
        <v>14783372</v>
      </c>
      <c r="L24" s="84">
        <v>13803372</v>
      </c>
      <c r="M24" s="60">
        <f>C24+H24</f>
        <v>71066236.760000005</v>
      </c>
      <c r="N24" s="76">
        <f>D24+I24</f>
        <v>305563533.05000001</v>
      </c>
      <c r="O24" s="76">
        <f>E24+J24</f>
        <v>228308798.30000001</v>
      </c>
      <c r="P24" s="76">
        <f>F24+K24</f>
        <v>19468824</v>
      </c>
      <c r="Q24" s="76">
        <f>G24+L24</f>
        <v>17035669</v>
      </c>
      <c r="R24" s="76">
        <f>J24+O24</f>
        <v>259301273.30000001</v>
      </c>
      <c r="S24" s="76">
        <f>K24+P24</f>
        <v>34252196</v>
      </c>
      <c r="T24" s="76">
        <f>L24+Q24</f>
        <v>30839041</v>
      </c>
      <c r="U24" s="76">
        <f t="shared" ref="U24:W24" si="5">O24+R24</f>
        <v>487610071.60000002</v>
      </c>
      <c r="V24" s="76">
        <f t="shared" si="5"/>
        <v>53721020</v>
      </c>
      <c r="W24" s="76">
        <f t="shared" si="5"/>
        <v>47874710</v>
      </c>
    </row>
    <row r="25" spans="1:23" s="11" customFormat="1" ht="34.5" customHeight="1" x14ac:dyDescent="0.25">
      <c r="A25" s="72" t="s">
        <v>105</v>
      </c>
      <c r="B25" s="75" t="s">
        <v>106</v>
      </c>
      <c r="C25" s="60">
        <v>141841561.34</v>
      </c>
      <c r="D25" s="84">
        <v>167848982.09999999</v>
      </c>
      <c r="E25" s="84">
        <v>184481242.44</v>
      </c>
      <c r="F25" s="84">
        <v>182200814.88999999</v>
      </c>
      <c r="G25" s="84">
        <v>182491934.88999999</v>
      </c>
      <c r="H25" s="84">
        <v>1149689</v>
      </c>
      <c r="I25" s="84">
        <v>1381982</v>
      </c>
      <c r="J25" s="84">
        <v>1563138</v>
      </c>
      <c r="K25" s="84">
        <v>1714001</v>
      </c>
      <c r="L25" s="84">
        <v>1776418</v>
      </c>
      <c r="M25" s="60">
        <v>141841561.34</v>
      </c>
      <c r="N25" s="76">
        <f>D25+I25</f>
        <v>169230964.09999999</v>
      </c>
      <c r="O25" s="76">
        <f>E25+J25</f>
        <v>186044380.44</v>
      </c>
      <c r="P25" s="76">
        <f t="shared" ref="P25:Q25" si="6">F25+K25</f>
        <v>183914815.88999999</v>
      </c>
      <c r="Q25" s="76">
        <f t="shared" si="6"/>
        <v>184268352.88999999</v>
      </c>
      <c r="R25" s="76"/>
      <c r="S25" s="76"/>
      <c r="T25" s="76"/>
      <c r="U25" s="76">
        <f t="shared" ref="U25:W25" si="7">O25</f>
        <v>186044380.44</v>
      </c>
      <c r="V25" s="76">
        <f t="shared" si="7"/>
        <v>183914815.88999999</v>
      </c>
      <c r="W25" s="76">
        <f t="shared" si="7"/>
        <v>184268352.88999999</v>
      </c>
    </row>
    <row r="26" spans="1:23" s="11" customFormat="1" ht="31.5" x14ac:dyDescent="0.25">
      <c r="A26" s="72" t="s">
        <v>107</v>
      </c>
      <c r="B26" s="75" t="s">
        <v>108</v>
      </c>
      <c r="C26" s="60">
        <v>15352802.48</v>
      </c>
      <c r="D26" s="84">
        <v>21652958.34</v>
      </c>
      <c r="E26" s="84">
        <v>6676468</v>
      </c>
      <c r="F26" s="84">
        <v>6751901</v>
      </c>
      <c r="G26" s="84">
        <v>6783108</v>
      </c>
      <c r="H26" s="84">
        <v>9181529.4199999999</v>
      </c>
      <c r="I26" s="84">
        <v>10359778.76</v>
      </c>
      <c r="J26" s="84">
        <v>9815331.6600000001</v>
      </c>
      <c r="K26" s="84">
        <v>9910064.6600000001</v>
      </c>
      <c r="L26" s="84">
        <v>12842031.66</v>
      </c>
      <c r="M26" s="60">
        <v>8958939.6400000006</v>
      </c>
      <c r="N26" s="76">
        <v>15067993.34</v>
      </c>
      <c r="O26" s="76">
        <v>0</v>
      </c>
      <c r="P26" s="76">
        <v>0</v>
      </c>
      <c r="Q26" s="76">
        <v>0</v>
      </c>
      <c r="R26" s="31">
        <f>5895000+8989551+4300000</f>
        <v>19184551</v>
      </c>
      <c r="S26" s="31">
        <f>5895000+9174451+3000000</f>
        <v>18069451</v>
      </c>
      <c r="T26" s="31">
        <f>5895000+9226751+3000000</f>
        <v>18121751</v>
      </c>
    </row>
    <row r="27" spans="1:23" s="11" customFormat="1" ht="37.5" customHeight="1" x14ac:dyDescent="0.25">
      <c r="A27" s="72" t="s">
        <v>120</v>
      </c>
      <c r="B27" s="75" t="s">
        <v>121</v>
      </c>
      <c r="C27" s="60"/>
      <c r="D27" s="84"/>
      <c r="E27" s="84"/>
      <c r="F27" s="84"/>
      <c r="G27" s="84"/>
      <c r="H27" s="84"/>
      <c r="I27" s="84">
        <v>5992300</v>
      </c>
      <c r="J27" s="84">
        <v>7000000</v>
      </c>
      <c r="K27" s="84">
        <v>3000000</v>
      </c>
      <c r="L27" s="84">
        <v>3000000</v>
      </c>
      <c r="M27" s="60">
        <v>698250</v>
      </c>
      <c r="N27" s="76">
        <v>561447</v>
      </c>
      <c r="O27" s="76"/>
      <c r="P27" s="76"/>
      <c r="Q27" s="76"/>
      <c r="R27" s="31"/>
      <c r="S27" s="31"/>
      <c r="T27" s="31"/>
    </row>
    <row r="28" spans="1:23" s="11" customFormat="1" ht="120.75" customHeight="1" x14ac:dyDescent="0.25">
      <c r="A28" s="72" t="s">
        <v>122</v>
      </c>
      <c r="B28" s="75" t="s">
        <v>123</v>
      </c>
      <c r="C28" s="60"/>
      <c r="D28" s="84">
        <v>129610.21</v>
      </c>
      <c r="E28" s="84"/>
      <c r="F28" s="84"/>
      <c r="G28" s="84"/>
      <c r="H28" s="84"/>
      <c r="I28" s="84"/>
      <c r="J28" s="84"/>
      <c r="K28" s="84"/>
      <c r="L28" s="84"/>
      <c r="M28" s="60">
        <f>C28+H28</f>
        <v>0</v>
      </c>
      <c r="N28" s="60">
        <f>D28+I28</f>
        <v>129610.21</v>
      </c>
      <c r="O28" s="76">
        <v>0</v>
      </c>
      <c r="P28" s="76">
        <v>0</v>
      </c>
      <c r="Q28" s="76">
        <v>0</v>
      </c>
      <c r="R28" s="31"/>
      <c r="S28" s="31"/>
      <c r="T28" s="31"/>
    </row>
    <row r="29" spans="1:23" s="11" customFormat="1" ht="49.5" customHeight="1" x14ac:dyDescent="0.25">
      <c r="A29" s="72" t="s">
        <v>113</v>
      </c>
      <c r="B29" s="75" t="s">
        <v>114</v>
      </c>
      <c r="C29" s="60">
        <v>-355136.4</v>
      </c>
      <c r="D29" s="84">
        <v>0</v>
      </c>
      <c r="E29" s="84">
        <v>0</v>
      </c>
      <c r="F29" s="84">
        <v>0</v>
      </c>
      <c r="G29" s="84">
        <v>0</v>
      </c>
      <c r="H29" s="84"/>
      <c r="I29" s="84"/>
      <c r="J29" s="84"/>
      <c r="K29" s="84"/>
      <c r="L29" s="84"/>
      <c r="M29" s="60">
        <f>C29+H29</f>
        <v>-355136.4</v>
      </c>
      <c r="N29" s="60">
        <f>D29+I29</f>
        <v>0</v>
      </c>
      <c r="O29" s="76">
        <v>0</v>
      </c>
      <c r="P29" s="76">
        <v>0</v>
      </c>
      <c r="Q29" s="76">
        <v>0</v>
      </c>
      <c r="R29" s="31"/>
      <c r="S29" s="19"/>
      <c r="T29" s="1"/>
    </row>
    <row r="30" spans="1:23" s="11" customFormat="1" ht="24" customHeight="1" x14ac:dyDescent="0.25">
      <c r="A30" s="114" t="s">
        <v>30</v>
      </c>
      <c r="B30" s="114"/>
      <c r="C30" s="87">
        <f>C7+C22</f>
        <v>357249837.35000002</v>
      </c>
      <c r="D30" s="87">
        <f>D7+D22</f>
        <v>667169668.25000012</v>
      </c>
      <c r="E30" s="87">
        <f t="shared" ref="E30:W30" si="8">E7+E22</f>
        <v>586069833.74000001</v>
      </c>
      <c r="F30" s="87">
        <f t="shared" si="8"/>
        <v>378917567.88999999</v>
      </c>
      <c r="G30" s="87">
        <f t="shared" si="8"/>
        <v>387750539.88999999</v>
      </c>
      <c r="H30" s="87">
        <f>H7+H22</f>
        <v>104122471.52000001</v>
      </c>
      <c r="I30" s="87">
        <f t="shared" si="8"/>
        <v>74440749.710000008</v>
      </c>
      <c r="J30" s="87">
        <f>J7+J22</f>
        <v>89551344.659999996</v>
      </c>
      <c r="K30" s="87">
        <f t="shared" si="8"/>
        <v>68850737.659999996</v>
      </c>
      <c r="L30" s="87">
        <f t="shared" si="8"/>
        <v>73928921.659999996</v>
      </c>
      <c r="M30" s="87">
        <f t="shared" si="8"/>
        <v>439522927.61000001</v>
      </c>
      <c r="N30" s="87">
        <f t="shared" si="8"/>
        <v>717615763.99000001</v>
      </c>
      <c r="O30" s="87">
        <f>O7+O22</f>
        <v>651170878.74000001</v>
      </c>
      <c r="P30" s="87">
        <f t="shared" si="8"/>
        <v>427147839.88999999</v>
      </c>
      <c r="Q30" s="87">
        <f t="shared" si="8"/>
        <v>438095821.88999999</v>
      </c>
      <c r="R30" s="87">
        <f t="shared" si="8"/>
        <v>0</v>
      </c>
      <c r="S30" s="87">
        <f t="shared" si="8"/>
        <v>0</v>
      </c>
      <c r="T30" s="87">
        <f t="shared" si="8"/>
        <v>0</v>
      </c>
      <c r="U30" s="87">
        <f t="shared" si="8"/>
        <v>0</v>
      </c>
      <c r="V30" s="87">
        <f t="shared" si="8"/>
        <v>0</v>
      </c>
      <c r="W30" s="87">
        <f t="shared" si="8"/>
        <v>0</v>
      </c>
    </row>
    <row r="31" spans="1:23" s="11" customFormat="1" ht="12" customHeight="1" x14ac:dyDescent="0.25">
      <c r="B31" s="70"/>
      <c r="C31" s="70"/>
      <c r="D31" s="70"/>
      <c r="E31" s="70"/>
      <c r="F31" s="70"/>
      <c r="G31" s="70"/>
      <c r="H31" s="111" t="s">
        <v>31</v>
      </c>
      <c r="I31" s="112"/>
      <c r="J31" s="112"/>
      <c r="K31" s="112"/>
      <c r="L31" s="112"/>
      <c r="M31" s="70"/>
      <c r="N31" s="70"/>
      <c r="O31" s="70"/>
      <c r="P31" s="70"/>
      <c r="Q31" s="71"/>
      <c r="R31" s="31"/>
      <c r="S31" s="1"/>
      <c r="T31" s="1"/>
    </row>
    <row r="32" spans="1:23" s="2" customFormat="1" ht="30" customHeight="1" x14ac:dyDescent="0.25">
      <c r="A32" s="20" t="s">
        <v>32</v>
      </c>
      <c r="B32" s="13" t="s">
        <v>33</v>
      </c>
      <c r="C32" s="61">
        <v>40065391.850000001</v>
      </c>
      <c r="D32" s="96">
        <v>45743395.359999999</v>
      </c>
      <c r="E32" s="61">
        <v>49661249</v>
      </c>
      <c r="F32" s="61">
        <f>53963834.54-F46</f>
        <v>47831914</v>
      </c>
      <c r="G32" s="61">
        <f>59727710.54-G46</f>
        <v>47795034</v>
      </c>
      <c r="H32" s="61">
        <f>453147.64+9118536.47</f>
        <v>9571684.1100000013</v>
      </c>
      <c r="I32" s="61">
        <f>327908+11102473</f>
        <v>11430381</v>
      </c>
      <c r="J32" s="46">
        <v>11922680</v>
      </c>
      <c r="K32" s="46">
        <v>7078161</v>
      </c>
      <c r="L32" s="46">
        <v>6978788</v>
      </c>
      <c r="M32" s="46">
        <v>49610850.960000001</v>
      </c>
      <c r="N32" s="46">
        <f>D32+I32-27000</f>
        <v>57146776.359999999</v>
      </c>
      <c r="O32" s="10">
        <f>E32+J32-R32</f>
        <v>61556929</v>
      </c>
      <c r="P32" s="10">
        <f>F32+K32-S32</f>
        <v>54883075</v>
      </c>
      <c r="Q32" s="10">
        <f>G32+L32-T32</f>
        <v>54746822</v>
      </c>
      <c r="R32" s="31">
        <f>6600+2400+18000</f>
        <v>27000</v>
      </c>
      <c r="S32" s="31">
        <f t="shared" ref="S32:T32" si="9">6600+2400+18000</f>
        <v>27000</v>
      </c>
      <c r="T32" s="31">
        <f t="shared" si="9"/>
        <v>27000</v>
      </c>
      <c r="U32" s="11"/>
    </row>
    <row r="33" spans="1:21" s="11" customFormat="1" ht="19.5" customHeight="1" x14ac:dyDescent="0.25">
      <c r="A33" s="20" t="s">
        <v>34</v>
      </c>
      <c r="B33" s="13" t="s">
        <v>35</v>
      </c>
      <c r="C33" s="61">
        <v>1724233.2</v>
      </c>
      <c r="D33" s="96">
        <v>690892</v>
      </c>
      <c r="E33" s="61">
        <v>781468</v>
      </c>
      <c r="F33" s="61">
        <v>856901</v>
      </c>
      <c r="G33" s="61">
        <v>888108</v>
      </c>
      <c r="H33" s="61">
        <f>574744.2+574744.8</f>
        <v>1149489</v>
      </c>
      <c r="I33" s="61">
        <f>1381782</f>
        <v>1381782</v>
      </c>
      <c r="J33" s="46">
        <v>1562938</v>
      </c>
      <c r="K33" s="46">
        <v>1713801</v>
      </c>
      <c r="L33" s="46">
        <v>1776218</v>
      </c>
      <c r="M33" s="46">
        <v>1149489</v>
      </c>
      <c r="N33" s="46">
        <f>D33+I33-D33</f>
        <v>1381782</v>
      </c>
      <c r="O33" s="46">
        <f>E33+J33-E33</f>
        <v>1562938</v>
      </c>
      <c r="P33" s="46">
        <f>F33+K33-F33</f>
        <v>1713801</v>
      </c>
      <c r="Q33" s="46">
        <f>G33+L33-G33</f>
        <v>1776218</v>
      </c>
      <c r="R33" s="31">
        <v>781468</v>
      </c>
      <c r="S33" s="19">
        <v>856901</v>
      </c>
      <c r="T33" s="1">
        <v>888108</v>
      </c>
    </row>
    <row r="34" spans="1:21" ht="46.5" customHeight="1" x14ac:dyDescent="0.25">
      <c r="A34" s="20" t="s">
        <v>36</v>
      </c>
      <c r="B34" s="13" t="s">
        <v>37</v>
      </c>
      <c r="C34" s="61">
        <v>3883979.59</v>
      </c>
      <c r="D34" s="96">
        <v>4458533</v>
      </c>
      <c r="E34" s="61">
        <v>4773900</v>
      </c>
      <c r="F34" s="61">
        <v>4773900</v>
      </c>
      <c r="G34" s="61">
        <v>4773900</v>
      </c>
      <c r="H34" s="61">
        <f>29953.18+647865.78</f>
        <v>677818.96000000008</v>
      </c>
      <c r="I34" s="61">
        <f>30000+766124</f>
        <v>796124</v>
      </c>
      <c r="J34" s="46">
        <v>820301</v>
      </c>
      <c r="K34" s="46">
        <v>394832</v>
      </c>
      <c r="L34" s="46">
        <v>435844</v>
      </c>
      <c r="M34" s="46">
        <v>4561798.55</v>
      </c>
      <c r="N34" s="46">
        <f>D34+I34</f>
        <v>5254657</v>
      </c>
      <c r="O34" s="10">
        <f t="shared" ref="O34:Q37" si="10">E34+J34-R34</f>
        <v>5594201</v>
      </c>
      <c r="P34" s="10">
        <f t="shared" si="10"/>
        <v>5168732</v>
      </c>
      <c r="Q34" s="10">
        <f t="shared" si="10"/>
        <v>5209744</v>
      </c>
      <c r="R34" s="31"/>
      <c r="S34" s="31"/>
      <c r="U34" s="11"/>
    </row>
    <row r="35" spans="1:21" s="11" customFormat="1" ht="21" customHeight="1" x14ac:dyDescent="0.25">
      <c r="A35" s="20" t="s">
        <v>38</v>
      </c>
      <c r="B35" s="13" t="s">
        <v>39</v>
      </c>
      <c r="C35" s="61">
        <v>13298312.689999999</v>
      </c>
      <c r="D35" s="96">
        <v>15238174.26</v>
      </c>
      <c r="E35" s="61">
        <v>16564247.199999999</v>
      </c>
      <c r="F35" s="61">
        <v>16596614.65</v>
      </c>
      <c r="G35" s="61">
        <v>17952014.649999999</v>
      </c>
      <c r="H35" s="61">
        <f>15878392.32+9255139.34</f>
        <v>25133531.66</v>
      </c>
      <c r="I35" s="61">
        <f>15658916+11073173</f>
        <v>26732089</v>
      </c>
      <c r="J35" s="46">
        <v>38253985</v>
      </c>
      <c r="K35" s="46">
        <v>29473245</v>
      </c>
      <c r="L35" s="46">
        <v>34392012</v>
      </c>
      <c r="M35" s="46">
        <v>29322865.010000002</v>
      </c>
      <c r="N35" s="46">
        <f>D35+I35-10205945.76</f>
        <v>31764317.5</v>
      </c>
      <c r="O35" s="10">
        <f t="shared" si="10"/>
        <v>45078732.200000003</v>
      </c>
      <c r="P35" s="10">
        <f t="shared" si="10"/>
        <v>36235626.649999999</v>
      </c>
      <c r="Q35" s="10">
        <f t="shared" si="10"/>
        <v>39577826.649999999</v>
      </c>
      <c r="R35" s="31">
        <v>9739500</v>
      </c>
      <c r="S35" s="19">
        <v>9834233</v>
      </c>
      <c r="T35" s="1">
        <v>12766200</v>
      </c>
    </row>
    <row r="36" spans="1:21" s="14" customFormat="1" ht="31.5" customHeight="1" x14ac:dyDescent="0.25">
      <c r="A36" s="20" t="s">
        <v>40</v>
      </c>
      <c r="B36" s="13" t="s">
        <v>41</v>
      </c>
      <c r="C36" s="61">
        <v>21782113.620000001</v>
      </c>
      <c r="D36" s="96">
        <v>24561581.780000001</v>
      </c>
      <c r="E36" s="61">
        <v>311310.2</v>
      </c>
      <c r="F36" s="61">
        <v>75831.66</v>
      </c>
      <c r="G36" s="61">
        <v>75831.66</v>
      </c>
      <c r="H36" s="61">
        <f>57583163.72+1172235.09</f>
        <v>58755398.810000002</v>
      </c>
      <c r="I36" s="61">
        <f>31571298+6733178</f>
        <v>38304476</v>
      </c>
      <c r="J36" s="46">
        <v>29857675.34</v>
      </c>
      <c r="K36" s="46">
        <v>22405921.66</v>
      </c>
      <c r="L36" s="46">
        <v>21325867.66</v>
      </c>
      <c r="M36" s="46">
        <v>80464962.349999994</v>
      </c>
      <c r="N36" s="46">
        <f>D36+I36-75833</f>
        <v>62790224.780000001</v>
      </c>
      <c r="O36" s="10">
        <f t="shared" si="10"/>
        <v>30093153.879999999</v>
      </c>
      <c r="P36" s="10">
        <f t="shared" si="10"/>
        <v>22405921.66</v>
      </c>
      <c r="Q36" s="10">
        <f t="shared" si="10"/>
        <v>21325867.66</v>
      </c>
      <c r="R36" s="31">
        <v>75831.66</v>
      </c>
      <c r="S36" s="31">
        <v>75831.66</v>
      </c>
      <c r="T36" s="31">
        <v>75831.66</v>
      </c>
      <c r="U36" s="11"/>
    </row>
    <row r="37" spans="1:21" s="11" customFormat="1" ht="22.5" customHeight="1" x14ac:dyDescent="0.25">
      <c r="A37" s="20" t="s">
        <v>42</v>
      </c>
      <c r="B37" s="13" t="s">
        <v>43</v>
      </c>
      <c r="C37" s="73"/>
      <c r="D37" s="73">
        <v>0</v>
      </c>
      <c r="E37" s="93">
        <v>84000</v>
      </c>
      <c r="F37" s="93">
        <v>84000</v>
      </c>
      <c r="G37" s="93">
        <v>84000</v>
      </c>
      <c r="H37" s="73"/>
      <c r="I37" s="73"/>
      <c r="J37" s="46"/>
      <c r="K37" s="46"/>
      <c r="L37" s="46"/>
      <c r="M37" s="46"/>
      <c r="N37" s="46">
        <f>D37+I37</f>
        <v>0</v>
      </c>
      <c r="O37" s="10">
        <f t="shared" si="10"/>
        <v>84000</v>
      </c>
      <c r="P37" s="10">
        <f t="shared" si="10"/>
        <v>84000</v>
      </c>
      <c r="Q37" s="10">
        <f t="shared" si="10"/>
        <v>84000</v>
      </c>
      <c r="R37" s="31"/>
      <c r="S37" s="31"/>
      <c r="T37" s="1"/>
    </row>
    <row r="38" spans="1:21" ht="22.5" customHeight="1" x14ac:dyDescent="0.25">
      <c r="A38" s="20" t="s">
        <v>44</v>
      </c>
      <c r="B38" s="13" t="s">
        <v>45</v>
      </c>
      <c r="C38" s="61">
        <v>206597695.22</v>
      </c>
      <c r="D38" s="96">
        <v>376761870.18000001</v>
      </c>
      <c r="E38" s="61">
        <v>233011115</v>
      </c>
      <c r="F38" s="61">
        <v>230124251</v>
      </c>
      <c r="G38" s="61">
        <v>231478740</v>
      </c>
      <c r="H38" s="61"/>
      <c r="I38" s="61"/>
      <c r="J38" s="46"/>
      <c r="K38" s="46"/>
      <c r="L38" s="46"/>
      <c r="M38" s="46">
        <f>C38</f>
        <v>206597695.22</v>
      </c>
      <c r="N38" s="46">
        <f>D38</f>
        <v>376761870.18000001</v>
      </c>
      <c r="O38" s="46">
        <f>E38</f>
        <v>233011115</v>
      </c>
      <c r="P38" s="46">
        <f>F38</f>
        <v>230124251</v>
      </c>
      <c r="Q38" s="46">
        <f>G38</f>
        <v>231478740</v>
      </c>
      <c r="R38" s="31"/>
      <c r="S38" s="31"/>
      <c r="U38" s="11"/>
    </row>
    <row r="39" spans="1:21" ht="22.5" customHeight="1" x14ac:dyDescent="0.25">
      <c r="A39" s="20" t="s">
        <v>46</v>
      </c>
      <c r="B39" s="13" t="s">
        <v>47</v>
      </c>
      <c r="C39" s="61">
        <v>25557770.260000002</v>
      </c>
      <c r="D39" s="96">
        <v>35778551</v>
      </c>
      <c r="E39" s="61">
        <v>35949774</v>
      </c>
      <c r="F39" s="61">
        <v>30590659</v>
      </c>
      <c r="G39" s="61">
        <v>30590659</v>
      </c>
      <c r="H39" s="61">
        <f>5571588+42209.77</f>
        <v>5613797.7699999996</v>
      </c>
      <c r="I39" s="61">
        <f>5874391+1144012</f>
        <v>7018403</v>
      </c>
      <c r="J39" s="46">
        <v>5948181</v>
      </c>
      <c r="K39" s="46">
        <v>5626300</v>
      </c>
      <c r="L39" s="46">
        <v>5625300</v>
      </c>
      <c r="M39" s="46">
        <v>25599980.030000001</v>
      </c>
      <c r="N39" s="46">
        <f>D39+I39-5600000</f>
        <v>37196954</v>
      </c>
      <c r="O39" s="10">
        <f t="shared" ref="O39:Q42" si="11">E39+J39-R39</f>
        <v>36297955</v>
      </c>
      <c r="P39" s="10">
        <f t="shared" si="11"/>
        <v>30616959</v>
      </c>
      <c r="Q39" s="10">
        <f t="shared" si="11"/>
        <v>30615959</v>
      </c>
      <c r="R39" s="31">
        <v>5600000</v>
      </c>
      <c r="S39" s="31">
        <v>5600000</v>
      </c>
      <c r="T39" s="31">
        <v>5600000</v>
      </c>
      <c r="U39" s="11"/>
    </row>
    <row r="40" spans="1:21" ht="18.75" hidden="1" customHeight="1" x14ac:dyDescent="0.25">
      <c r="A40" s="20" t="s">
        <v>48</v>
      </c>
      <c r="B40" s="13" t="s">
        <v>49</v>
      </c>
      <c r="C40" s="73"/>
      <c r="D40" s="73"/>
      <c r="E40" s="73"/>
      <c r="F40" s="73"/>
      <c r="G40" s="73"/>
      <c r="H40" s="73"/>
      <c r="I40" s="73"/>
      <c r="J40" s="46"/>
      <c r="K40" s="46"/>
      <c r="L40" s="46"/>
      <c r="M40" s="46">
        <f>C40</f>
        <v>0</v>
      </c>
      <c r="N40" s="46">
        <f>D40+I40</f>
        <v>0</v>
      </c>
      <c r="O40" s="10">
        <f t="shared" si="11"/>
        <v>0</v>
      </c>
      <c r="P40" s="10">
        <f t="shared" si="11"/>
        <v>0</v>
      </c>
      <c r="Q40" s="10">
        <f t="shared" si="11"/>
        <v>0</v>
      </c>
      <c r="R40" s="31"/>
      <c r="S40" s="31"/>
      <c r="U40" s="11"/>
    </row>
    <row r="41" spans="1:21" ht="18.75" customHeight="1" x14ac:dyDescent="0.25">
      <c r="A41" s="20" t="s">
        <v>50</v>
      </c>
      <c r="B41" s="13" t="s">
        <v>51</v>
      </c>
      <c r="C41" s="61">
        <v>19371182.190000001</v>
      </c>
      <c r="D41" s="96">
        <v>30082942.199999999</v>
      </c>
      <c r="E41" s="61">
        <v>31560697.039999999</v>
      </c>
      <c r="F41" s="61">
        <v>29307476.039999999</v>
      </c>
      <c r="G41" s="61">
        <v>29635476.039999999</v>
      </c>
      <c r="H41" s="61">
        <f>99304.14+794789.04</f>
        <v>894093.18</v>
      </c>
      <c r="I41" s="61">
        <f>106600+794789</f>
        <v>901389</v>
      </c>
      <c r="J41" s="46">
        <v>917584.32</v>
      </c>
      <c r="K41" s="46">
        <v>832877</v>
      </c>
      <c r="L41" s="46">
        <v>832877</v>
      </c>
      <c r="M41" s="46">
        <v>20265275.370000001</v>
      </c>
      <c r="N41" s="46">
        <f>D41+I41</f>
        <v>30984331.199999999</v>
      </c>
      <c r="O41" s="10">
        <f t="shared" si="11"/>
        <v>32478281.359999999</v>
      </c>
      <c r="P41" s="10">
        <f t="shared" si="11"/>
        <v>30140353.039999999</v>
      </c>
      <c r="Q41" s="10">
        <f t="shared" si="11"/>
        <v>30468353.039999999</v>
      </c>
      <c r="R41" s="31"/>
      <c r="S41" s="31"/>
      <c r="U41" s="11"/>
    </row>
    <row r="42" spans="1:21" ht="24.75" customHeight="1" x14ac:dyDescent="0.25">
      <c r="A42" s="20" t="s">
        <v>52</v>
      </c>
      <c r="B42" s="13" t="s">
        <v>53</v>
      </c>
      <c r="C42" s="61">
        <v>4654565.7300000004</v>
      </c>
      <c r="D42" s="96">
        <v>143663631.30000001</v>
      </c>
      <c r="E42" s="61">
        <v>205413573.30000001</v>
      </c>
      <c r="F42" s="61">
        <v>8585600</v>
      </c>
      <c r="G42" s="61">
        <v>8585600</v>
      </c>
      <c r="H42" s="61">
        <f>203505.64+18000</f>
        <v>221505.64</v>
      </c>
      <c r="I42" s="61">
        <f>268000</f>
        <v>268000</v>
      </c>
      <c r="J42" s="46">
        <v>268000</v>
      </c>
      <c r="K42" s="46">
        <v>268000</v>
      </c>
      <c r="L42" s="46">
        <v>268000</v>
      </c>
      <c r="M42" s="46">
        <v>4654565.7300000004</v>
      </c>
      <c r="N42" s="46">
        <f>D42+I42-268000</f>
        <v>143663631.30000001</v>
      </c>
      <c r="O42" s="10">
        <f t="shared" si="11"/>
        <v>205413573.30000001</v>
      </c>
      <c r="P42" s="10">
        <f t="shared" si="11"/>
        <v>8585600</v>
      </c>
      <c r="Q42" s="10">
        <f t="shared" si="11"/>
        <v>8585600</v>
      </c>
      <c r="R42" s="31">
        <v>268000</v>
      </c>
      <c r="S42" s="31">
        <v>268000</v>
      </c>
      <c r="T42" s="31">
        <v>268000</v>
      </c>
      <c r="U42" s="11"/>
    </row>
    <row r="43" spans="1:21" ht="35.25" hidden="1" customHeight="1" x14ac:dyDescent="0.25">
      <c r="A43" s="20" t="s">
        <v>54</v>
      </c>
      <c r="B43" s="13" t="s">
        <v>55</v>
      </c>
      <c r="C43" s="73"/>
      <c r="D43" s="73"/>
      <c r="E43" s="73"/>
      <c r="F43" s="73"/>
      <c r="G43" s="73"/>
      <c r="H43" s="73"/>
      <c r="I43" s="73"/>
      <c r="J43" s="46"/>
      <c r="K43" s="46"/>
      <c r="L43" s="46"/>
      <c r="M43" s="46"/>
      <c r="N43" s="46">
        <f t="shared" ref="N43:Q44" si="12">D43+I43</f>
        <v>0</v>
      </c>
      <c r="O43" s="10">
        <f t="shared" si="12"/>
        <v>0</v>
      </c>
      <c r="P43" s="10">
        <f t="shared" si="12"/>
        <v>0</v>
      </c>
      <c r="Q43" s="10">
        <f t="shared" si="12"/>
        <v>0</v>
      </c>
      <c r="R43" s="31"/>
      <c r="S43" s="31"/>
    </row>
    <row r="44" spans="1:21" ht="52.5" hidden="1" customHeight="1" x14ac:dyDescent="0.25">
      <c r="A44" s="20" t="s">
        <v>56</v>
      </c>
      <c r="B44" s="13" t="s">
        <v>57</v>
      </c>
      <c r="C44" s="73"/>
      <c r="D44" s="73"/>
      <c r="E44" s="73"/>
      <c r="F44" s="73"/>
      <c r="G44" s="73"/>
      <c r="H44" s="73"/>
      <c r="I44" s="73"/>
      <c r="J44" s="46"/>
      <c r="K44" s="46"/>
      <c r="L44" s="46"/>
      <c r="M44" s="46"/>
      <c r="N44" s="46">
        <f t="shared" si="12"/>
        <v>0</v>
      </c>
      <c r="O44" s="10">
        <f t="shared" si="12"/>
        <v>0</v>
      </c>
      <c r="P44" s="10">
        <f t="shared" si="12"/>
        <v>0</v>
      </c>
      <c r="Q44" s="10">
        <f t="shared" si="12"/>
        <v>0</v>
      </c>
      <c r="R44" s="31"/>
      <c r="S44" s="31"/>
    </row>
    <row r="45" spans="1:21" ht="60.75" customHeight="1" x14ac:dyDescent="0.25">
      <c r="A45" s="20" t="s">
        <v>58</v>
      </c>
      <c r="B45" s="80" t="s">
        <v>59</v>
      </c>
      <c r="C45" s="61">
        <v>5124300</v>
      </c>
      <c r="D45" s="96">
        <v>6920300</v>
      </c>
      <c r="E45" s="61">
        <v>7958500</v>
      </c>
      <c r="F45" s="61">
        <v>3958500</v>
      </c>
      <c r="G45" s="61">
        <v>3958500</v>
      </c>
      <c r="H45" s="61"/>
      <c r="I45" s="61"/>
      <c r="J45" s="46"/>
      <c r="K45" s="46"/>
      <c r="L45" s="46"/>
      <c r="M45" s="46"/>
      <c r="N45" s="46"/>
      <c r="O45" s="10">
        <v>0</v>
      </c>
      <c r="P45" s="10">
        <v>0</v>
      </c>
      <c r="Q45" s="10">
        <v>0</v>
      </c>
      <c r="R45" s="31"/>
      <c r="S45" s="31"/>
    </row>
    <row r="46" spans="1:21" ht="33" customHeight="1" x14ac:dyDescent="0.25">
      <c r="A46" s="20" t="s">
        <v>67</v>
      </c>
      <c r="B46" s="13" t="s">
        <v>68</v>
      </c>
      <c r="C46" s="61"/>
      <c r="D46" s="61"/>
      <c r="E46" s="61"/>
      <c r="F46" s="61">
        <v>6131920.54</v>
      </c>
      <c r="G46" s="61">
        <v>11932676.539999999</v>
      </c>
      <c r="H46" s="61"/>
      <c r="I46" s="61"/>
      <c r="J46" s="46"/>
      <c r="K46" s="46">
        <v>1057600</v>
      </c>
      <c r="L46" s="46">
        <v>2294015</v>
      </c>
      <c r="M46" s="46"/>
      <c r="N46" s="46">
        <f>D46+I46</f>
        <v>0</v>
      </c>
      <c r="O46" s="10">
        <f>E46+J46</f>
        <v>0</v>
      </c>
      <c r="P46" s="10">
        <f>F46+K46</f>
        <v>7189520.54</v>
      </c>
      <c r="Q46" s="10">
        <f>G46+L46</f>
        <v>14226691.539999999</v>
      </c>
      <c r="R46" s="31"/>
      <c r="S46" s="31"/>
    </row>
    <row r="47" spans="1:21" ht="18.75" customHeight="1" x14ac:dyDescent="0.25">
      <c r="A47" s="114" t="s">
        <v>60</v>
      </c>
      <c r="B47" s="114"/>
      <c r="C47" s="17">
        <f t="shared" ref="C47:D47" si="13">SUM(C32:C46)</f>
        <v>342059544.35000002</v>
      </c>
      <c r="D47" s="17">
        <f t="shared" si="13"/>
        <v>683899871.08000004</v>
      </c>
      <c r="E47" s="17">
        <f>SUM(E32:E46)</f>
        <v>586069833.74000001</v>
      </c>
      <c r="F47" s="17">
        <f>SUM(F32:F46)</f>
        <v>378917567.89000005</v>
      </c>
      <c r="G47" s="17">
        <f t="shared" ref="G47:T47" si="14">SUM(G32:G46)</f>
        <v>387750539.89000005</v>
      </c>
      <c r="H47" s="17">
        <f t="shared" ref="H47:I47" si="15">SUM(H32:H46)</f>
        <v>102017319.13000001</v>
      </c>
      <c r="I47" s="17">
        <f t="shared" si="15"/>
        <v>86832644</v>
      </c>
      <c r="J47" s="17">
        <f>SUM(J32:J46)</f>
        <v>89551344.659999996</v>
      </c>
      <c r="K47" s="17">
        <f t="shared" ref="K47:N47" si="16">SUM(K32:K46)</f>
        <v>68850737.659999996</v>
      </c>
      <c r="L47" s="17">
        <f t="shared" si="16"/>
        <v>73928921.659999996</v>
      </c>
      <c r="M47" s="17">
        <f t="shared" si="16"/>
        <v>422227482.22000003</v>
      </c>
      <c r="N47" s="17">
        <f t="shared" si="16"/>
        <v>746944544.31999993</v>
      </c>
      <c r="O47" s="17">
        <f>SUM(O32:O46)</f>
        <v>651170878.74000001</v>
      </c>
      <c r="P47" s="17">
        <f>SUM(P32:P46)</f>
        <v>427147839.89000005</v>
      </c>
      <c r="Q47" s="17">
        <f t="shared" si="14"/>
        <v>438095821.89000005</v>
      </c>
      <c r="R47" s="17">
        <f t="shared" si="14"/>
        <v>16491799.66</v>
      </c>
      <c r="S47" s="17">
        <f t="shared" si="14"/>
        <v>16661965.66</v>
      </c>
      <c r="T47" s="17">
        <f t="shared" si="14"/>
        <v>19625139.66</v>
      </c>
    </row>
    <row r="48" spans="1:21" ht="32.25" customHeight="1" x14ac:dyDescent="0.25">
      <c r="A48" s="115" t="s">
        <v>61</v>
      </c>
      <c r="B48" s="115"/>
      <c r="C48" s="89">
        <f>C30-C47</f>
        <v>15190293</v>
      </c>
      <c r="D48" s="89">
        <f t="shared" ref="D48:Q48" si="17">D30-D47</f>
        <v>-16730202.829999924</v>
      </c>
      <c r="E48" s="89">
        <f t="shared" si="17"/>
        <v>0</v>
      </c>
      <c r="F48" s="89">
        <f t="shared" si="17"/>
        <v>0</v>
      </c>
      <c r="G48" s="89">
        <f t="shared" si="17"/>
        <v>0</v>
      </c>
      <c r="H48" s="89">
        <f t="shared" si="17"/>
        <v>2105152.3900000006</v>
      </c>
      <c r="I48" s="89">
        <f t="shared" si="17"/>
        <v>-12391894.289999992</v>
      </c>
      <c r="J48" s="89">
        <f t="shared" si="17"/>
        <v>0</v>
      </c>
      <c r="K48" s="89">
        <f t="shared" si="17"/>
        <v>0</v>
      </c>
      <c r="L48" s="89">
        <f t="shared" si="17"/>
        <v>0</v>
      </c>
      <c r="M48" s="89">
        <f t="shared" si="17"/>
        <v>17295445.389999986</v>
      </c>
      <c r="N48" s="89">
        <f t="shared" si="17"/>
        <v>-29328780.329999924</v>
      </c>
      <c r="O48" s="89">
        <f>O30-O47</f>
        <v>0</v>
      </c>
      <c r="P48" s="89">
        <f t="shared" si="17"/>
        <v>0</v>
      </c>
      <c r="Q48" s="89">
        <f t="shared" si="17"/>
        <v>0</v>
      </c>
      <c r="R48" s="31"/>
    </row>
    <row r="50" spans="1:8" x14ac:dyDescent="0.25">
      <c r="A50" s="66"/>
      <c r="G50" s="19"/>
      <c r="H50" s="92"/>
    </row>
    <row r="51" spans="1:8" x14ac:dyDescent="0.25">
      <c r="A51" s="66"/>
      <c r="E51" s="19"/>
      <c r="F51" s="19"/>
      <c r="G51" s="19"/>
    </row>
    <row r="52" spans="1:8" x14ac:dyDescent="0.25">
      <c r="A52" s="66"/>
      <c r="F52" s="19"/>
    </row>
    <row r="53" spans="1:8" x14ac:dyDescent="0.25">
      <c r="A53" s="66"/>
    </row>
    <row r="54" spans="1:8" x14ac:dyDescent="0.25">
      <c r="A54" s="66"/>
    </row>
    <row r="55" spans="1:8" x14ac:dyDescent="0.25">
      <c r="A55" s="66"/>
      <c r="B55" s="82"/>
    </row>
    <row r="56" spans="1:8" x14ac:dyDescent="0.25">
      <c r="A56" s="66"/>
    </row>
    <row r="57" spans="1:8" x14ac:dyDescent="0.25">
      <c r="A57" s="66"/>
      <c r="B57" s="82"/>
    </row>
    <row r="58" spans="1:8" x14ac:dyDescent="0.25">
      <c r="A58" s="66"/>
    </row>
    <row r="59" spans="1:8" x14ac:dyDescent="0.25">
      <c r="A59" s="66"/>
    </row>
    <row r="60" spans="1:8" x14ac:dyDescent="0.25">
      <c r="A60" s="66"/>
    </row>
    <row r="61" spans="1:8" x14ac:dyDescent="0.25">
      <c r="A61" s="66"/>
    </row>
    <row r="62" spans="1:8" x14ac:dyDescent="0.25">
      <c r="A62" s="66"/>
    </row>
    <row r="63" spans="1:8" x14ac:dyDescent="0.25">
      <c r="A63" s="66"/>
    </row>
    <row r="64" spans="1:8" x14ac:dyDescent="0.25">
      <c r="A64" s="66"/>
    </row>
    <row r="65" spans="1:1" x14ac:dyDescent="0.25">
      <c r="A65" s="66"/>
    </row>
    <row r="66" spans="1:1" x14ac:dyDescent="0.25">
      <c r="A66" s="66"/>
    </row>
  </sheetData>
  <mergeCells count="11">
    <mergeCell ref="H31:L31"/>
    <mergeCell ref="C1:L1"/>
    <mergeCell ref="A47:B47"/>
    <mergeCell ref="A48:B48"/>
    <mergeCell ref="A30:B30"/>
    <mergeCell ref="P2:Q2"/>
    <mergeCell ref="A3:A4"/>
    <mergeCell ref="B3:B4"/>
    <mergeCell ref="C3:G3"/>
    <mergeCell ref="H3:L3"/>
    <mergeCell ref="M3:Q3"/>
  </mergeCells>
  <pageMargins left="0.11811023622047245" right="0.11811023622047245" top="0.59055118110236227" bottom="0.35433070866141736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2"/>
  <sheetViews>
    <sheetView topLeftCell="A4" zoomScale="75" zoomScaleNormal="75" workbookViewId="0">
      <pane xSplit="2" ySplit="5" topLeftCell="F19" activePane="bottomRight" state="frozen"/>
      <selection activeCell="F51" sqref="F51"/>
      <selection pane="topRight" activeCell="F51" sqref="F51"/>
      <selection pane="bottomLeft" activeCell="F51" sqref="F51"/>
      <selection pane="bottomRight" activeCell="F51" sqref="F51"/>
    </sheetView>
  </sheetViews>
  <sheetFormatPr defaultRowHeight="15.75" x14ac:dyDescent="0.25"/>
  <cols>
    <col min="1" max="1" width="16.5703125" style="1" customWidth="1"/>
    <col min="2" max="2" width="36.7109375" style="1" customWidth="1"/>
    <col min="3" max="3" width="18.5703125" style="16" hidden="1" customWidth="1"/>
    <col min="4" max="4" width="16.7109375" style="16" hidden="1" customWidth="1"/>
    <col min="5" max="5" width="16.140625" style="16" hidden="1" customWidth="1"/>
    <col min="6" max="8" width="16.42578125" style="16" customWidth="1"/>
    <col min="9" max="14" width="16.7109375" style="16" customWidth="1"/>
    <col min="15" max="17" width="15.28515625" style="16" customWidth="1"/>
    <col min="18" max="29" width="16.7109375" style="16" customWidth="1"/>
    <col min="30" max="259" width="9.140625" style="1"/>
    <col min="260" max="260" width="25.7109375" style="1" customWidth="1"/>
    <col min="261" max="261" width="36.7109375" style="1" customWidth="1"/>
    <col min="262" max="262" width="20.140625" style="1" customWidth="1"/>
    <col min="263" max="263" width="20" style="1" customWidth="1"/>
    <col min="264" max="264" width="21.28515625" style="1" customWidth="1"/>
    <col min="265" max="267" width="19" style="1" bestFit="1" customWidth="1"/>
    <col min="268" max="270" width="20.7109375" style="1" bestFit="1" customWidth="1"/>
    <col min="271" max="272" width="14.42578125" style="1" customWidth="1"/>
    <col min="273" max="273" width="14" style="1" customWidth="1"/>
    <col min="274" max="515" width="9.140625" style="1"/>
    <col min="516" max="516" width="25.7109375" style="1" customWidth="1"/>
    <col min="517" max="517" width="36.7109375" style="1" customWidth="1"/>
    <col min="518" max="518" width="20.140625" style="1" customWidth="1"/>
    <col min="519" max="519" width="20" style="1" customWidth="1"/>
    <col min="520" max="520" width="21.28515625" style="1" customWidth="1"/>
    <col min="521" max="523" width="19" style="1" bestFit="1" customWidth="1"/>
    <col min="524" max="526" width="20.7109375" style="1" bestFit="1" customWidth="1"/>
    <col min="527" max="528" width="14.42578125" style="1" customWidth="1"/>
    <col min="529" max="529" width="14" style="1" customWidth="1"/>
    <col min="530" max="771" width="9.140625" style="1"/>
    <col min="772" max="772" width="25.7109375" style="1" customWidth="1"/>
    <col min="773" max="773" width="36.7109375" style="1" customWidth="1"/>
    <col min="774" max="774" width="20.140625" style="1" customWidth="1"/>
    <col min="775" max="775" width="20" style="1" customWidth="1"/>
    <col min="776" max="776" width="21.28515625" style="1" customWidth="1"/>
    <col min="777" max="779" width="19" style="1" bestFit="1" customWidth="1"/>
    <col min="780" max="782" width="20.7109375" style="1" bestFit="1" customWidth="1"/>
    <col min="783" max="784" width="14.42578125" style="1" customWidth="1"/>
    <col min="785" max="785" width="14" style="1" customWidth="1"/>
    <col min="786" max="1027" width="9.140625" style="1"/>
    <col min="1028" max="1028" width="25.7109375" style="1" customWidth="1"/>
    <col min="1029" max="1029" width="36.7109375" style="1" customWidth="1"/>
    <col min="1030" max="1030" width="20.140625" style="1" customWidth="1"/>
    <col min="1031" max="1031" width="20" style="1" customWidth="1"/>
    <col min="1032" max="1032" width="21.28515625" style="1" customWidth="1"/>
    <col min="1033" max="1035" width="19" style="1" bestFit="1" customWidth="1"/>
    <col min="1036" max="1038" width="20.7109375" style="1" bestFit="1" customWidth="1"/>
    <col min="1039" max="1040" width="14.42578125" style="1" customWidth="1"/>
    <col min="1041" max="1041" width="14" style="1" customWidth="1"/>
    <col min="1042" max="1283" width="9.140625" style="1"/>
    <col min="1284" max="1284" width="25.7109375" style="1" customWidth="1"/>
    <col min="1285" max="1285" width="36.7109375" style="1" customWidth="1"/>
    <col min="1286" max="1286" width="20.140625" style="1" customWidth="1"/>
    <col min="1287" max="1287" width="20" style="1" customWidth="1"/>
    <col min="1288" max="1288" width="21.28515625" style="1" customWidth="1"/>
    <col min="1289" max="1291" width="19" style="1" bestFit="1" customWidth="1"/>
    <col min="1292" max="1294" width="20.7109375" style="1" bestFit="1" customWidth="1"/>
    <col min="1295" max="1296" width="14.42578125" style="1" customWidth="1"/>
    <col min="1297" max="1297" width="14" style="1" customWidth="1"/>
    <col min="1298" max="1539" width="9.140625" style="1"/>
    <col min="1540" max="1540" width="25.7109375" style="1" customWidth="1"/>
    <col min="1541" max="1541" width="36.7109375" style="1" customWidth="1"/>
    <col min="1542" max="1542" width="20.140625" style="1" customWidth="1"/>
    <col min="1543" max="1543" width="20" style="1" customWidth="1"/>
    <col min="1544" max="1544" width="21.28515625" style="1" customWidth="1"/>
    <col min="1545" max="1547" width="19" style="1" bestFit="1" customWidth="1"/>
    <col min="1548" max="1550" width="20.7109375" style="1" bestFit="1" customWidth="1"/>
    <col min="1551" max="1552" width="14.42578125" style="1" customWidth="1"/>
    <col min="1553" max="1553" width="14" style="1" customWidth="1"/>
    <col min="1554" max="1795" width="9.140625" style="1"/>
    <col min="1796" max="1796" width="25.7109375" style="1" customWidth="1"/>
    <col min="1797" max="1797" width="36.7109375" style="1" customWidth="1"/>
    <col min="1798" max="1798" width="20.140625" style="1" customWidth="1"/>
    <col min="1799" max="1799" width="20" style="1" customWidth="1"/>
    <col min="1800" max="1800" width="21.28515625" style="1" customWidth="1"/>
    <col min="1801" max="1803" width="19" style="1" bestFit="1" customWidth="1"/>
    <col min="1804" max="1806" width="20.7109375" style="1" bestFit="1" customWidth="1"/>
    <col min="1807" max="1808" width="14.42578125" style="1" customWidth="1"/>
    <col min="1809" max="1809" width="14" style="1" customWidth="1"/>
    <col min="1810" max="2051" width="9.140625" style="1"/>
    <col min="2052" max="2052" width="25.7109375" style="1" customWidth="1"/>
    <col min="2053" max="2053" width="36.7109375" style="1" customWidth="1"/>
    <col min="2054" max="2054" width="20.140625" style="1" customWidth="1"/>
    <col min="2055" max="2055" width="20" style="1" customWidth="1"/>
    <col min="2056" max="2056" width="21.28515625" style="1" customWidth="1"/>
    <col min="2057" max="2059" width="19" style="1" bestFit="1" customWidth="1"/>
    <col min="2060" max="2062" width="20.7109375" style="1" bestFit="1" customWidth="1"/>
    <col min="2063" max="2064" width="14.42578125" style="1" customWidth="1"/>
    <col min="2065" max="2065" width="14" style="1" customWidth="1"/>
    <col min="2066" max="2307" width="9.140625" style="1"/>
    <col min="2308" max="2308" width="25.7109375" style="1" customWidth="1"/>
    <col min="2309" max="2309" width="36.7109375" style="1" customWidth="1"/>
    <col min="2310" max="2310" width="20.140625" style="1" customWidth="1"/>
    <col min="2311" max="2311" width="20" style="1" customWidth="1"/>
    <col min="2312" max="2312" width="21.28515625" style="1" customWidth="1"/>
    <col min="2313" max="2315" width="19" style="1" bestFit="1" customWidth="1"/>
    <col min="2316" max="2318" width="20.7109375" style="1" bestFit="1" customWidth="1"/>
    <col min="2319" max="2320" width="14.42578125" style="1" customWidth="1"/>
    <col min="2321" max="2321" width="14" style="1" customWidth="1"/>
    <col min="2322" max="2563" width="9.140625" style="1"/>
    <col min="2564" max="2564" width="25.7109375" style="1" customWidth="1"/>
    <col min="2565" max="2565" width="36.7109375" style="1" customWidth="1"/>
    <col min="2566" max="2566" width="20.140625" style="1" customWidth="1"/>
    <col min="2567" max="2567" width="20" style="1" customWidth="1"/>
    <col min="2568" max="2568" width="21.28515625" style="1" customWidth="1"/>
    <col min="2569" max="2571" width="19" style="1" bestFit="1" customWidth="1"/>
    <col min="2572" max="2574" width="20.7109375" style="1" bestFit="1" customWidth="1"/>
    <col min="2575" max="2576" width="14.42578125" style="1" customWidth="1"/>
    <col min="2577" max="2577" width="14" style="1" customWidth="1"/>
    <col min="2578" max="2819" width="9.140625" style="1"/>
    <col min="2820" max="2820" width="25.7109375" style="1" customWidth="1"/>
    <col min="2821" max="2821" width="36.7109375" style="1" customWidth="1"/>
    <col min="2822" max="2822" width="20.140625" style="1" customWidth="1"/>
    <col min="2823" max="2823" width="20" style="1" customWidth="1"/>
    <col min="2824" max="2824" width="21.28515625" style="1" customWidth="1"/>
    <col min="2825" max="2827" width="19" style="1" bestFit="1" customWidth="1"/>
    <col min="2828" max="2830" width="20.7109375" style="1" bestFit="1" customWidth="1"/>
    <col min="2831" max="2832" width="14.42578125" style="1" customWidth="1"/>
    <col min="2833" max="2833" width="14" style="1" customWidth="1"/>
    <col min="2834" max="3075" width="9.140625" style="1"/>
    <col min="3076" max="3076" width="25.7109375" style="1" customWidth="1"/>
    <col min="3077" max="3077" width="36.7109375" style="1" customWidth="1"/>
    <col min="3078" max="3078" width="20.140625" style="1" customWidth="1"/>
    <col min="3079" max="3079" width="20" style="1" customWidth="1"/>
    <col min="3080" max="3080" width="21.28515625" style="1" customWidth="1"/>
    <col min="3081" max="3083" width="19" style="1" bestFit="1" customWidth="1"/>
    <col min="3084" max="3086" width="20.7109375" style="1" bestFit="1" customWidth="1"/>
    <col min="3087" max="3088" width="14.42578125" style="1" customWidth="1"/>
    <col min="3089" max="3089" width="14" style="1" customWidth="1"/>
    <col min="3090" max="3331" width="9.140625" style="1"/>
    <col min="3332" max="3332" width="25.7109375" style="1" customWidth="1"/>
    <col min="3333" max="3333" width="36.7109375" style="1" customWidth="1"/>
    <col min="3334" max="3334" width="20.140625" style="1" customWidth="1"/>
    <col min="3335" max="3335" width="20" style="1" customWidth="1"/>
    <col min="3336" max="3336" width="21.28515625" style="1" customWidth="1"/>
    <col min="3337" max="3339" width="19" style="1" bestFit="1" customWidth="1"/>
    <col min="3340" max="3342" width="20.7109375" style="1" bestFit="1" customWidth="1"/>
    <col min="3343" max="3344" width="14.42578125" style="1" customWidth="1"/>
    <col min="3345" max="3345" width="14" style="1" customWidth="1"/>
    <col min="3346" max="3587" width="9.140625" style="1"/>
    <col min="3588" max="3588" width="25.7109375" style="1" customWidth="1"/>
    <col min="3589" max="3589" width="36.7109375" style="1" customWidth="1"/>
    <col min="3590" max="3590" width="20.140625" style="1" customWidth="1"/>
    <col min="3591" max="3591" width="20" style="1" customWidth="1"/>
    <col min="3592" max="3592" width="21.28515625" style="1" customWidth="1"/>
    <col min="3593" max="3595" width="19" style="1" bestFit="1" customWidth="1"/>
    <col min="3596" max="3598" width="20.7109375" style="1" bestFit="1" customWidth="1"/>
    <col min="3599" max="3600" width="14.42578125" style="1" customWidth="1"/>
    <col min="3601" max="3601" width="14" style="1" customWidth="1"/>
    <col min="3602" max="3843" width="9.140625" style="1"/>
    <col min="3844" max="3844" width="25.7109375" style="1" customWidth="1"/>
    <col min="3845" max="3845" width="36.7109375" style="1" customWidth="1"/>
    <col min="3846" max="3846" width="20.140625" style="1" customWidth="1"/>
    <col min="3847" max="3847" width="20" style="1" customWidth="1"/>
    <col min="3848" max="3848" width="21.28515625" style="1" customWidth="1"/>
    <col min="3849" max="3851" width="19" style="1" bestFit="1" customWidth="1"/>
    <col min="3852" max="3854" width="20.7109375" style="1" bestFit="1" customWidth="1"/>
    <col min="3855" max="3856" width="14.42578125" style="1" customWidth="1"/>
    <col min="3857" max="3857" width="14" style="1" customWidth="1"/>
    <col min="3858" max="4099" width="9.140625" style="1"/>
    <col min="4100" max="4100" width="25.7109375" style="1" customWidth="1"/>
    <col min="4101" max="4101" width="36.7109375" style="1" customWidth="1"/>
    <col min="4102" max="4102" width="20.140625" style="1" customWidth="1"/>
    <col min="4103" max="4103" width="20" style="1" customWidth="1"/>
    <col min="4104" max="4104" width="21.28515625" style="1" customWidth="1"/>
    <col min="4105" max="4107" width="19" style="1" bestFit="1" customWidth="1"/>
    <col min="4108" max="4110" width="20.7109375" style="1" bestFit="1" customWidth="1"/>
    <col min="4111" max="4112" width="14.42578125" style="1" customWidth="1"/>
    <col min="4113" max="4113" width="14" style="1" customWidth="1"/>
    <col min="4114" max="4355" width="9.140625" style="1"/>
    <col min="4356" max="4356" width="25.7109375" style="1" customWidth="1"/>
    <col min="4357" max="4357" width="36.7109375" style="1" customWidth="1"/>
    <col min="4358" max="4358" width="20.140625" style="1" customWidth="1"/>
    <col min="4359" max="4359" width="20" style="1" customWidth="1"/>
    <col min="4360" max="4360" width="21.28515625" style="1" customWidth="1"/>
    <col min="4361" max="4363" width="19" style="1" bestFit="1" customWidth="1"/>
    <col min="4364" max="4366" width="20.7109375" style="1" bestFit="1" customWidth="1"/>
    <col min="4367" max="4368" width="14.42578125" style="1" customWidth="1"/>
    <col min="4369" max="4369" width="14" style="1" customWidth="1"/>
    <col min="4370" max="4611" width="9.140625" style="1"/>
    <col min="4612" max="4612" width="25.7109375" style="1" customWidth="1"/>
    <col min="4613" max="4613" width="36.7109375" style="1" customWidth="1"/>
    <col min="4614" max="4614" width="20.140625" style="1" customWidth="1"/>
    <col min="4615" max="4615" width="20" style="1" customWidth="1"/>
    <col min="4616" max="4616" width="21.28515625" style="1" customWidth="1"/>
    <col min="4617" max="4619" width="19" style="1" bestFit="1" customWidth="1"/>
    <col min="4620" max="4622" width="20.7109375" style="1" bestFit="1" customWidth="1"/>
    <col min="4623" max="4624" width="14.42578125" style="1" customWidth="1"/>
    <col min="4625" max="4625" width="14" style="1" customWidth="1"/>
    <col min="4626" max="4867" width="9.140625" style="1"/>
    <col min="4868" max="4868" width="25.7109375" style="1" customWidth="1"/>
    <col min="4869" max="4869" width="36.7109375" style="1" customWidth="1"/>
    <col min="4870" max="4870" width="20.140625" style="1" customWidth="1"/>
    <col min="4871" max="4871" width="20" style="1" customWidth="1"/>
    <col min="4872" max="4872" width="21.28515625" style="1" customWidth="1"/>
    <col min="4873" max="4875" width="19" style="1" bestFit="1" customWidth="1"/>
    <col min="4876" max="4878" width="20.7109375" style="1" bestFit="1" customWidth="1"/>
    <col min="4879" max="4880" width="14.42578125" style="1" customWidth="1"/>
    <col min="4881" max="4881" width="14" style="1" customWidth="1"/>
    <col min="4882" max="5123" width="9.140625" style="1"/>
    <col min="5124" max="5124" width="25.7109375" style="1" customWidth="1"/>
    <col min="5125" max="5125" width="36.7109375" style="1" customWidth="1"/>
    <col min="5126" max="5126" width="20.140625" style="1" customWidth="1"/>
    <col min="5127" max="5127" width="20" style="1" customWidth="1"/>
    <col min="5128" max="5128" width="21.28515625" style="1" customWidth="1"/>
    <col min="5129" max="5131" width="19" style="1" bestFit="1" customWidth="1"/>
    <col min="5132" max="5134" width="20.7109375" style="1" bestFit="1" customWidth="1"/>
    <col min="5135" max="5136" width="14.42578125" style="1" customWidth="1"/>
    <col min="5137" max="5137" width="14" style="1" customWidth="1"/>
    <col min="5138" max="5379" width="9.140625" style="1"/>
    <col min="5380" max="5380" width="25.7109375" style="1" customWidth="1"/>
    <col min="5381" max="5381" width="36.7109375" style="1" customWidth="1"/>
    <col min="5382" max="5382" width="20.140625" style="1" customWidth="1"/>
    <col min="5383" max="5383" width="20" style="1" customWidth="1"/>
    <col min="5384" max="5384" width="21.28515625" style="1" customWidth="1"/>
    <col min="5385" max="5387" width="19" style="1" bestFit="1" customWidth="1"/>
    <col min="5388" max="5390" width="20.7109375" style="1" bestFit="1" customWidth="1"/>
    <col min="5391" max="5392" width="14.42578125" style="1" customWidth="1"/>
    <col min="5393" max="5393" width="14" style="1" customWidth="1"/>
    <col min="5394" max="5635" width="9.140625" style="1"/>
    <col min="5636" max="5636" width="25.7109375" style="1" customWidth="1"/>
    <col min="5637" max="5637" width="36.7109375" style="1" customWidth="1"/>
    <col min="5638" max="5638" width="20.140625" style="1" customWidth="1"/>
    <col min="5639" max="5639" width="20" style="1" customWidth="1"/>
    <col min="5640" max="5640" width="21.28515625" style="1" customWidth="1"/>
    <col min="5641" max="5643" width="19" style="1" bestFit="1" customWidth="1"/>
    <col min="5644" max="5646" width="20.7109375" style="1" bestFit="1" customWidth="1"/>
    <col min="5647" max="5648" width="14.42578125" style="1" customWidth="1"/>
    <col min="5649" max="5649" width="14" style="1" customWidth="1"/>
    <col min="5650" max="5891" width="9.140625" style="1"/>
    <col min="5892" max="5892" width="25.7109375" style="1" customWidth="1"/>
    <col min="5893" max="5893" width="36.7109375" style="1" customWidth="1"/>
    <col min="5894" max="5894" width="20.140625" style="1" customWidth="1"/>
    <col min="5895" max="5895" width="20" style="1" customWidth="1"/>
    <col min="5896" max="5896" width="21.28515625" style="1" customWidth="1"/>
    <col min="5897" max="5899" width="19" style="1" bestFit="1" customWidth="1"/>
    <col min="5900" max="5902" width="20.7109375" style="1" bestFit="1" customWidth="1"/>
    <col min="5903" max="5904" width="14.42578125" style="1" customWidth="1"/>
    <col min="5905" max="5905" width="14" style="1" customWidth="1"/>
    <col min="5906" max="6147" width="9.140625" style="1"/>
    <col min="6148" max="6148" width="25.7109375" style="1" customWidth="1"/>
    <col min="6149" max="6149" width="36.7109375" style="1" customWidth="1"/>
    <col min="6150" max="6150" width="20.140625" style="1" customWidth="1"/>
    <col min="6151" max="6151" width="20" style="1" customWidth="1"/>
    <col min="6152" max="6152" width="21.28515625" style="1" customWidth="1"/>
    <col min="6153" max="6155" width="19" style="1" bestFit="1" customWidth="1"/>
    <col min="6156" max="6158" width="20.7109375" style="1" bestFit="1" customWidth="1"/>
    <col min="6159" max="6160" width="14.42578125" style="1" customWidth="1"/>
    <col min="6161" max="6161" width="14" style="1" customWidth="1"/>
    <col min="6162" max="6403" width="9.140625" style="1"/>
    <col min="6404" max="6404" width="25.7109375" style="1" customWidth="1"/>
    <col min="6405" max="6405" width="36.7109375" style="1" customWidth="1"/>
    <col min="6406" max="6406" width="20.140625" style="1" customWidth="1"/>
    <col min="6407" max="6407" width="20" style="1" customWidth="1"/>
    <col min="6408" max="6408" width="21.28515625" style="1" customWidth="1"/>
    <col min="6409" max="6411" width="19" style="1" bestFit="1" customWidth="1"/>
    <col min="6412" max="6414" width="20.7109375" style="1" bestFit="1" customWidth="1"/>
    <col min="6415" max="6416" width="14.42578125" style="1" customWidth="1"/>
    <col min="6417" max="6417" width="14" style="1" customWidth="1"/>
    <col min="6418" max="6659" width="9.140625" style="1"/>
    <col min="6660" max="6660" width="25.7109375" style="1" customWidth="1"/>
    <col min="6661" max="6661" width="36.7109375" style="1" customWidth="1"/>
    <col min="6662" max="6662" width="20.140625" style="1" customWidth="1"/>
    <col min="6663" max="6663" width="20" style="1" customWidth="1"/>
    <col min="6664" max="6664" width="21.28515625" style="1" customWidth="1"/>
    <col min="6665" max="6667" width="19" style="1" bestFit="1" customWidth="1"/>
    <col min="6668" max="6670" width="20.7109375" style="1" bestFit="1" customWidth="1"/>
    <col min="6671" max="6672" width="14.42578125" style="1" customWidth="1"/>
    <col min="6673" max="6673" width="14" style="1" customWidth="1"/>
    <col min="6674" max="6915" width="9.140625" style="1"/>
    <col min="6916" max="6916" width="25.7109375" style="1" customWidth="1"/>
    <col min="6917" max="6917" width="36.7109375" style="1" customWidth="1"/>
    <col min="6918" max="6918" width="20.140625" style="1" customWidth="1"/>
    <col min="6919" max="6919" width="20" style="1" customWidth="1"/>
    <col min="6920" max="6920" width="21.28515625" style="1" customWidth="1"/>
    <col min="6921" max="6923" width="19" style="1" bestFit="1" customWidth="1"/>
    <col min="6924" max="6926" width="20.7109375" style="1" bestFit="1" customWidth="1"/>
    <col min="6927" max="6928" width="14.42578125" style="1" customWidth="1"/>
    <col min="6929" max="6929" width="14" style="1" customWidth="1"/>
    <col min="6930" max="7171" width="9.140625" style="1"/>
    <col min="7172" max="7172" width="25.7109375" style="1" customWidth="1"/>
    <col min="7173" max="7173" width="36.7109375" style="1" customWidth="1"/>
    <col min="7174" max="7174" width="20.140625" style="1" customWidth="1"/>
    <col min="7175" max="7175" width="20" style="1" customWidth="1"/>
    <col min="7176" max="7176" width="21.28515625" style="1" customWidth="1"/>
    <col min="7177" max="7179" width="19" style="1" bestFit="1" customWidth="1"/>
    <col min="7180" max="7182" width="20.7109375" style="1" bestFit="1" customWidth="1"/>
    <col min="7183" max="7184" width="14.42578125" style="1" customWidth="1"/>
    <col min="7185" max="7185" width="14" style="1" customWidth="1"/>
    <col min="7186" max="7427" width="9.140625" style="1"/>
    <col min="7428" max="7428" width="25.7109375" style="1" customWidth="1"/>
    <col min="7429" max="7429" width="36.7109375" style="1" customWidth="1"/>
    <col min="7430" max="7430" width="20.140625" style="1" customWidth="1"/>
    <col min="7431" max="7431" width="20" style="1" customWidth="1"/>
    <col min="7432" max="7432" width="21.28515625" style="1" customWidth="1"/>
    <col min="7433" max="7435" width="19" style="1" bestFit="1" customWidth="1"/>
    <col min="7436" max="7438" width="20.7109375" style="1" bestFit="1" customWidth="1"/>
    <col min="7439" max="7440" width="14.42578125" style="1" customWidth="1"/>
    <col min="7441" max="7441" width="14" style="1" customWidth="1"/>
    <col min="7442" max="7683" width="9.140625" style="1"/>
    <col min="7684" max="7684" width="25.7109375" style="1" customWidth="1"/>
    <col min="7685" max="7685" width="36.7109375" style="1" customWidth="1"/>
    <col min="7686" max="7686" width="20.140625" style="1" customWidth="1"/>
    <col min="7687" max="7687" width="20" style="1" customWidth="1"/>
    <col min="7688" max="7688" width="21.28515625" style="1" customWidth="1"/>
    <col min="7689" max="7691" width="19" style="1" bestFit="1" customWidth="1"/>
    <col min="7692" max="7694" width="20.7109375" style="1" bestFit="1" customWidth="1"/>
    <col min="7695" max="7696" width="14.42578125" style="1" customWidth="1"/>
    <col min="7697" max="7697" width="14" style="1" customWidth="1"/>
    <col min="7698" max="7939" width="9.140625" style="1"/>
    <col min="7940" max="7940" width="25.7109375" style="1" customWidth="1"/>
    <col min="7941" max="7941" width="36.7109375" style="1" customWidth="1"/>
    <col min="7942" max="7942" width="20.140625" style="1" customWidth="1"/>
    <col min="7943" max="7943" width="20" style="1" customWidth="1"/>
    <col min="7944" max="7944" width="21.28515625" style="1" customWidth="1"/>
    <col min="7945" max="7947" width="19" style="1" bestFit="1" customWidth="1"/>
    <col min="7948" max="7950" width="20.7109375" style="1" bestFit="1" customWidth="1"/>
    <col min="7951" max="7952" width="14.42578125" style="1" customWidth="1"/>
    <col min="7953" max="7953" width="14" style="1" customWidth="1"/>
    <col min="7954" max="8195" width="9.140625" style="1"/>
    <col min="8196" max="8196" width="25.7109375" style="1" customWidth="1"/>
    <col min="8197" max="8197" width="36.7109375" style="1" customWidth="1"/>
    <col min="8198" max="8198" width="20.140625" style="1" customWidth="1"/>
    <col min="8199" max="8199" width="20" style="1" customWidth="1"/>
    <col min="8200" max="8200" width="21.28515625" style="1" customWidth="1"/>
    <col min="8201" max="8203" width="19" style="1" bestFit="1" customWidth="1"/>
    <col min="8204" max="8206" width="20.7109375" style="1" bestFit="1" customWidth="1"/>
    <col min="8207" max="8208" width="14.42578125" style="1" customWidth="1"/>
    <col min="8209" max="8209" width="14" style="1" customWidth="1"/>
    <col min="8210" max="8451" width="9.140625" style="1"/>
    <col min="8452" max="8452" width="25.7109375" style="1" customWidth="1"/>
    <col min="8453" max="8453" width="36.7109375" style="1" customWidth="1"/>
    <col min="8454" max="8454" width="20.140625" style="1" customWidth="1"/>
    <col min="8455" max="8455" width="20" style="1" customWidth="1"/>
    <col min="8456" max="8456" width="21.28515625" style="1" customWidth="1"/>
    <col min="8457" max="8459" width="19" style="1" bestFit="1" customWidth="1"/>
    <col min="8460" max="8462" width="20.7109375" style="1" bestFit="1" customWidth="1"/>
    <col min="8463" max="8464" width="14.42578125" style="1" customWidth="1"/>
    <col min="8465" max="8465" width="14" style="1" customWidth="1"/>
    <col min="8466" max="8707" width="9.140625" style="1"/>
    <col min="8708" max="8708" width="25.7109375" style="1" customWidth="1"/>
    <col min="8709" max="8709" width="36.7109375" style="1" customWidth="1"/>
    <col min="8710" max="8710" width="20.140625" style="1" customWidth="1"/>
    <col min="8711" max="8711" width="20" style="1" customWidth="1"/>
    <col min="8712" max="8712" width="21.28515625" style="1" customWidth="1"/>
    <col min="8713" max="8715" width="19" style="1" bestFit="1" customWidth="1"/>
    <col min="8716" max="8718" width="20.7109375" style="1" bestFit="1" customWidth="1"/>
    <col min="8719" max="8720" width="14.42578125" style="1" customWidth="1"/>
    <col min="8721" max="8721" width="14" style="1" customWidth="1"/>
    <col min="8722" max="8963" width="9.140625" style="1"/>
    <col min="8964" max="8964" width="25.7109375" style="1" customWidth="1"/>
    <col min="8965" max="8965" width="36.7109375" style="1" customWidth="1"/>
    <col min="8966" max="8966" width="20.140625" style="1" customWidth="1"/>
    <col min="8967" max="8967" width="20" style="1" customWidth="1"/>
    <col min="8968" max="8968" width="21.28515625" style="1" customWidth="1"/>
    <col min="8969" max="8971" width="19" style="1" bestFit="1" customWidth="1"/>
    <col min="8972" max="8974" width="20.7109375" style="1" bestFit="1" customWidth="1"/>
    <col min="8975" max="8976" width="14.42578125" style="1" customWidth="1"/>
    <col min="8977" max="8977" width="14" style="1" customWidth="1"/>
    <col min="8978" max="9219" width="9.140625" style="1"/>
    <col min="9220" max="9220" width="25.7109375" style="1" customWidth="1"/>
    <col min="9221" max="9221" width="36.7109375" style="1" customWidth="1"/>
    <col min="9222" max="9222" width="20.140625" style="1" customWidth="1"/>
    <col min="9223" max="9223" width="20" style="1" customWidth="1"/>
    <col min="9224" max="9224" width="21.28515625" style="1" customWidth="1"/>
    <col min="9225" max="9227" width="19" style="1" bestFit="1" customWidth="1"/>
    <col min="9228" max="9230" width="20.7109375" style="1" bestFit="1" customWidth="1"/>
    <col min="9231" max="9232" width="14.42578125" style="1" customWidth="1"/>
    <col min="9233" max="9233" width="14" style="1" customWidth="1"/>
    <col min="9234" max="9475" width="9.140625" style="1"/>
    <col min="9476" max="9476" width="25.7109375" style="1" customWidth="1"/>
    <col min="9477" max="9477" width="36.7109375" style="1" customWidth="1"/>
    <col min="9478" max="9478" width="20.140625" style="1" customWidth="1"/>
    <col min="9479" max="9479" width="20" style="1" customWidth="1"/>
    <col min="9480" max="9480" width="21.28515625" style="1" customWidth="1"/>
    <col min="9481" max="9483" width="19" style="1" bestFit="1" customWidth="1"/>
    <col min="9484" max="9486" width="20.7109375" style="1" bestFit="1" customWidth="1"/>
    <col min="9487" max="9488" width="14.42578125" style="1" customWidth="1"/>
    <col min="9489" max="9489" width="14" style="1" customWidth="1"/>
    <col min="9490" max="9731" width="9.140625" style="1"/>
    <col min="9732" max="9732" width="25.7109375" style="1" customWidth="1"/>
    <col min="9733" max="9733" width="36.7109375" style="1" customWidth="1"/>
    <col min="9734" max="9734" width="20.140625" style="1" customWidth="1"/>
    <col min="9735" max="9735" width="20" style="1" customWidth="1"/>
    <col min="9736" max="9736" width="21.28515625" style="1" customWidth="1"/>
    <col min="9737" max="9739" width="19" style="1" bestFit="1" customWidth="1"/>
    <col min="9740" max="9742" width="20.7109375" style="1" bestFit="1" customWidth="1"/>
    <col min="9743" max="9744" width="14.42578125" style="1" customWidth="1"/>
    <col min="9745" max="9745" width="14" style="1" customWidth="1"/>
    <col min="9746" max="9987" width="9.140625" style="1"/>
    <col min="9988" max="9988" width="25.7109375" style="1" customWidth="1"/>
    <col min="9989" max="9989" width="36.7109375" style="1" customWidth="1"/>
    <col min="9990" max="9990" width="20.140625" style="1" customWidth="1"/>
    <col min="9991" max="9991" width="20" style="1" customWidth="1"/>
    <col min="9992" max="9992" width="21.28515625" style="1" customWidth="1"/>
    <col min="9993" max="9995" width="19" style="1" bestFit="1" customWidth="1"/>
    <col min="9996" max="9998" width="20.7109375" style="1" bestFit="1" customWidth="1"/>
    <col min="9999" max="10000" width="14.42578125" style="1" customWidth="1"/>
    <col min="10001" max="10001" width="14" style="1" customWidth="1"/>
    <col min="10002" max="10243" width="9.140625" style="1"/>
    <col min="10244" max="10244" width="25.7109375" style="1" customWidth="1"/>
    <col min="10245" max="10245" width="36.7109375" style="1" customWidth="1"/>
    <col min="10246" max="10246" width="20.140625" style="1" customWidth="1"/>
    <col min="10247" max="10247" width="20" style="1" customWidth="1"/>
    <col min="10248" max="10248" width="21.28515625" style="1" customWidth="1"/>
    <col min="10249" max="10251" width="19" style="1" bestFit="1" customWidth="1"/>
    <col min="10252" max="10254" width="20.7109375" style="1" bestFit="1" customWidth="1"/>
    <col min="10255" max="10256" width="14.42578125" style="1" customWidth="1"/>
    <col min="10257" max="10257" width="14" style="1" customWidth="1"/>
    <col min="10258" max="10499" width="9.140625" style="1"/>
    <col min="10500" max="10500" width="25.7109375" style="1" customWidth="1"/>
    <col min="10501" max="10501" width="36.7109375" style="1" customWidth="1"/>
    <col min="10502" max="10502" width="20.140625" style="1" customWidth="1"/>
    <col min="10503" max="10503" width="20" style="1" customWidth="1"/>
    <col min="10504" max="10504" width="21.28515625" style="1" customWidth="1"/>
    <col min="10505" max="10507" width="19" style="1" bestFit="1" customWidth="1"/>
    <col min="10508" max="10510" width="20.7109375" style="1" bestFit="1" customWidth="1"/>
    <col min="10511" max="10512" width="14.42578125" style="1" customWidth="1"/>
    <col min="10513" max="10513" width="14" style="1" customWidth="1"/>
    <col min="10514" max="10755" width="9.140625" style="1"/>
    <col min="10756" max="10756" width="25.7109375" style="1" customWidth="1"/>
    <col min="10757" max="10757" width="36.7109375" style="1" customWidth="1"/>
    <col min="10758" max="10758" width="20.140625" style="1" customWidth="1"/>
    <col min="10759" max="10759" width="20" style="1" customWidth="1"/>
    <col min="10760" max="10760" width="21.28515625" style="1" customWidth="1"/>
    <col min="10761" max="10763" width="19" style="1" bestFit="1" customWidth="1"/>
    <col min="10764" max="10766" width="20.7109375" style="1" bestFit="1" customWidth="1"/>
    <col min="10767" max="10768" width="14.42578125" style="1" customWidth="1"/>
    <col min="10769" max="10769" width="14" style="1" customWidth="1"/>
    <col min="10770" max="11011" width="9.140625" style="1"/>
    <col min="11012" max="11012" width="25.7109375" style="1" customWidth="1"/>
    <col min="11013" max="11013" width="36.7109375" style="1" customWidth="1"/>
    <col min="11014" max="11014" width="20.140625" style="1" customWidth="1"/>
    <col min="11015" max="11015" width="20" style="1" customWidth="1"/>
    <col min="11016" max="11016" width="21.28515625" style="1" customWidth="1"/>
    <col min="11017" max="11019" width="19" style="1" bestFit="1" customWidth="1"/>
    <col min="11020" max="11022" width="20.7109375" style="1" bestFit="1" customWidth="1"/>
    <col min="11023" max="11024" width="14.42578125" style="1" customWidth="1"/>
    <col min="11025" max="11025" width="14" style="1" customWidth="1"/>
    <col min="11026" max="11267" width="9.140625" style="1"/>
    <col min="11268" max="11268" width="25.7109375" style="1" customWidth="1"/>
    <col min="11269" max="11269" width="36.7109375" style="1" customWidth="1"/>
    <col min="11270" max="11270" width="20.140625" style="1" customWidth="1"/>
    <col min="11271" max="11271" width="20" style="1" customWidth="1"/>
    <col min="11272" max="11272" width="21.28515625" style="1" customWidth="1"/>
    <col min="11273" max="11275" width="19" style="1" bestFit="1" customWidth="1"/>
    <col min="11276" max="11278" width="20.7109375" style="1" bestFit="1" customWidth="1"/>
    <col min="11279" max="11280" width="14.42578125" style="1" customWidth="1"/>
    <col min="11281" max="11281" width="14" style="1" customWidth="1"/>
    <col min="11282" max="11523" width="9.140625" style="1"/>
    <col min="11524" max="11524" width="25.7109375" style="1" customWidth="1"/>
    <col min="11525" max="11525" width="36.7109375" style="1" customWidth="1"/>
    <col min="11526" max="11526" width="20.140625" style="1" customWidth="1"/>
    <col min="11527" max="11527" width="20" style="1" customWidth="1"/>
    <col min="11528" max="11528" width="21.28515625" style="1" customWidth="1"/>
    <col min="11529" max="11531" width="19" style="1" bestFit="1" customWidth="1"/>
    <col min="11532" max="11534" width="20.7109375" style="1" bestFit="1" customWidth="1"/>
    <col min="11535" max="11536" width="14.42578125" style="1" customWidth="1"/>
    <col min="11537" max="11537" width="14" style="1" customWidth="1"/>
    <col min="11538" max="11779" width="9.140625" style="1"/>
    <col min="11780" max="11780" width="25.7109375" style="1" customWidth="1"/>
    <col min="11781" max="11781" width="36.7109375" style="1" customWidth="1"/>
    <col min="11782" max="11782" width="20.140625" style="1" customWidth="1"/>
    <col min="11783" max="11783" width="20" style="1" customWidth="1"/>
    <col min="11784" max="11784" width="21.28515625" style="1" customWidth="1"/>
    <col min="11785" max="11787" width="19" style="1" bestFit="1" customWidth="1"/>
    <col min="11788" max="11790" width="20.7109375" style="1" bestFit="1" customWidth="1"/>
    <col min="11791" max="11792" width="14.42578125" style="1" customWidth="1"/>
    <col min="11793" max="11793" width="14" style="1" customWidth="1"/>
    <col min="11794" max="12035" width="9.140625" style="1"/>
    <col min="12036" max="12036" width="25.7109375" style="1" customWidth="1"/>
    <col min="12037" max="12037" width="36.7109375" style="1" customWidth="1"/>
    <col min="12038" max="12038" width="20.140625" style="1" customWidth="1"/>
    <col min="12039" max="12039" width="20" style="1" customWidth="1"/>
    <col min="12040" max="12040" width="21.28515625" style="1" customWidth="1"/>
    <col min="12041" max="12043" width="19" style="1" bestFit="1" customWidth="1"/>
    <col min="12044" max="12046" width="20.7109375" style="1" bestFit="1" customWidth="1"/>
    <col min="12047" max="12048" width="14.42578125" style="1" customWidth="1"/>
    <col min="12049" max="12049" width="14" style="1" customWidth="1"/>
    <col min="12050" max="12291" width="9.140625" style="1"/>
    <col min="12292" max="12292" width="25.7109375" style="1" customWidth="1"/>
    <col min="12293" max="12293" width="36.7109375" style="1" customWidth="1"/>
    <col min="12294" max="12294" width="20.140625" style="1" customWidth="1"/>
    <col min="12295" max="12295" width="20" style="1" customWidth="1"/>
    <col min="12296" max="12296" width="21.28515625" style="1" customWidth="1"/>
    <col min="12297" max="12299" width="19" style="1" bestFit="1" customWidth="1"/>
    <col min="12300" max="12302" width="20.7109375" style="1" bestFit="1" customWidth="1"/>
    <col min="12303" max="12304" width="14.42578125" style="1" customWidth="1"/>
    <col min="12305" max="12305" width="14" style="1" customWidth="1"/>
    <col min="12306" max="12547" width="9.140625" style="1"/>
    <col min="12548" max="12548" width="25.7109375" style="1" customWidth="1"/>
    <col min="12549" max="12549" width="36.7109375" style="1" customWidth="1"/>
    <col min="12550" max="12550" width="20.140625" style="1" customWidth="1"/>
    <col min="12551" max="12551" width="20" style="1" customWidth="1"/>
    <col min="12552" max="12552" width="21.28515625" style="1" customWidth="1"/>
    <col min="12553" max="12555" width="19" style="1" bestFit="1" customWidth="1"/>
    <col min="12556" max="12558" width="20.7109375" style="1" bestFit="1" customWidth="1"/>
    <col min="12559" max="12560" width="14.42578125" style="1" customWidth="1"/>
    <col min="12561" max="12561" width="14" style="1" customWidth="1"/>
    <col min="12562" max="12803" width="9.140625" style="1"/>
    <col min="12804" max="12804" width="25.7109375" style="1" customWidth="1"/>
    <col min="12805" max="12805" width="36.7109375" style="1" customWidth="1"/>
    <col min="12806" max="12806" width="20.140625" style="1" customWidth="1"/>
    <col min="12807" max="12807" width="20" style="1" customWidth="1"/>
    <col min="12808" max="12808" width="21.28515625" style="1" customWidth="1"/>
    <col min="12809" max="12811" width="19" style="1" bestFit="1" customWidth="1"/>
    <col min="12812" max="12814" width="20.7109375" style="1" bestFit="1" customWidth="1"/>
    <col min="12815" max="12816" width="14.42578125" style="1" customWidth="1"/>
    <col min="12817" max="12817" width="14" style="1" customWidth="1"/>
    <col min="12818" max="13059" width="9.140625" style="1"/>
    <col min="13060" max="13060" width="25.7109375" style="1" customWidth="1"/>
    <col min="13061" max="13061" width="36.7109375" style="1" customWidth="1"/>
    <col min="13062" max="13062" width="20.140625" style="1" customWidth="1"/>
    <col min="13063" max="13063" width="20" style="1" customWidth="1"/>
    <col min="13064" max="13064" width="21.28515625" style="1" customWidth="1"/>
    <col min="13065" max="13067" width="19" style="1" bestFit="1" customWidth="1"/>
    <col min="13068" max="13070" width="20.7109375" style="1" bestFit="1" customWidth="1"/>
    <col min="13071" max="13072" width="14.42578125" style="1" customWidth="1"/>
    <col min="13073" max="13073" width="14" style="1" customWidth="1"/>
    <col min="13074" max="13315" width="9.140625" style="1"/>
    <col min="13316" max="13316" width="25.7109375" style="1" customWidth="1"/>
    <col min="13317" max="13317" width="36.7109375" style="1" customWidth="1"/>
    <col min="13318" max="13318" width="20.140625" style="1" customWidth="1"/>
    <col min="13319" max="13319" width="20" style="1" customWidth="1"/>
    <col min="13320" max="13320" width="21.28515625" style="1" customWidth="1"/>
    <col min="13321" max="13323" width="19" style="1" bestFit="1" customWidth="1"/>
    <col min="13324" max="13326" width="20.7109375" style="1" bestFit="1" customWidth="1"/>
    <col min="13327" max="13328" width="14.42578125" style="1" customWidth="1"/>
    <col min="13329" max="13329" width="14" style="1" customWidth="1"/>
    <col min="13330" max="13571" width="9.140625" style="1"/>
    <col min="13572" max="13572" width="25.7109375" style="1" customWidth="1"/>
    <col min="13573" max="13573" width="36.7109375" style="1" customWidth="1"/>
    <col min="13574" max="13574" width="20.140625" style="1" customWidth="1"/>
    <col min="13575" max="13575" width="20" style="1" customWidth="1"/>
    <col min="13576" max="13576" width="21.28515625" style="1" customWidth="1"/>
    <col min="13577" max="13579" width="19" style="1" bestFit="1" customWidth="1"/>
    <col min="13580" max="13582" width="20.7109375" style="1" bestFit="1" customWidth="1"/>
    <col min="13583" max="13584" width="14.42578125" style="1" customWidth="1"/>
    <col min="13585" max="13585" width="14" style="1" customWidth="1"/>
    <col min="13586" max="13827" width="9.140625" style="1"/>
    <col min="13828" max="13828" width="25.7109375" style="1" customWidth="1"/>
    <col min="13829" max="13829" width="36.7109375" style="1" customWidth="1"/>
    <col min="13830" max="13830" width="20.140625" style="1" customWidth="1"/>
    <col min="13831" max="13831" width="20" style="1" customWidth="1"/>
    <col min="13832" max="13832" width="21.28515625" style="1" customWidth="1"/>
    <col min="13833" max="13835" width="19" style="1" bestFit="1" customWidth="1"/>
    <col min="13836" max="13838" width="20.7109375" style="1" bestFit="1" customWidth="1"/>
    <col min="13839" max="13840" width="14.42578125" style="1" customWidth="1"/>
    <col min="13841" max="13841" width="14" style="1" customWidth="1"/>
    <col min="13842" max="14083" width="9.140625" style="1"/>
    <col min="14084" max="14084" width="25.7109375" style="1" customWidth="1"/>
    <col min="14085" max="14085" width="36.7109375" style="1" customWidth="1"/>
    <col min="14086" max="14086" width="20.140625" style="1" customWidth="1"/>
    <col min="14087" max="14087" width="20" style="1" customWidth="1"/>
    <col min="14088" max="14088" width="21.28515625" style="1" customWidth="1"/>
    <col min="14089" max="14091" width="19" style="1" bestFit="1" customWidth="1"/>
    <col min="14092" max="14094" width="20.7109375" style="1" bestFit="1" customWidth="1"/>
    <col min="14095" max="14096" width="14.42578125" style="1" customWidth="1"/>
    <col min="14097" max="14097" width="14" style="1" customWidth="1"/>
    <col min="14098" max="14339" width="9.140625" style="1"/>
    <col min="14340" max="14340" width="25.7109375" style="1" customWidth="1"/>
    <col min="14341" max="14341" width="36.7109375" style="1" customWidth="1"/>
    <col min="14342" max="14342" width="20.140625" style="1" customWidth="1"/>
    <col min="14343" max="14343" width="20" style="1" customWidth="1"/>
    <col min="14344" max="14344" width="21.28515625" style="1" customWidth="1"/>
    <col min="14345" max="14347" width="19" style="1" bestFit="1" customWidth="1"/>
    <col min="14348" max="14350" width="20.7109375" style="1" bestFit="1" customWidth="1"/>
    <col min="14351" max="14352" width="14.42578125" style="1" customWidth="1"/>
    <col min="14353" max="14353" width="14" style="1" customWidth="1"/>
    <col min="14354" max="14595" width="9.140625" style="1"/>
    <col min="14596" max="14596" width="25.7109375" style="1" customWidth="1"/>
    <col min="14597" max="14597" width="36.7109375" style="1" customWidth="1"/>
    <col min="14598" max="14598" width="20.140625" style="1" customWidth="1"/>
    <col min="14599" max="14599" width="20" style="1" customWidth="1"/>
    <col min="14600" max="14600" width="21.28515625" style="1" customWidth="1"/>
    <col min="14601" max="14603" width="19" style="1" bestFit="1" customWidth="1"/>
    <col min="14604" max="14606" width="20.7109375" style="1" bestFit="1" customWidth="1"/>
    <col min="14607" max="14608" width="14.42578125" style="1" customWidth="1"/>
    <col min="14609" max="14609" width="14" style="1" customWidth="1"/>
    <col min="14610" max="14851" width="9.140625" style="1"/>
    <col min="14852" max="14852" width="25.7109375" style="1" customWidth="1"/>
    <col min="14853" max="14853" width="36.7109375" style="1" customWidth="1"/>
    <col min="14854" max="14854" width="20.140625" style="1" customWidth="1"/>
    <col min="14855" max="14855" width="20" style="1" customWidth="1"/>
    <col min="14856" max="14856" width="21.28515625" style="1" customWidth="1"/>
    <col min="14857" max="14859" width="19" style="1" bestFit="1" customWidth="1"/>
    <col min="14860" max="14862" width="20.7109375" style="1" bestFit="1" customWidth="1"/>
    <col min="14863" max="14864" width="14.42578125" style="1" customWidth="1"/>
    <col min="14865" max="14865" width="14" style="1" customWidth="1"/>
    <col min="14866" max="15107" width="9.140625" style="1"/>
    <col min="15108" max="15108" width="25.7109375" style="1" customWidth="1"/>
    <col min="15109" max="15109" width="36.7109375" style="1" customWidth="1"/>
    <col min="15110" max="15110" width="20.140625" style="1" customWidth="1"/>
    <col min="15111" max="15111" width="20" style="1" customWidth="1"/>
    <col min="15112" max="15112" width="21.28515625" style="1" customWidth="1"/>
    <col min="15113" max="15115" width="19" style="1" bestFit="1" customWidth="1"/>
    <col min="15116" max="15118" width="20.7109375" style="1" bestFit="1" customWidth="1"/>
    <col min="15119" max="15120" width="14.42578125" style="1" customWidth="1"/>
    <col min="15121" max="15121" width="14" style="1" customWidth="1"/>
    <col min="15122" max="15363" width="9.140625" style="1"/>
    <col min="15364" max="15364" width="25.7109375" style="1" customWidth="1"/>
    <col min="15365" max="15365" width="36.7109375" style="1" customWidth="1"/>
    <col min="15366" max="15366" width="20.140625" style="1" customWidth="1"/>
    <col min="15367" max="15367" width="20" style="1" customWidth="1"/>
    <col min="15368" max="15368" width="21.28515625" style="1" customWidth="1"/>
    <col min="15369" max="15371" width="19" style="1" bestFit="1" customWidth="1"/>
    <col min="15372" max="15374" width="20.7109375" style="1" bestFit="1" customWidth="1"/>
    <col min="15375" max="15376" width="14.42578125" style="1" customWidth="1"/>
    <col min="15377" max="15377" width="14" style="1" customWidth="1"/>
    <col min="15378" max="15619" width="9.140625" style="1"/>
    <col min="15620" max="15620" width="25.7109375" style="1" customWidth="1"/>
    <col min="15621" max="15621" width="36.7109375" style="1" customWidth="1"/>
    <col min="15622" max="15622" width="20.140625" style="1" customWidth="1"/>
    <col min="15623" max="15623" width="20" style="1" customWidth="1"/>
    <col min="15624" max="15624" width="21.28515625" style="1" customWidth="1"/>
    <col min="15625" max="15627" width="19" style="1" bestFit="1" customWidth="1"/>
    <col min="15628" max="15630" width="20.7109375" style="1" bestFit="1" customWidth="1"/>
    <col min="15631" max="15632" width="14.42578125" style="1" customWidth="1"/>
    <col min="15633" max="15633" width="14" style="1" customWidth="1"/>
    <col min="15634" max="15875" width="9.140625" style="1"/>
    <col min="15876" max="15876" width="25.7109375" style="1" customWidth="1"/>
    <col min="15877" max="15877" width="36.7109375" style="1" customWidth="1"/>
    <col min="15878" max="15878" width="20.140625" style="1" customWidth="1"/>
    <col min="15879" max="15879" width="20" style="1" customWidth="1"/>
    <col min="15880" max="15880" width="21.28515625" style="1" customWidth="1"/>
    <col min="15881" max="15883" width="19" style="1" bestFit="1" customWidth="1"/>
    <col min="15884" max="15886" width="20.7109375" style="1" bestFit="1" customWidth="1"/>
    <col min="15887" max="15888" width="14.42578125" style="1" customWidth="1"/>
    <col min="15889" max="15889" width="14" style="1" customWidth="1"/>
    <col min="15890" max="16131" width="9.140625" style="1"/>
    <col min="16132" max="16132" width="25.7109375" style="1" customWidth="1"/>
    <col min="16133" max="16133" width="36.7109375" style="1" customWidth="1"/>
    <col min="16134" max="16134" width="20.140625" style="1" customWidth="1"/>
    <col min="16135" max="16135" width="20" style="1" customWidth="1"/>
    <col min="16136" max="16136" width="21.28515625" style="1" customWidth="1"/>
    <col min="16137" max="16139" width="19" style="1" bestFit="1" customWidth="1"/>
    <col min="16140" max="16142" width="20.7109375" style="1" bestFit="1" customWidth="1"/>
    <col min="16143" max="16144" width="14.42578125" style="1" customWidth="1"/>
    <col min="16145" max="16145" width="14" style="1" customWidth="1"/>
    <col min="16146" max="16384" width="9.140625" style="1"/>
  </cols>
  <sheetData>
    <row r="1" spans="1:29" x14ac:dyDescent="0.25">
      <c r="A1" s="113" t="s">
        <v>70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.25" customHeight="1" x14ac:dyDescent="0.25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9.75" customHeight="1" x14ac:dyDescent="0.2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6.5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33" customHeight="1" x14ac:dyDescent="0.25">
      <c r="A5" s="101" t="s">
        <v>0</v>
      </c>
      <c r="B5" s="101" t="s">
        <v>1</v>
      </c>
      <c r="C5" s="101" t="s">
        <v>75</v>
      </c>
      <c r="D5" s="101"/>
      <c r="E5" s="101"/>
      <c r="F5" s="45"/>
      <c r="G5" s="45"/>
      <c r="H5" s="45"/>
      <c r="I5" s="101" t="s">
        <v>76</v>
      </c>
      <c r="J5" s="101"/>
      <c r="K5" s="101"/>
      <c r="L5" s="32"/>
      <c r="M5" s="32"/>
      <c r="N5" s="32"/>
      <c r="O5" s="101" t="s">
        <v>72</v>
      </c>
      <c r="P5" s="101"/>
      <c r="Q5" s="101"/>
      <c r="R5" s="101" t="s">
        <v>77</v>
      </c>
      <c r="S5" s="101"/>
      <c r="T5" s="101"/>
      <c r="U5" s="101" t="s">
        <v>78</v>
      </c>
      <c r="V5" s="101"/>
      <c r="W5" s="101"/>
      <c r="X5" s="101" t="s">
        <v>79</v>
      </c>
      <c r="Y5" s="101"/>
      <c r="Z5" s="101"/>
      <c r="AA5" s="101" t="s">
        <v>80</v>
      </c>
      <c r="AB5" s="101"/>
      <c r="AC5" s="101"/>
    </row>
    <row r="6" spans="1:29" ht="16.5" customHeight="1" x14ac:dyDescent="0.25">
      <c r="A6" s="101"/>
      <c r="B6" s="101"/>
      <c r="C6" s="5" t="s">
        <v>65</v>
      </c>
      <c r="D6" s="5" t="s">
        <v>69</v>
      </c>
      <c r="E6" s="5" t="s">
        <v>71</v>
      </c>
      <c r="F6" s="5" t="s">
        <v>86</v>
      </c>
      <c r="G6" s="5" t="s">
        <v>96</v>
      </c>
      <c r="H6" s="5" t="s">
        <v>115</v>
      </c>
      <c r="I6" s="5" t="s">
        <v>86</v>
      </c>
      <c r="J6" s="5" t="s">
        <v>96</v>
      </c>
      <c r="K6" s="5" t="s">
        <v>115</v>
      </c>
      <c r="L6" s="5" t="s">
        <v>86</v>
      </c>
      <c r="M6" s="5" t="s">
        <v>96</v>
      </c>
      <c r="N6" s="5" t="s">
        <v>115</v>
      </c>
      <c r="O6" s="5" t="s">
        <v>86</v>
      </c>
      <c r="P6" s="5" t="s">
        <v>96</v>
      </c>
      <c r="Q6" s="5" t="s">
        <v>115</v>
      </c>
      <c r="R6" s="5" t="s">
        <v>86</v>
      </c>
      <c r="S6" s="5" t="s">
        <v>96</v>
      </c>
      <c r="T6" s="5" t="s">
        <v>115</v>
      </c>
      <c r="U6" s="5" t="s">
        <v>86</v>
      </c>
      <c r="V6" s="5" t="s">
        <v>96</v>
      </c>
      <c r="W6" s="5" t="s">
        <v>115</v>
      </c>
      <c r="X6" s="5" t="s">
        <v>86</v>
      </c>
      <c r="Y6" s="5" t="s">
        <v>96</v>
      </c>
      <c r="Z6" s="5" t="s">
        <v>115</v>
      </c>
      <c r="AA6" s="5" t="s">
        <v>86</v>
      </c>
      <c r="AB6" s="5" t="s">
        <v>96</v>
      </c>
      <c r="AC6" s="5" t="s">
        <v>115</v>
      </c>
    </row>
    <row r="7" spans="1:29" ht="15.75" customHeight="1" x14ac:dyDescent="0.25">
      <c r="A7" s="6">
        <v>1</v>
      </c>
      <c r="B7" s="6">
        <v>2</v>
      </c>
      <c r="C7" s="7">
        <v>3</v>
      </c>
      <c r="D7" s="6">
        <v>4</v>
      </c>
      <c r="E7" s="7">
        <v>5</v>
      </c>
      <c r="F7" s="7"/>
      <c r="G7" s="7"/>
      <c r="H7" s="7"/>
      <c r="I7" s="7"/>
      <c r="J7" s="7"/>
      <c r="K7" s="7"/>
      <c r="L7" s="7"/>
      <c r="M7" s="7"/>
      <c r="N7" s="7"/>
      <c r="O7" s="7">
        <v>3</v>
      </c>
      <c r="P7" s="6">
        <v>4</v>
      </c>
      <c r="Q7" s="7">
        <v>5</v>
      </c>
      <c r="R7" s="7">
        <v>3</v>
      </c>
      <c r="S7" s="6">
        <v>4</v>
      </c>
      <c r="T7" s="7">
        <v>5</v>
      </c>
      <c r="U7" s="7">
        <v>3</v>
      </c>
      <c r="V7" s="6">
        <v>4</v>
      </c>
      <c r="W7" s="7">
        <v>5</v>
      </c>
      <c r="X7" s="7">
        <v>3</v>
      </c>
      <c r="Y7" s="6">
        <v>4</v>
      </c>
      <c r="Z7" s="7">
        <v>5</v>
      </c>
      <c r="AA7" s="7">
        <v>3</v>
      </c>
      <c r="AB7" s="6">
        <v>4</v>
      </c>
      <c r="AC7" s="7">
        <v>5</v>
      </c>
    </row>
    <row r="8" spans="1:29" s="2" customFormat="1" ht="33" customHeight="1" x14ac:dyDescent="0.25">
      <c r="A8" s="28" t="s">
        <v>2</v>
      </c>
      <c r="B8" s="8" t="s">
        <v>3</v>
      </c>
      <c r="C8" s="23">
        <f>SUM(C9:C20)</f>
        <v>39221900</v>
      </c>
      <c r="D8" s="23">
        <f t="shared" ref="D8:E8" si="0">SUM(D9:D20)</f>
        <v>38484800</v>
      </c>
      <c r="E8" s="23">
        <f t="shared" si="0"/>
        <v>41548600</v>
      </c>
      <c r="F8" s="23">
        <f t="shared" ref="F8:N8" si="1">SUM(F9:F20)</f>
        <v>39221900</v>
      </c>
      <c r="G8" s="23">
        <f t="shared" si="1"/>
        <v>38484800</v>
      </c>
      <c r="H8" s="23">
        <f t="shared" si="1"/>
        <v>41548600</v>
      </c>
      <c r="I8" s="23">
        <f t="shared" si="1"/>
        <v>32577900</v>
      </c>
      <c r="J8" s="23">
        <f t="shared" si="1"/>
        <v>34085800</v>
      </c>
      <c r="K8" s="23">
        <f t="shared" si="1"/>
        <v>37085600</v>
      </c>
      <c r="L8" s="23">
        <f t="shared" si="1"/>
        <v>6644000</v>
      </c>
      <c r="M8" s="23">
        <f t="shared" si="1"/>
        <v>4399000</v>
      </c>
      <c r="N8" s="23">
        <f t="shared" si="1"/>
        <v>4463000</v>
      </c>
      <c r="O8" s="23">
        <f>SUM(O9:O20)</f>
        <v>886500</v>
      </c>
      <c r="P8" s="23">
        <f t="shared" ref="P8:Q8" si="2">SUM(P9:P20)</f>
        <v>916500</v>
      </c>
      <c r="Q8" s="23">
        <f t="shared" si="2"/>
        <v>930500</v>
      </c>
      <c r="R8" s="23">
        <f>SUM(R9:R20)</f>
        <v>2547000</v>
      </c>
      <c r="S8" s="23">
        <f t="shared" ref="S8:T8" si="3">SUM(S9:S20)</f>
        <v>689000</v>
      </c>
      <c r="T8" s="23">
        <f t="shared" si="3"/>
        <v>699000</v>
      </c>
      <c r="U8" s="23">
        <f>SUM(U9:U20)</f>
        <v>1137000</v>
      </c>
      <c r="V8" s="23">
        <f t="shared" ref="V8:W8" si="4">SUM(V9:V20)</f>
        <v>1175000</v>
      </c>
      <c r="W8" s="23">
        <f t="shared" si="4"/>
        <v>1190000</v>
      </c>
      <c r="X8" s="23">
        <f>SUM(X9:X20)</f>
        <v>1329000</v>
      </c>
      <c r="Y8" s="23">
        <f t="shared" ref="Y8:Z8" si="5">SUM(Y9:Y20)</f>
        <v>856000</v>
      </c>
      <c r="Z8" s="23">
        <f t="shared" si="5"/>
        <v>867000</v>
      </c>
      <c r="AA8" s="23">
        <f>SUM(AA9:AA20)</f>
        <v>744500</v>
      </c>
      <c r="AB8" s="23">
        <f t="shared" ref="AB8:AC8" si="6">SUM(AB9:AB20)</f>
        <v>762500</v>
      </c>
      <c r="AC8" s="23">
        <f t="shared" si="6"/>
        <v>776500</v>
      </c>
    </row>
    <row r="9" spans="1:29" ht="45.75" customHeight="1" x14ac:dyDescent="0.25">
      <c r="A9" s="21" t="s">
        <v>4</v>
      </c>
      <c r="B9" s="9" t="s">
        <v>5</v>
      </c>
      <c r="C9" s="24">
        <f>I9+O9+R9+U9+X9+AA9</f>
        <v>39221900</v>
      </c>
      <c r="D9" s="24">
        <f>J9+P9+S9+V9+Y9+AB9</f>
        <v>38484800</v>
      </c>
      <c r="E9" s="24">
        <f>K9+Q9+T9+W9+Z9+AC9</f>
        <v>41548600</v>
      </c>
      <c r="F9" s="24">
        <f>I9+L9</f>
        <v>39221900</v>
      </c>
      <c r="G9" s="24">
        <f t="shared" ref="G9:H9" si="7">J9+M9</f>
        <v>38484800</v>
      </c>
      <c r="H9" s="24">
        <f t="shared" si="7"/>
        <v>41548600</v>
      </c>
      <c r="I9" s="24">
        <v>32577900</v>
      </c>
      <c r="J9" s="24">
        <v>34085800</v>
      </c>
      <c r="K9" s="24">
        <v>37085600</v>
      </c>
      <c r="L9" s="24">
        <f t="shared" ref="L9" si="8">O9+R9+U9+X9+AA9</f>
        <v>6644000</v>
      </c>
      <c r="M9" s="24">
        <f t="shared" ref="M9" si="9">P9+S9+V9+Y9+AB9</f>
        <v>4399000</v>
      </c>
      <c r="N9" s="24">
        <f t="shared" ref="N9" si="10">Q9+T9+W9+Z9+AC9</f>
        <v>4463000</v>
      </c>
      <c r="O9" s="24">
        <v>886500</v>
      </c>
      <c r="P9" s="24">
        <v>916500</v>
      </c>
      <c r="Q9" s="24">
        <v>930500</v>
      </c>
      <c r="R9" s="24">
        <v>2547000</v>
      </c>
      <c r="S9" s="24">
        <v>689000</v>
      </c>
      <c r="T9" s="24">
        <v>699000</v>
      </c>
      <c r="U9" s="24">
        <v>1137000</v>
      </c>
      <c r="V9" s="24">
        <v>1175000</v>
      </c>
      <c r="W9" s="24">
        <v>1190000</v>
      </c>
      <c r="X9" s="24">
        <v>1329000</v>
      </c>
      <c r="Y9" s="24">
        <v>856000</v>
      </c>
      <c r="Z9" s="24">
        <v>867000</v>
      </c>
      <c r="AA9" s="24">
        <v>744500</v>
      </c>
      <c r="AB9" s="24">
        <v>762500</v>
      </c>
      <c r="AC9" s="24">
        <v>776500</v>
      </c>
    </row>
    <row r="10" spans="1:29" ht="64.5" customHeight="1" x14ac:dyDescent="0.25">
      <c r="A10" s="21" t="s">
        <v>6</v>
      </c>
      <c r="B10" s="9" t="s">
        <v>7</v>
      </c>
      <c r="C10" s="24">
        <f t="shared" ref="C10:C21" si="11">I10+O10+R10+U10+X10+AA10</f>
        <v>0</v>
      </c>
      <c r="D10" s="24">
        <f t="shared" ref="D10:D21" si="12">J10+P10+S10+V10+Y10+AB10</f>
        <v>0</v>
      </c>
      <c r="E10" s="24">
        <f t="shared" ref="E10:E21" si="13">K10+Q10+T10+W10+Z10+AC10</f>
        <v>0</v>
      </c>
      <c r="F10" s="24">
        <f t="shared" ref="F10:F20" si="14">I10+L10</f>
        <v>0</v>
      </c>
      <c r="G10" s="24">
        <f t="shared" ref="G10:G22" si="15">J10+M10</f>
        <v>0</v>
      </c>
      <c r="H10" s="24">
        <f t="shared" ref="H10:H22" si="16">K10+N10</f>
        <v>0</v>
      </c>
      <c r="I10" s="24"/>
      <c r="J10" s="24"/>
      <c r="K10" s="24"/>
      <c r="L10" s="24">
        <f t="shared" ref="L10:L20" si="17">O10+R10+U10+X10+AA10</f>
        <v>0</v>
      </c>
      <c r="M10" s="24">
        <f t="shared" ref="M10:M20" si="18">P10+S10+V10+Y10+AB10</f>
        <v>0</v>
      </c>
      <c r="N10" s="24">
        <f t="shared" ref="N10:N20" si="19">Q10+T10+W10+Z10+AC10</f>
        <v>0</v>
      </c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29" s="11" customFormat="1" ht="39" customHeight="1" x14ac:dyDescent="0.25">
      <c r="A11" s="21" t="s">
        <v>8</v>
      </c>
      <c r="B11" s="9" t="s">
        <v>9</v>
      </c>
      <c r="C11" s="24">
        <f t="shared" si="11"/>
        <v>0</v>
      </c>
      <c r="D11" s="24">
        <f t="shared" si="12"/>
        <v>0</v>
      </c>
      <c r="E11" s="24">
        <f t="shared" si="13"/>
        <v>0</v>
      </c>
      <c r="F11" s="24">
        <f t="shared" si="14"/>
        <v>0</v>
      </c>
      <c r="G11" s="24">
        <f t="shared" si="15"/>
        <v>0</v>
      </c>
      <c r="H11" s="24">
        <f t="shared" si="16"/>
        <v>0</v>
      </c>
      <c r="I11" s="24"/>
      <c r="J11" s="24"/>
      <c r="K11" s="24"/>
      <c r="L11" s="24">
        <f t="shared" si="17"/>
        <v>0</v>
      </c>
      <c r="M11" s="24">
        <f t="shared" si="18"/>
        <v>0</v>
      </c>
      <c r="N11" s="24">
        <f t="shared" si="19"/>
        <v>0</v>
      </c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29" ht="27" customHeight="1" x14ac:dyDescent="0.25">
      <c r="A12" s="21" t="s">
        <v>10</v>
      </c>
      <c r="B12" s="9" t="s">
        <v>11</v>
      </c>
      <c r="C12" s="24">
        <f t="shared" si="11"/>
        <v>0</v>
      </c>
      <c r="D12" s="24">
        <f t="shared" si="12"/>
        <v>0</v>
      </c>
      <c r="E12" s="24">
        <f t="shared" si="13"/>
        <v>0</v>
      </c>
      <c r="F12" s="24">
        <f t="shared" si="14"/>
        <v>0</v>
      </c>
      <c r="G12" s="24">
        <f t="shared" si="15"/>
        <v>0</v>
      </c>
      <c r="H12" s="24">
        <f t="shared" si="16"/>
        <v>0</v>
      </c>
      <c r="I12" s="24"/>
      <c r="J12" s="24"/>
      <c r="K12" s="24"/>
      <c r="L12" s="24">
        <f t="shared" si="17"/>
        <v>0</v>
      </c>
      <c r="M12" s="24">
        <f t="shared" si="18"/>
        <v>0</v>
      </c>
      <c r="N12" s="24">
        <f t="shared" si="19"/>
        <v>0</v>
      </c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29" ht="52.5" customHeight="1" x14ac:dyDescent="0.25">
      <c r="A13" s="21" t="s">
        <v>12</v>
      </c>
      <c r="B13" s="9" t="s">
        <v>13</v>
      </c>
      <c r="C13" s="24">
        <f t="shared" si="11"/>
        <v>0</v>
      </c>
      <c r="D13" s="24">
        <f t="shared" si="12"/>
        <v>0</v>
      </c>
      <c r="E13" s="24"/>
      <c r="F13" s="24">
        <f t="shared" si="14"/>
        <v>0</v>
      </c>
      <c r="G13" s="24">
        <f t="shared" si="15"/>
        <v>0</v>
      </c>
      <c r="H13" s="24">
        <f t="shared" si="16"/>
        <v>0</v>
      </c>
      <c r="I13" s="24"/>
      <c r="J13" s="24"/>
      <c r="K13" s="24"/>
      <c r="L13" s="24">
        <f t="shared" si="17"/>
        <v>0</v>
      </c>
      <c r="M13" s="24">
        <f t="shared" si="18"/>
        <v>0</v>
      </c>
      <c r="N13" s="24">
        <f t="shared" si="19"/>
        <v>0</v>
      </c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spans="1:29" ht="22.5" customHeight="1" x14ac:dyDescent="0.25">
      <c r="A14" s="21" t="s">
        <v>14</v>
      </c>
      <c r="B14" s="9" t="s">
        <v>15</v>
      </c>
      <c r="C14" s="24">
        <f t="shared" si="11"/>
        <v>0</v>
      </c>
      <c r="D14" s="24">
        <f t="shared" si="12"/>
        <v>0</v>
      </c>
      <c r="E14" s="24">
        <f t="shared" si="13"/>
        <v>0</v>
      </c>
      <c r="F14" s="24">
        <f t="shared" si="14"/>
        <v>0</v>
      </c>
      <c r="G14" s="24">
        <f t="shared" si="15"/>
        <v>0</v>
      </c>
      <c r="H14" s="24">
        <f t="shared" si="16"/>
        <v>0</v>
      </c>
      <c r="I14" s="24"/>
      <c r="J14" s="24"/>
      <c r="K14" s="24"/>
      <c r="L14" s="24">
        <f t="shared" si="17"/>
        <v>0</v>
      </c>
      <c r="M14" s="24">
        <f t="shared" si="18"/>
        <v>0</v>
      </c>
      <c r="N14" s="24">
        <f t="shared" si="19"/>
        <v>0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spans="1:29" ht="85.5" customHeight="1" x14ac:dyDescent="0.25">
      <c r="A15" s="21" t="s">
        <v>16</v>
      </c>
      <c r="B15" s="9" t="s">
        <v>17</v>
      </c>
      <c r="C15" s="24">
        <f t="shared" si="11"/>
        <v>0</v>
      </c>
      <c r="D15" s="24">
        <f t="shared" si="12"/>
        <v>0</v>
      </c>
      <c r="E15" s="24">
        <f t="shared" si="13"/>
        <v>0</v>
      </c>
      <c r="F15" s="24">
        <f t="shared" si="14"/>
        <v>0</v>
      </c>
      <c r="G15" s="24">
        <f t="shared" si="15"/>
        <v>0</v>
      </c>
      <c r="H15" s="24">
        <f t="shared" si="16"/>
        <v>0</v>
      </c>
      <c r="I15" s="24"/>
      <c r="J15" s="24"/>
      <c r="K15" s="24"/>
      <c r="L15" s="24">
        <f t="shared" si="17"/>
        <v>0</v>
      </c>
      <c r="M15" s="24">
        <f t="shared" si="18"/>
        <v>0</v>
      </c>
      <c r="N15" s="24">
        <f t="shared" si="19"/>
        <v>0</v>
      </c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spans="1:29" ht="36" customHeight="1" x14ac:dyDescent="0.25">
      <c r="A16" s="21" t="s">
        <v>18</v>
      </c>
      <c r="B16" s="9" t="s">
        <v>19</v>
      </c>
      <c r="C16" s="24">
        <f t="shared" si="11"/>
        <v>0</v>
      </c>
      <c r="D16" s="24">
        <f t="shared" si="12"/>
        <v>0</v>
      </c>
      <c r="E16" s="24">
        <f t="shared" si="13"/>
        <v>0</v>
      </c>
      <c r="F16" s="24">
        <f t="shared" si="14"/>
        <v>0</v>
      </c>
      <c r="G16" s="24">
        <f t="shared" si="15"/>
        <v>0</v>
      </c>
      <c r="H16" s="24">
        <f t="shared" si="16"/>
        <v>0</v>
      </c>
      <c r="I16" s="24"/>
      <c r="J16" s="24"/>
      <c r="K16" s="24"/>
      <c r="L16" s="24">
        <f t="shared" si="17"/>
        <v>0</v>
      </c>
      <c r="M16" s="24">
        <f t="shared" si="18"/>
        <v>0</v>
      </c>
      <c r="N16" s="24">
        <f t="shared" si="19"/>
        <v>0</v>
      </c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spans="1:29" s="11" customFormat="1" ht="66.75" customHeight="1" x14ac:dyDescent="0.25">
      <c r="A17" s="21" t="s">
        <v>20</v>
      </c>
      <c r="B17" s="9" t="s">
        <v>21</v>
      </c>
      <c r="C17" s="24">
        <f t="shared" si="11"/>
        <v>0</v>
      </c>
      <c r="D17" s="24">
        <f t="shared" si="12"/>
        <v>0</v>
      </c>
      <c r="E17" s="24">
        <f t="shared" si="13"/>
        <v>0</v>
      </c>
      <c r="F17" s="24">
        <f t="shared" si="14"/>
        <v>0</v>
      </c>
      <c r="G17" s="24">
        <f t="shared" si="15"/>
        <v>0</v>
      </c>
      <c r="H17" s="24">
        <f t="shared" si="16"/>
        <v>0</v>
      </c>
      <c r="I17" s="24"/>
      <c r="J17" s="24"/>
      <c r="K17" s="24"/>
      <c r="L17" s="24">
        <f t="shared" si="17"/>
        <v>0</v>
      </c>
      <c r="M17" s="24">
        <f t="shared" si="18"/>
        <v>0</v>
      </c>
      <c r="N17" s="24">
        <f t="shared" si="19"/>
        <v>0</v>
      </c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s="11" customFormat="1" ht="54.75" customHeight="1" x14ac:dyDescent="0.25">
      <c r="A18" s="21" t="s">
        <v>22</v>
      </c>
      <c r="B18" s="9" t="s">
        <v>23</v>
      </c>
      <c r="C18" s="24">
        <f t="shared" si="11"/>
        <v>0</v>
      </c>
      <c r="D18" s="24">
        <f t="shared" si="12"/>
        <v>0</v>
      </c>
      <c r="E18" s="24">
        <f t="shared" si="13"/>
        <v>0</v>
      </c>
      <c r="F18" s="24">
        <f t="shared" si="14"/>
        <v>0</v>
      </c>
      <c r="G18" s="24">
        <f t="shared" si="15"/>
        <v>0</v>
      </c>
      <c r="H18" s="24">
        <f t="shared" si="16"/>
        <v>0</v>
      </c>
      <c r="I18" s="24"/>
      <c r="J18" s="24"/>
      <c r="K18" s="24"/>
      <c r="L18" s="24">
        <f t="shared" si="17"/>
        <v>0</v>
      </c>
      <c r="M18" s="24">
        <f t="shared" si="18"/>
        <v>0</v>
      </c>
      <c r="N18" s="24">
        <f t="shared" si="19"/>
        <v>0</v>
      </c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spans="1:29" ht="31.5" x14ac:dyDescent="0.25">
      <c r="A19" s="21" t="s">
        <v>24</v>
      </c>
      <c r="B19" s="9" t="s">
        <v>25</v>
      </c>
      <c r="C19" s="24">
        <f t="shared" si="11"/>
        <v>0</v>
      </c>
      <c r="D19" s="24">
        <f t="shared" si="12"/>
        <v>0</v>
      </c>
      <c r="E19" s="24">
        <f t="shared" si="13"/>
        <v>0</v>
      </c>
      <c r="F19" s="24">
        <f t="shared" si="14"/>
        <v>0</v>
      </c>
      <c r="G19" s="24">
        <f t="shared" si="15"/>
        <v>0</v>
      </c>
      <c r="H19" s="24">
        <f t="shared" si="16"/>
        <v>0</v>
      </c>
      <c r="I19" s="24"/>
      <c r="J19" s="24"/>
      <c r="K19" s="24"/>
      <c r="L19" s="24">
        <f t="shared" si="17"/>
        <v>0</v>
      </c>
      <c r="M19" s="24">
        <f t="shared" si="18"/>
        <v>0</v>
      </c>
      <c r="N19" s="24">
        <f t="shared" si="19"/>
        <v>0</v>
      </c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32.25" thickBot="1" x14ac:dyDescent="0.3">
      <c r="A20" s="22" t="s">
        <v>26</v>
      </c>
      <c r="B20" s="12" t="s">
        <v>27</v>
      </c>
      <c r="C20" s="24">
        <f t="shared" si="11"/>
        <v>0</v>
      </c>
      <c r="D20" s="24">
        <f t="shared" si="12"/>
        <v>0</v>
      </c>
      <c r="E20" s="24">
        <f t="shared" si="13"/>
        <v>0</v>
      </c>
      <c r="F20" s="24">
        <f t="shared" si="14"/>
        <v>0</v>
      </c>
      <c r="G20" s="24">
        <f t="shared" si="15"/>
        <v>0</v>
      </c>
      <c r="H20" s="24">
        <f t="shared" si="16"/>
        <v>0</v>
      </c>
      <c r="I20" s="24"/>
      <c r="J20" s="24"/>
      <c r="K20" s="24"/>
      <c r="L20" s="24">
        <f t="shared" si="17"/>
        <v>0</v>
      </c>
      <c r="M20" s="24">
        <f t="shared" si="18"/>
        <v>0</v>
      </c>
      <c r="N20" s="24">
        <f t="shared" si="19"/>
        <v>0</v>
      </c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</row>
    <row r="21" spans="1:29" s="11" customFormat="1" ht="31.5" x14ac:dyDescent="0.25">
      <c r="A21" s="27" t="s">
        <v>28</v>
      </c>
      <c r="B21" s="28" t="s">
        <v>29</v>
      </c>
      <c r="C21" s="24">
        <f t="shared" si="11"/>
        <v>50329444.660000004</v>
      </c>
      <c r="D21" s="24">
        <f t="shared" si="12"/>
        <v>30365937.66</v>
      </c>
      <c r="E21" s="24">
        <f t="shared" si="13"/>
        <v>32380321.66</v>
      </c>
      <c r="F21" s="24">
        <f>I21+L21</f>
        <v>50329444.659999996</v>
      </c>
      <c r="G21" s="24">
        <f t="shared" si="15"/>
        <v>30365937.66</v>
      </c>
      <c r="H21" s="24">
        <f t="shared" si="16"/>
        <v>32380321.66</v>
      </c>
      <c r="I21" s="24">
        <v>31774143</v>
      </c>
      <c r="J21" s="24">
        <v>15640473</v>
      </c>
      <c r="K21" s="24">
        <v>14691680</v>
      </c>
      <c r="L21" s="24">
        <f t="shared" ref="L21" si="20">O21+R21+U21+X21+AA21</f>
        <v>18555301.66</v>
      </c>
      <c r="M21" s="24">
        <f t="shared" ref="M21:M22" si="21">P21+S21+V21+Y21+AB21</f>
        <v>14725464.66</v>
      </c>
      <c r="N21" s="24">
        <f t="shared" ref="N21:N22" si="22">Q21+T21+W21+Z21+AC21</f>
        <v>17688641.66</v>
      </c>
      <c r="O21" s="29">
        <v>3012284</v>
      </c>
      <c r="P21" s="29">
        <v>2036428</v>
      </c>
      <c r="Q21" s="29">
        <v>2400279</v>
      </c>
      <c r="R21" s="29">
        <v>3030584.06</v>
      </c>
      <c r="S21" s="29">
        <v>3520111.06</v>
      </c>
      <c r="T21" s="29">
        <v>4359308.0599999996</v>
      </c>
      <c r="U21" s="29">
        <v>5226306.5999999996</v>
      </c>
      <c r="V21" s="29">
        <v>3477261.6</v>
      </c>
      <c r="W21" s="29">
        <v>4071946.6</v>
      </c>
      <c r="X21" s="29">
        <v>2859178</v>
      </c>
      <c r="Y21" s="29">
        <v>2432455</v>
      </c>
      <c r="Z21" s="29">
        <v>2892252</v>
      </c>
      <c r="AA21" s="29">
        <v>4426949</v>
      </c>
      <c r="AB21" s="29">
        <v>3259209</v>
      </c>
      <c r="AC21" s="29">
        <v>3964856</v>
      </c>
    </row>
    <row r="22" spans="1:29" s="11" customFormat="1" x14ac:dyDescent="0.25">
      <c r="A22" s="27"/>
      <c r="B22" s="28" t="s">
        <v>73</v>
      </c>
      <c r="C22" s="29"/>
      <c r="D22" s="29"/>
      <c r="E22" s="29"/>
      <c r="F22" s="29">
        <f>I22+L22</f>
        <v>9815331.6600000001</v>
      </c>
      <c r="G22" s="29">
        <f t="shared" si="15"/>
        <v>9910064.6600000001</v>
      </c>
      <c r="H22" s="29">
        <f t="shared" si="16"/>
        <v>12842031.66</v>
      </c>
      <c r="I22" s="29"/>
      <c r="J22" s="29"/>
      <c r="K22" s="29"/>
      <c r="L22" s="29">
        <f>O22+R22+U22+X22+AA22</f>
        <v>9815331.6600000001</v>
      </c>
      <c r="M22" s="29">
        <f t="shared" si="21"/>
        <v>9910064.6600000001</v>
      </c>
      <c r="N22" s="29">
        <f t="shared" si="22"/>
        <v>12842031.66</v>
      </c>
      <c r="O22" s="29">
        <v>1254330</v>
      </c>
      <c r="P22" s="29">
        <v>1266530</v>
      </c>
      <c r="Q22" s="29">
        <v>1644132</v>
      </c>
      <c r="R22" s="29">
        <v>2503211.06</v>
      </c>
      <c r="S22" s="29">
        <v>2526942.06</v>
      </c>
      <c r="T22" s="29">
        <v>3261415.06</v>
      </c>
      <c r="U22" s="29">
        <v>2088206.6</v>
      </c>
      <c r="V22" s="29">
        <v>2108397.6</v>
      </c>
      <c r="W22" s="29">
        <v>2733291.6</v>
      </c>
      <c r="X22" s="29">
        <v>1569142</v>
      </c>
      <c r="Y22" s="29">
        <v>1584404</v>
      </c>
      <c r="Z22" s="29">
        <v>2056777</v>
      </c>
      <c r="AA22" s="29">
        <v>2400442</v>
      </c>
      <c r="AB22" s="29">
        <v>2423791</v>
      </c>
      <c r="AC22" s="29">
        <v>3146416</v>
      </c>
    </row>
    <row r="23" spans="1:29" s="11" customFormat="1" ht="24" customHeight="1" x14ac:dyDescent="0.25">
      <c r="A23" s="114" t="s">
        <v>30</v>
      </c>
      <c r="B23" s="114"/>
      <c r="C23" s="26">
        <f t="shared" ref="C23:N23" si="23">C8+C21</f>
        <v>89551344.659999996</v>
      </c>
      <c r="D23" s="26">
        <f t="shared" si="23"/>
        <v>68850737.659999996</v>
      </c>
      <c r="E23" s="26">
        <f t="shared" si="23"/>
        <v>73928921.659999996</v>
      </c>
      <c r="F23" s="26">
        <f t="shared" si="23"/>
        <v>89551344.659999996</v>
      </c>
      <c r="G23" s="26">
        <f t="shared" si="23"/>
        <v>68850737.659999996</v>
      </c>
      <c r="H23" s="26">
        <f t="shared" si="23"/>
        <v>73928921.659999996</v>
      </c>
      <c r="I23" s="26">
        <f t="shared" si="23"/>
        <v>64352043</v>
      </c>
      <c r="J23" s="26">
        <f t="shared" si="23"/>
        <v>49726273</v>
      </c>
      <c r="K23" s="26">
        <f t="shared" si="23"/>
        <v>51777280</v>
      </c>
      <c r="L23" s="26">
        <f t="shared" si="23"/>
        <v>25199301.66</v>
      </c>
      <c r="M23" s="26">
        <f t="shared" si="23"/>
        <v>19124464.66</v>
      </c>
      <c r="N23" s="26">
        <f t="shared" si="23"/>
        <v>22151641.66</v>
      </c>
      <c r="O23" s="26">
        <f t="shared" ref="O23:AC23" si="24">O8+O21</f>
        <v>3898784</v>
      </c>
      <c r="P23" s="26">
        <f t="shared" si="24"/>
        <v>2952928</v>
      </c>
      <c r="Q23" s="26">
        <f t="shared" si="24"/>
        <v>3330779</v>
      </c>
      <c r="R23" s="26">
        <f t="shared" si="24"/>
        <v>5577584.0600000005</v>
      </c>
      <c r="S23" s="26">
        <f t="shared" si="24"/>
        <v>4209111.0600000005</v>
      </c>
      <c r="T23" s="26">
        <f t="shared" si="24"/>
        <v>5058308.0599999996</v>
      </c>
      <c r="U23" s="26">
        <f t="shared" si="24"/>
        <v>6363306.5999999996</v>
      </c>
      <c r="V23" s="26">
        <f t="shared" si="24"/>
        <v>4652261.5999999996</v>
      </c>
      <c r="W23" s="26">
        <f t="shared" si="24"/>
        <v>5261946.5999999996</v>
      </c>
      <c r="X23" s="95">
        <f t="shared" si="24"/>
        <v>4188178</v>
      </c>
      <c r="Y23" s="95">
        <f t="shared" si="24"/>
        <v>3288455</v>
      </c>
      <c r="Z23" s="95">
        <f t="shared" si="24"/>
        <v>3759252</v>
      </c>
      <c r="AA23" s="26">
        <f t="shared" si="24"/>
        <v>5171449</v>
      </c>
      <c r="AB23" s="26">
        <f t="shared" si="24"/>
        <v>4021709</v>
      </c>
      <c r="AC23" s="26">
        <f t="shared" si="24"/>
        <v>4741356</v>
      </c>
    </row>
    <row r="24" spans="1:29" s="11" customFormat="1" ht="30" customHeight="1" x14ac:dyDescent="0.25">
      <c r="A24" s="69" t="s">
        <v>31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1"/>
    </row>
    <row r="25" spans="1:29" s="2" customFormat="1" ht="36" customHeight="1" x14ac:dyDescent="0.25">
      <c r="A25" s="20" t="s">
        <v>32</v>
      </c>
      <c r="B25" s="13" t="s">
        <v>33</v>
      </c>
      <c r="C25" s="24">
        <f>I25+O25+R25+U25+X25+AA25</f>
        <v>11922680</v>
      </c>
      <c r="D25" s="24">
        <f t="shared" ref="D25" si="25">J25+P25+S25+V25+Y25+AB25</f>
        <v>7078161</v>
      </c>
      <c r="E25" s="24">
        <f t="shared" ref="E25" si="26">K25+Q25+T25+W25+Z25+AC25</f>
        <v>6978788</v>
      </c>
      <c r="F25" s="24">
        <f t="shared" ref="F25" si="27">I25+L25</f>
        <v>11922680</v>
      </c>
      <c r="G25" s="24">
        <f t="shared" ref="G25" si="28">J25+M25</f>
        <v>7078161</v>
      </c>
      <c r="H25" s="24">
        <f t="shared" ref="H25" si="29">K25+N25</f>
        <v>6978788</v>
      </c>
      <c r="I25" s="24">
        <v>357130</v>
      </c>
      <c r="J25" s="24">
        <f>1224000-J47</f>
        <v>364000</v>
      </c>
      <c r="K25" s="24">
        <f>2271300-K47</f>
        <v>371300</v>
      </c>
      <c r="L25" s="24">
        <f>O25+R25+U25+X25+AA25</f>
        <v>11565550</v>
      </c>
      <c r="M25" s="24">
        <f t="shared" ref="M25:N25" si="30">P25+S25+V25+Y25+AB25</f>
        <v>6714161</v>
      </c>
      <c r="N25" s="24">
        <f t="shared" si="30"/>
        <v>6607488</v>
      </c>
      <c r="O25" s="18">
        <v>2251098</v>
      </c>
      <c r="P25" s="18">
        <f>1425950-P47</f>
        <v>1388050</v>
      </c>
      <c r="Q25" s="18">
        <f>1421959-Q47</f>
        <v>1346424</v>
      </c>
      <c r="R25" s="18">
        <v>2186360</v>
      </c>
      <c r="S25" s="18">
        <f>1179060-S47</f>
        <v>1141160</v>
      </c>
      <c r="T25" s="18">
        <f>1217460-T47</f>
        <v>1141160</v>
      </c>
      <c r="U25" s="18">
        <v>2784100</v>
      </c>
      <c r="V25" s="18">
        <f>1794500-V47</f>
        <v>1746800</v>
      </c>
      <c r="W25" s="18">
        <f>1832666-W47</f>
        <v>1737666</v>
      </c>
      <c r="X25" s="18">
        <v>2117352</v>
      </c>
      <c r="Y25" s="18">
        <f>1201981-Y47</f>
        <v>1163581</v>
      </c>
      <c r="Z25" s="18">
        <f>1194163-Z47</f>
        <v>1117898</v>
      </c>
      <c r="AA25" s="18">
        <v>2226640</v>
      </c>
      <c r="AB25" s="18">
        <f>1310270-35700</f>
        <v>1274570</v>
      </c>
      <c r="AC25" s="18">
        <f>1335255-70915</f>
        <v>1264340</v>
      </c>
    </row>
    <row r="26" spans="1:29" s="37" customFormat="1" ht="15" customHeight="1" x14ac:dyDescent="0.25">
      <c r="A26" s="33"/>
      <c r="B26" s="34"/>
      <c r="C26" s="35"/>
      <c r="D26" s="35"/>
      <c r="E26" s="35"/>
      <c r="F26" s="24">
        <f t="shared" ref="F26:F30" si="31">I26+L26</f>
        <v>27000</v>
      </c>
      <c r="G26" s="24">
        <f t="shared" ref="G26:G30" si="32">J26+M26</f>
        <v>27000</v>
      </c>
      <c r="H26" s="24">
        <f t="shared" ref="H26:H30" si="33">K26+N26</f>
        <v>27000</v>
      </c>
      <c r="I26" s="35">
        <f>5900+200+2400</f>
        <v>8500</v>
      </c>
      <c r="J26" s="35">
        <f t="shared" ref="J26:K26" si="34">5900+200+2400</f>
        <v>8500</v>
      </c>
      <c r="K26" s="35">
        <f t="shared" si="34"/>
        <v>8500</v>
      </c>
      <c r="L26" s="24">
        <f t="shared" ref="L26:L49" si="35">O26+R26+U26+X26+AA26</f>
        <v>18500</v>
      </c>
      <c r="M26" s="24">
        <f t="shared" ref="M26:M49" si="36">P26+S26+V26+Y26+AB26</f>
        <v>18500</v>
      </c>
      <c r="N26" s="24">
        <f t="shared" ref="N26:N49" si="37">Q26+T26+W26+Z26+AC26</f>
        <v>18500</v>
      </c>
      <c r="O26" s="36">
        <f t="shared" ref="O26:Q26" si="38">3300+800</f>
        <v>4100</v>
      </c>
      <c r="P26" s="36">
        <f t="shared" si="38"/>
        <v>4100</v>
      </c>
      <c r="Q26" s="36">
        <f t="shared" si="38"/>
        <v>4100</v>
      </c>
      <c r="R26" s="36">
        <f>3300+800</f>
        <v>4100</v>
      </c>
      <c r="S26" s="36">
        <f t="shared" ref="S26:T26" si="39">3300+800</f>
        <v>4100</v>
      </c>
      <c r="T26" s="36">
        <f t="shared" si="39"/>
        <v>4100</v>
      </c>
      <c r="U26" s="36">
        <f>3300+800</f>
        <v>4100</v>
      </c>
      <c r="V26" s="36">
        <f t="shared" ref="V26:W26" si="40">3300+800</f>
        <v>4100</v>
      </c>
      <c r="W26" s="36">
        <f t="shared" si="40"/>
        <v>4100</v>
      </c>
      <c r="X26" s="36">
        <f>2300+800</f>
        <v>3100</v>
      </c>
      <c r="Y26" s="36">
        <f t="shared" ref="Y26:AC26" si="41">2300+800</f>
        <v>3100</v>
      </c>
      <c r="Z26" s="36">
        <f t="shared" si="41"/>
        <v>3100</v>
      </c>
      <c r="AA26" s="36">
        <f t="shared" si="41"/>
        <v>3100</v>
      </c>
      <c r="AB26" s="36">
        <f t="shared" si="41"/>
        <v>3100</v>
      </c>
      <c r="AC26" s="36">
        <f t="shared" si="41"/>
        <v>3100</v>
      </c>
    </row>
    <row r="27" spans="1:29" s="11" customFormat="1" ht="19.5" customHeight="1" x14ac:dyDescent="0.25">
      <c r="A27" s="20" t="s">
        <v>34</v>
      </c>
      <c r="B27" s="13" t="s">
        <v>35</v>
      </c>
      <c r="C27" s="24">
        <f t="shared" ref="C27:C47" si="42">I27+O27+R27+U27+X27+AA27</f>
        <v>1562938</v>
      </c>
      <c r="D27" s="24">
        <f t="shared" ref="D27:D47" si="43">J27+P27+S27+V27+Y27+AB27</f>
        <v>1713801</v>
      </c>
      <c r="E27" s="24">
        <f t="shared" ref="E27:E47" si="44">K27+Q27+T27+W27+Z27+AC27</f>
        <v>1776218</v>
      </c>
      <c r="F27" s="24">
        <f t="shared" si="31"/>
        <v>1562938</v>
      </c>
      <c r="G27" s="24">
        <f t="shared" si="32"/>
        <v>1713801</v>
      </c>
      <c r="H27" s="24">
        <f t="shared" si="33"/>
        <v>1776218</v>
      </c>
      <c r="I27" s="24">
        <v>781468</v>
      </c>
      <c r="J27" s="24">
        <v>856901</v>
      </c>
      <c r="K27" s="24">
        <v>888108</v>
      </c>
      <c r="L27" s="24">
        <f t="shared" si="35"/>
        <v>781470</v>
      </c>
      <c r="M27" s="24">
        <f t="shared" si="36"/>
        <v>856900</v>
      </c>
      <c r="N27" s="24">
        <f t="shared" si="37"/>
        <v>888110</v>
      </c>
      <c r="O27" s="18">
        <v>156294</v>
      </c>
      <c r="P27" s="18">
        <v>171380</v>
      </c>
      <c r="Q27" s="18">
        <v>177622</v>
      </c>
      <c r="R27" s="18">
        <v>156294</v>
      </c>
      <c r="S27" s="18">
        <v>171380</v>
      </c>
      <c r="T27" s="18">
        <v>177622</v>
      </c>
      <c r="U27" s="18">
        <v>156294</v>
      </c>
      <c r="V27" s="18">
        <v>171380</v>
      </c>
      <c r="W27" s="18">
        <v>177622</v>
      </c>
      <c r="X27" s="18">
        <v>156294</v>
      </c>
      <c r="Y27" s="18">
        <v>171380</v>
      </c>
      <c r="Z27" s="18">
        <v>177622</v>
      </c>
      <c r="AA27" s="18">
        <v>156294</v>
      </c>
      <c r="AB27" s="18">
        <v>171380</v>
      </c>
      <c r="AC27" s="18">
        <v>177622</v>
      </c>
    </row>
    <row r="28" spans="1:29" s="59" customFormat="1" ht="19.5" customHeight="1" x14ac:dyDescent="0.25">
      <c r="A28" s="56"/>
      <c r="B28" s="57"/>
      <c r="C28" s="58"/>
      <c r="D28" s="58"/>
      <c r="E28" s="58"/>
      <c r="F28" s="58">
        <f t="shared" si="31"/>
        <v>781468</v>
      </c>
      <c r="G28" s="58">
        <f t="shared" si="32"/>
        <v>856901</v>
      </c>
      <c r="H28" s="58">
        <f t="shared" si="33"/>
        <v>888108</v>
      </c>
      <c r="I28" s="58">
        <f>I27</f>
        <v>781468</v>
      </c>
      <c r="J28" s="58">
        <f t="shared" ref="J28:K28" si="45">J27</f>
        <v>856901</v>
      </c>
      <c r="K28" s="58">
        <f t="shared" si="45"/>
        <v>888108</v>
      </c>
      <c r="L28" s="58">
        <f t="shared" si="35"/>
        <v>0</v>
      </c>
      <c r="M28" s="58">
        <f t="shared" si="36"/>
        <v>0</v>
      </c>
      <c r="N28" s="58">
        <f t="shared" si="37"/>
        <v>0</v>
      </c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</row>
    <row r="29" spans="1:29" ht="71.25" customHeight="1" x14ac:dyDescent="0.25">
      <c r="A29" s="20" t="s">
        <v>36</v>
      </c>
      <c r="B29" s="13" t="s">
        <v>37</v>
      </c>
      <c r="C29" s="24">
        <f t="shared" si="42"/>
        <v>820301</v>
      </c>
      <c r="D29" s="24">
        <f t="shared" si="43"/>
        <v>394832</v>
      </c>
      <c r="E29" s="24">
        <f t="shared" si="44"/>
        <v>435844</v>
      </c>
      <c r="F29" s="24">
        <f t="shared" si="31"/>
        <v>820301</v>
      </c>
      <c r="G29" s="24">
        <f t="shared" si="32"/>
        <v>394832</v>
      </c>
      <c r="H29" s="24">
        <f t="shared" si="33"/>
        <v>435844</v>
      </c>
      <c r="I29" s="24">
        <v>30000</v>
      </c>
      <c r="J29" s="24">
        <v>30000</v>
      </c>
      <c r="K29" s="24">
        <v>30000</v>
      </c>
      <c r="L29" s="24">
        <f t="shared" si="35"/>
        <v>790301</v>
      </c>
      <c r="M29" s="24">
        <f t="shared" si="36"/>
        <v>364832</v>
      </c>
      <c r="N29" s="24">
        <f t="shared" si="37"/>
        <v>405844</v>
      </c>
      <c r="O29" s="18">
        <v>21000</v>
      </c>
      <c r="P29" s="18"/>
      <c r="Q29" s="18"/>
      <c r="R29" s="18">
        <v>269301</v>
      </c>
      <c r="S29" s="18">
        <v>171832</v>
      </c>
      <c r="T29" s="18">
        <v>242844</v>
      </c>
      <c r="U29" s="18">
        <v>463000</v>
      </c>
      <c r="V29" s="18">
        <v>193000</v>
      </c>
      <c r="W29" s="18">
        <v>163000</v>
      </c>
      <c r="X29" s="18">
        <v>12000</v>
      </c>
      <c r="Y29" s="18"/>
      <c r="Z29" s="18"/>
      <c r="AA29" s="18">
        <v>25000</v>
      </c>
      <c r="AB29" s="18"/>
      <c r="AC29" s="18"/>
    </row>
    <row r="30" spans="1:29" s="11" customFormat="1" ht="21" customHeight="1" x14ac:dyDescent="0.25">
      <c r="A30" s="20" t="s">
        <v>38</v>
      </c>
      <c r="B30" s="13" t="s">
        <v>39</v>
      </c>
      <c r="C30" s="24">
        <f t="shared" si="42"/>
        <v>38253985</v>
      </c>
      <c r="D30" s="24">
        <f t="shared" si="43"/>
        <v>29473245</v>
      </c>
      <c r="E30" s="24">
        <f t="shared" si="44"/>
        <v>34392012</v>
      </c>
      <c r="F30" s="24">
        <f t="shared" si="31"/>
        <v>38253985</v>
      </c>
      <c r="G30" s="24">
        <f t="shared" si="32"/>
        <v>29473245</v>
      </c>
      <c r="H30" s="24">
        <f t="shared" si="33"/>
        <v>34392012</v>
      </c>
      <c r="I30" s="60">
        <v>27869975</v>
      </c>
      <c r="J30" s="60">
        <v>19576372</v>
      </c>
      <c r="K30" s="60">
        <v>21563172</v>
      </c>
      <c r="L30" s="60">
        <f t="shared" si="35"/>
        <v>10384010</v>
      </c>
      <c r="M30" s="60">
        <f t="shared" si="36"/>
        <v>9896873</v>
      </c>
      <c r="N30" s="60">
        <f t="shared" si="37"/>
        <v>12828840</v>
      </c>
      <c r="O30" s="61">
        <v>1254330</v>
      </c>
      <c r="P30" s="61">
        <f>1268561-2031</f>
        <v>1266530</v>
      </c>
      <c r="Q30" s="61">
        <v>1644132</v>
      </c>
      <c r="R30" s="61">
        <v>2681434</v>
      </c>
      <c r="S30" s="61">
        <f>2530115-3950</f>
        <v>2526165</v>
      </c>
      <c r="T30" s="61">
        <v>3260638</v>
      </c>
      <c r="U30" s="61">
        <v>2395142</v>
      </c>
      <c r="V30" s="61">
        <f>2099343-3360</f>
        <v>2095983</v>
      </c>
      <c r="W30" s="61">
        <v>2720877</v>
      </c>
      <c r="X30" s="61">
        <v>1569142</v>
      </c>
      <c r="Y30" s="61">
        <f>1586944-2540</f>
        <v>1584404</v>
      </c>
      <c r="Z30" s="61">
        <v>2056777</v>
      </c>
      <c r="AA30" s="18">
        <v>2483962</v>
      </c>
      <c r="AB30" s="18">
        <f>2427677-3886</f>
        <v>2423791</v>
      </c>
      <c r="AC30" s="18">
        <v>3146416</v>
      </c>
    </row>
    <row r="31" spans="1:29" s="59" customFormat="1" ht="21" customHeight="1" x14ac:dyDescent="0.25">
      <c r="A31" s="56"/>
      <c r="B31" s="57" t="s">
        <v>95</v>
      </c>
      <c r="C31" s="58"/>
      <c r="D31" s="58"/>
      <c r="E31" s="58"/>
      <c r="F31" s="24">
        <f t="shared" ref="F31:F47" si="46">I31+L31</f>
        <v>9739500</v>
      </c>
      <c r="G31" s="24">
        <f t="shared" ref="G31:G47" si="47">J31+M31</f>
        <v>9834233</v>
      </c>
      <c r="H31" s="60">
        <f t="shared" ref="H31:H47" si="48">K31+N31</f>
        <v>12766200</v>
      </c>
      <c r="I31" s="58"/>
      <c r="J31" s="58"/>
      <c r="K31" s="58"/>
      <c r="L31" s="58">
        <f t="shared" ref="L31:L32" si="49">O31+R31+U31+X31+AA31</f>
        <v>9739500</v>
      </c>
      <c r="M31" s="58">
        <f t="shared" ref="M31:M32" si="50">P31+S31+V31+Y31+AB31</f>
        <v>9834233</v>
      </c>
      <c r="N31" s="58">
        <f t="shared" ref="N31:N32" si="51">Q31+T31+W31+Z31+AC31</f>
        <v>12766200</v>
      </c>
      <c r="O31" s="55">
        <f>O30</f>
        <v>1254330</v>
      </c>
      <c r="P31" s="55">
        <f t="shared" ref="P31:AC31" si="52">P30</f>
        <v>1266530</v>
      </c>
      <c r="Q31" s="55">
        <f t="shared" si="52"/>
        <v>1644132</v>
      </c>
      <c r="R31" s="55">
        <v>2439794</v>
      </c>
      <c r="S31" s="55">
        <f>2467475-3950</f>
        <v>2463525</v>
      </c>
      <c r="T31" s="55">
        <v>3197998</v>
      </c>
      <c r="U31" s="55">
        <v>2075792</v>
      </c>
      <c r="V31" s="55">
        <f>V30</f>
        <v>2095983</v>
      </c>
      <c r="W31" s="55">
        <v>2720877</v>
      </c>
      <c r="X31" s="55">
        <f t="shared" si="52"/>
        <v>1569142</v>
      </c>
      <c r="Y31" s="55">
        <f t="shared" si="52"/>
        <v>1584404</v>
      </c>
      <c r="Z31" s="55">
        <f t="shared" si="52"/>
        <v>2056777</v>
      </c>
      <c r="AA31" s="55">
        <v>2400442</v>
      </c>
      <c r="AB31" s="55">
        <f t="shared" si="52"/>
        <v>2423791</v>
      </c>
      <c r="AC31" s="55">
        <f t="shared" si="52"/>
        <v>3146416</v>
      </c>
    </row>
    <row r="32" spans="1:29" s="38" customFormat="1" ht="21" customHeight="1" x14ac:dyDescent="0.25">
      <c r="A32" s="33"/>
      <c r="B32" s="34"/>
      <c r="C32" s="35"/>
      <c r="D32" s="35"/>
      <c r="E32" s="35"/>
      <c r="F32" s="24">
        <f t="shared" si="46"/>
        <v>0</v>
      </c>
      <c r="G32" s="24">
        <f t="shared" si="47"/>
        <v>0</v>
      </c>
      <c r="H32" s="60">
        <f t="shared" si="48"/>
        <v>0</v>
      </c>
      <c r="I32" s="35"/>
      <c r="J32" s="35"/>
      <c r="K32" s="35"/>
      <c r="L32" s="60">
        <f t="shared" si="49"/>
        <v>0</v>
      </c>
      <c r="M32" s="60">
        <f t="shared" si="50"/>
        <v>0</v>
      </c>
      <c r="N32" s="60">
        <f t="shared" si="51"/>
        <v>0</v>
      </c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</row>
    <row r="33" spans="1:29" s="14" customFormat="1" ht="37.5" customHeight="1" x14ac:dyDescent="0.25">
      <c r="A33" s="20" t="s">
        <v>40</v>
      </c>
      <c r="B33" s="13" t="s">
        <v>41</v>
      </c>
      <c r="C33" s="24">
        <f t="shared" si="42"/>
        <v>29857675.34</v>
      </c>
      <c r="D33" s="24">
        <f t="shared" si="43"/>
        <v>22405921.66</v>
      </c>
      <c r="E33" s="24">
        <f t="shared" si="44"/>
        <v>21325867.66</v>
      </c>
      <c r="F33" s="24">
        <f t="shared" si="46"/>
        <v>29857675.34</v>
      </c>
      <c r="G33" s="24">
        <f t="shared" si="47"/>
        <v>22405921.66</v>
      </c>
      <c r="H33" s="60">
        <f t="shared" si="48"/>
        <v>21325867.66</v>
      </c>
      <c r="I33" s="24">
        <v>29054140</v>
      </c>
      <c r="J33" s="24">
        <v>22079670</v>
      </c>
      <c r="K33" s="24">
        <v>21065370</v>
      </c>
      <c r="L33" s="24">
        <f t="shared" si="35"/>
        <v>803535.34000000008</v>
      </c>
      <c r="M33" s="24">
        <f t="shared" si="36"/>
        <v>326251.66000000003</v>
      </c>
      <c r="N33" s="24">
        <f t="shared" si="37"/>
        <v>260497.66</v>
      </c>
      <c r="O33" s="18">
        <v>152062</v>
      </c>
      <c r="P33" s="18">
        <v>55068</v>
      </c>
      <c r="Q33" s="18">
        <v>53066</v>
      </c>
      <c r="R33" s="18">
        <v>221982.06</v>
      </c>
      <c r="S33" s="18">
        <v>100761.06</v>
      </c>
      <c r="T33" s="18">
        <v>100831.06</v>
      </c>
      <c r="U33" s="18">
        <v>252769.6</v>
      </c>
      <c r="V33" s="18">
        <v>87278.6</v>
      </c>
      <c r="W33" s="18">
        <v>57661.599999999999</v>
      </c>
      <c r="X33" s="18">
        <v>44083</v>
      </c>
      <c r="Y33" s="18">
        <v>41583</v>
      </c>
      <c r="Z33" s="18">
        <v>41583</v>
      </c>
      <c r="AA33" s="18">
        <v>132638.68</v>
      </c>
      <c r="AB33" s="18">
        <v>41561</v>
      </c>
      <c r="AC33" s="18">
        <v>7356</v>
      </c>
    </row>
    <row r="34" spans="1:29" s="62" customFormat="1" ht="17.25" customHeight="1" x14ac:dyDescent="0.25">
      <c r="A34" s="56"/>
      <c r="B34" s="57"/>
      <c r="C34" s="58"/>
      <c r="D34" s="58"/>
      <c r="E34" s="58"/>
      <c r="F34" s="24">
        <f t="shared" si="46"/>
        <v>75831.66</v>
      </c>
      <c r="G34" s="24">
        <f t="shared" si="47"/>
        <v>75831.66</v>
      </c>
      <c r="H34" s="60">
        <f t="shared" si="48"/>
        <v>75831.66</v>
      </c>
      <c r="I34" s="58"/>
      <c r="J34" s="58"/>
      <c r="K34" s="58"/>
      <c r="L34" s="58">
        <f t="shared" si="35"/>
        <v>75831.66</v>
      </c>
      <c r="M34" s="58">
        <f t="shared" si="36"/>
        <v>75831.66</v>
      </c>
      <c r="N34" s="58">
        <f t="shared" si="37"/>
        <v>75831.66</v>
      </c>
      <c r="O34" s="55"/>
      <c r="P34" s="55"/>
      <c r="Q34" s="55"/>
      <c r="R34" s="55">
        <v>63417.06</v>
      </c>
      <c r="S34" s="55">
        <v>63417.06</v>
      </c>
      <c r="T34" s="55">
        <v>63417.06</v>
      </c>
      <c r="U34" s="55">
        <v>12414.6</v>
      </c>
      <c r="V34" s="55">
        <v>12414.6</v>
      </c>
      <c r="W34" s="55">
        <v>12414.6</v>
      </c>
      <c r="X34" s="55"/>
      <c r="Y34" s="55"/>
      <c r="Z34" s="55"/>
      <c r="AA34" s="55"/>
      <c r="AB34" s="55"/>
      <c r="AC34" s="55"/>
    </row>
    <row r="35" spans="1:29" s="44" customFormat="1" ht="20.25" customHeight="1" x14ac:dyDescent="0.25">
      <c r="A35" s="33"/>
      <c r="B35" s="34"/>
      <c r="C35" s="35"/>
      <c r="D35" s="35"/>
      <c r="E35" s="35"/>
      <c r="F35" s="24">
        <f t="shared" si="46"/>
        <v>0</v>
      </c>
      <c r="G35" s="24">
        <f t="shared" si="47"/>
        <v>0</v>
      </c>
      <c r="H35" s="60">
        <f t="shared" si="48"/>
        <v>0</v>
      </c>
      <c r="I35" s="35"/>
      <c r="J35" s="35"/>
      <c r="K35" s="35"/>
      <c r="L35" s="24">
        <f t="shared" si="35"/>
        <v>0</v>
      </c>
      <c r="M35" s="24">
        <f t="shared" si="36"/>
        <v>0</v>
      </c>
      <c r="N35" s="24">
        <f t="shared" si="37"/>
        <v>0</v>
      </c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</row>
    <row r="36" spans="1:29" s="11" customFormat="1" ht="31.5" x14ac:dyDescent="0.25">
      <c r="A36" s="20" t="s">
        <v>42</v>
      </c>
      <c r="B36" s="13" t="s">
        <v>43</v>
      </c>
      <c r="C36" s="24">
        <f t="shared" si="42"/>
        <v>0</v>
      </c>
      <c r="D36" s="24">
        <f t="shared" si="43"/>
        <v>0</v>
      </c>
      <c r="E36" s="24">
        <f t="shared" si="44"/>
        <v>0</v>
      </c>
      <c r="F36" s="24">
        <f t="shared" si="46"/>
        <v>0</v>
      </c>
      <c r="G36" s="24">
        <f t="shared" si="47"/>
        <v>0</v>
      </c>
      <c r="H36" s="60">
        <f t="shared" si="48"/>
        <v>0</v>
      </c>
      <c r="I36" s="24"/>
      <c r="J36" s="24"/>
      <c r="K36" s="24"/>
      <c r="L36" s="24">
        <f t="shared" si="35"/>
        <v>0</v>
      </c>
      <c r="M36" s="24">
        <f t="shared" si="36"/>
        <v>0</v>
      </c>
      <c r="N36" s="24">
        <f t="shared" si="37"/>
        <v>0</v>
      </c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23.25" customHeight="1" x14ac:dyDescent="0.25">
      <c r="A37" s="20" t="s">
        <v>44</v>
      </c>
      <c r="B37" s="13" t="s">
        <v>45</v>
      </c>
      <c r="C37" s="24">
        <f t="shared" si="42"/>
        <v>0</v>
      </c>
      <c r="D37" s="24">
        <f t="shared" si="43"/>
        <v>0</v>
      </c>
      <c r="E37" s="24">
        <f t="shared" si="44"/>
        <v>0</v>
      </c>
      <c r="F37" s="24">
        <f t="shared" si="46"/>
        <v>0</v>
      </c>
      <c r="G37" s="24">
        <f t="shared" si="47"/>
        <v>0</v>
      </c>
      <c r="H37" s="60">
        <f t="shared" si="48"/>
        <v>0</v>
      </c>
      <c r="I37" s="24"/>
      <c r="J37" s="24"/>
      <c r="K37" s="24"/>
      <c r="L37" s="24">
        <f t="shared" si="35"/>
        <v>0</v>
      </c>
      <c r="M37" s="24">
        <f t="shared" si="36"/>
        <v>0</v>
      </c>
      <c r="N37" s="24">
        <f t="shared" si="37"/>
        <v>0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ht="20.25" customHeight="1" x14ac:dyDescent="0.25">
      <c r="A38" s="20" t="s">
        <v>46</v>
      </c>
      <c r="B38" s="13" t="s">
        <v>47</v>
      </c>
      <c r="C38" s="24">
        <f t="shared" si="42"/>
        <v>5948181</v>
      </c>
      <c r="D38" s="24">
        <f t="shared" si="43"/>
        <v>5626300</v>
      </c>
      <c r="E38" s="24">
        <f t="shared" si="44"/>
        <v>5625300</v>
      </c>
      <c r="F38" s="24">
        <f t="shared" si="46"/>
        <v>5948181</v>
      </c>
      <c r="G38" s="24">
        <f t="shared" si="47"/>
        <v>5626300</v>
      </c>
      <c r="H38" s="60">
        <f t="shared" si="48"/>
        <v>5625300</v>
      </c>
      <c r="I38" s="24">
        <v>5900000</v>
      </c>
      <c r="J38" s="24">
        <v>5600000</v>
      </c>
      <c r="K38" s="24">
        <v>5600000</v>
      </c>
      <c r="L38" s="24">
        <f t="shared" si="35"/>
        <v>48181</v>
      </c>
      <c r="M38" s="24">
        <f t="shared" si="36"/>
        <v>26300</v>
      </c>
      <c r="N38" s="24">
        <f t="shared" si="37"/>
        <v>25300</v>
      </c>
      <c r="O38" s="18"/>
      <c r="P38" s="18"/>
      <c r="Q38" s="18"/>
      <c r="R38" s="18">
        <v>6300</v>
      </c>
      <c r="S38" s="18">
        <v>4000</v>
      </c>
      <c r="T38" s="18">
        <v>3000</v>
      </c>
      <c r="U38" s="18">
        <v>1881</v>
      </c>
      <c r="V38" s="18"/>
      <c r="W38" s="18"/>
      <c r="X38" s="18">
        <v>4500</v>
      </c>
      <c r="Y38" s="18">
        <v>4300</v>
      </c>
      <c r="Z38" s="18">
        <v>4300</v>
      </c>
      <c r="AA38" s="18">
        <v>35500</v>
      </c>
      <c r="AB38" s="18">
        <v>18000</v>
      </c>
      <c r="AC38" s="18">
        <v>18000</v>
      </c>
    </row>
    <row r="39" spans="1:29" s="39" customFormat="1" ht="20.25" customHeight="1" x14ac:dyDescent="0.25">
      <c r="A39" s="33"/>
      <c r="B39" s="34"/>
      <c r="C39" s="35"/>
      <c r="D39" s="35"/>
      <c r="E39" s="35"/>
      <c r="F39" s="24">
        <f t="shared" si="46"/>
        <v>5600000</v>
      </c>
      <c r="G39" s="24">
        <f t="shared" si="47"/>
        <v>5600000</v>
      </c>
      <c r="H39" s="60">
        <f t="shared" si="48"/>
        <v>5600000</v>
      </c>
      <c r="I39" s="35">
        <v>5600000</v>
      </c>
      <c r="J39" s="35">
        <f t="shared" ref="J39:K39" si="53">J38</f>
        <v>5600000</v>
      </c>
      <c r="K39" s="35">
        <f t="shared" si="53"/>
        <v>5600000</v>
      </c>
      <c r="L39" s="24">
        <f t="shared" si="35"/>
        <v>0</v>
      </c>
      <c r="M39" s="24">
        <f t="shared" si="36"/>
        <v>0</v>
      </c>
      <c r="N39" s="24">
        <f t="shared" si="37"/>
        <v>0</v>
      </c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</row>
    <row r="40" spans="1:29" ht="18.75" customHeight="1" x14ac:dyDescent="0.25">
      <c r="A40" s="20" t="s">
        <v>48</v>
      </c>
      <c r="B40" s="13" t="s">
        <v>49</v>
      </c>
      <c r="C40" s="24">
        <f>I40+O40+R40+U40+X40+AA40</f>
        <v>0</v>
      </c>
      <c r="D40" s="24">
        <f t="shared" si="43"/>
        <v>0</v>
      </c>
      <c r="E40" s="24">
        <f t="shared" si="44"/>
        <v>0</v>
      </c>
      <c r="F40" s="24">
        <f>I40+L40</f>
        <v>0</v>
      </c>
      <c r="G40" s="24">
        <f t="shared" si="47"/>
        <v>0</v>
      </c>
      <c r="H40" s="60">
        <f t="shared" si="48"/>
        <v>0</v>
      </c>
      <c r="I40" s="24"/>
      <c r="J40" s="24"/>
      <c r="K40" s="24"/>
      <c r="L40" s="24">
        <f t="shared" si="35"/>
        <v>0</v>
      </c>
      <c r="M40" s="24">
        <f t="shared" si="36"/>
        <v>0</v>
      </c>
      <c r="N40" s="24">
        <f t="shared" si="37"/>
        <v>0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18.75" customHeight="1" x14ac:dyDescent="0.25">
      <c r="A41" s="20" t="s">
        <v>50</v>
      </c>
      <c r="B41" s="13" t="s">
        <v>51</v>
      </c>
      <c r="C41" s="24">
        <f>I41+O41+R41+U41+X41+AA41</f>
        <v>917584.32000000007</v>
      </c>
      <c r="D41" s="24">
        <f t="shared" si="43"/>
        <v>832877</v>
      </c>
      <c r="E41" s="24">
        <f t="shared" si="44"/>
        <v>832877</v>
      </c>
      <c r="F41" s="24">
        <f>I41+L41</f>
        <v>917584.32000000007</v>
      </c>
      <c r="G41" s="24">
        <f t="shared" si="47"/>
        <v>832877</v>
      </c>
      <c r="H41" s="60">
        <f t="shared" si="48"/>
        <v>832877</v>
      </c>
      <c r="I41" s="24">
        <v>109330</v>
      </c>
      <c r="J41" s="24">
        <v>109330</v>
      </c>
      <c r="K41" s="24">
        <v>109330</v>
      </c>
      <c r="L41" s="24">
        <f t="shared" si="35"/>
        <v>808254.32000000007</v>
      </c>
      <c r="M41" s="24">
        <f t="shared" si="36"/>
        <v>723547</v>
      </c>
      <c r="N41" s="24">
        <f t="shared" si="37"/>
        <v>723547</v>
      </c>
      <c r="O41" s="18">
        <v>60000</v>
      </c>
      <c r="P41" s="18">
        <v>30000</v>
      </c>
      <c r="Q41" s="18">
        <v>30000</v>
      </c>
      <c r="R41" s="18">
        <v>51913</v>
      </c>
      <c r="S41" s="18">
        <v>51913</v>
      </c>
      <c r="T41" s="18">
        <v>51913</v>
      </c>
      <c r="U41" s="18">
        <v>306120</v>
      </c>
      <c r="V41" s="18">
        <v>306120</v>
      </c>
      <c r="W41" s="18">
        <v>306120</v>
      </c>
      <c r="X41" s="18">
        <v>280807</v>
      </c>
      <c r="Y41" s="18">
        <v>280807</v>
      </c>
      <c r="Z41" s="18">
        <v>280807</v>
      </c>
      <c r="AA41" s="18">
        <v>109414.32</v>
      </c>
      <c r="AB41" s="18">
        <v>54707</v>
      </c>
      <c r="AC41" s="18">
        <v>54707</v>
      </c>
    </row>
    <row r="42" spans="1:29" ht="21" customHeight="1" x14ac:dyDescent="0.25">
      <c r="A42" s="20" t="s">
        <v>52</v>
      </c>
      <c r="B42" s="13" t="s">
        <v>53</v>
      </c>
      <c r="C42" s="24">
        <f t="shared" si="42"/>
        <v>268000</v>
      </c>
      <c r="D42" s="24">
        <f t="shared" si="43"/>
        <v>268000</v>
      </c>
      <c r="E42" s="24">
        <f t="shared" si="44"/>
        <v>268000</v>
      </c>
      <c r="F42" s="24">
        <f t="shared" si="46"/>
        <v>268000</v>
      </c>
      <c r="G42" s="24">
        <f t="shared" si="47"/>
        <v>268000</v>
      </c>
      <c r="H42" s="60">
        <f t="shared" si="48"/>
        <v>268000</v>
      </c>
      <c r="I42" s="24">
        <v>250000</v>
      </c>
      <c r="J42" s="24">
        <v>250000</v>
      </c>
      <c r="K42" s="24">
        <v>250000</v>
      </c>
      <c r="L42" s="24">
        <f t="shared" si="35"/>
        <v>18000</v>
      </c>
      <c r="M42" s="24">
        <f t="shared" si="36"/>
        <v>18000</v>
      </c>
      <c r="N42" s="24">
        <f t="shared" si="37"/>
        <v>18000</v>
      </c>
      <c r="O42" s="18">
        <v>4000</v>
      </c>
      <c r="P42" s="18">
        <v>4000</v>
      </c>
      <c r="Q42" s="18">
        <v>4000</v>
      </c>
      <c r="R42" s="18">
        <v>4000</v>
      </c>
      <c r="S42" s="18">
        <v>4000</v>
      </c>
      <c r="T42" s="18">
        <v>4000</v>
      </c>
      <c r="U42" s="18">
        <v>4000</v>
      </c>
      <c r="V42" s="18">
        <v>4000</v>
      </c>
      <c r="W42" s="18">
        <v>4000</v>
      </c>
      <c r="X42" s="18">
        <v>4000</v>
      </c>
      <c r="Y42" s="18">
        <v>4000</v>
      </c>
      <c r="Z42" s="18">
        <v>4000</v>
      </c>
      <c r="AA42" s="18">
        <v>2000</v>
      </c>
      <c r="AB42" s="18">
        <v>2000</v>
      </c>
      <c r="AC42" s="18">
        <v>2000</v>
      </c>
    </row>
    <row r="43" spans="1:29" s="39" customFormat="1" ht="16.5" customHeight="1" x14ac:dyDescent="0.25">
      <c r="A43" s="33"/>
      <c r="B43" s="34"/>
      <c r="C43" s="35"/>
      <c r="D43" s="35"/>
      <c r="E43" s="35"/>
      <c r="F43" s="24">
        <f t="shared" si="46"/>
        <v>268000</v>
      </c>
      <c r="G43" s="24">
        <f t="shared" si="47"/>
        <v>268000</v>
      </c>
      <c r="H43" s="60">
        <f t="shared" si="48"/>
        <v>268000</v>
      </c>
      <c r="I43" s="35">
        <f>I42</f>
        <v>250000</v>
      </c>
      <c r="J43" s="35">
        <f t="shared" ref="J43:K43" si="54">J42</f>
        <v>250000</v>
      </c>
      <c r="K43" s="35">
        <f t="shared" si="54"/>
        <v>250000</v>
      </c>
      <c r="L43" s="24">
        <f t="shared" si="35"/>
        <v>18000</v>
      </c>
      <c r="M43" s="24">
        <f t="shared" si="36"/>
        <v>18000</v>
      </c>
      <c r="N43" s="24">
        <f t="shared" si="37"/>
        <v>18000</v>
      </c>
      <c r="O43" s="36">
        <f>O42</f>
        <v>4000</v>
      </c>
      <c r="P43" s="36">
        <f t="shared" ref="P43:Q43" si="55">P42</f>
        <v>4000</v>
      </c>
      <c r="Q43" s="36">
        <f t="shared" si="55"/>
        <v>4000</v>
      </c>
      <c r="R43" s="36">
        <f t="shared" ref="R43" si="56">R42</f>
        <v>4000</v>
      </c>
      <c r="S43" s="36">
        <f t="shared" ref="S43" si="57">S42</f>
        <v>4000</v>
      </c>
      <c r="T43" s="36">
        <f t="shared" ref="T43" si="58">T42</f>
        <v>4000</v>
      </c>
      <c r="U43" s="36">
        <f t="shared" ref="U43" si="59">U42</f>
        <v>4000</v>
      </c>
      <c r="V43" s="36">
        <f t="shared" ref="V43" si="60">V42</f>
        <v>4000</v>
      </c>
      <c r="W43" s="36">
        <f t="shared" ref="W43" si="61">W42</f>
        <v>4000</v>
      </c>
      <c r="X43" s="36">
        <f t="shared" ref="X43" si="62">X42</f>
        <v>4000</v>
      </c>
      <c r="Y43" s="36">
        <f t="shared" ref="Y43" si="63">Y42</f>
        <v>4000</v>
      </c>
      <c r="Z43" s="36">
        <f t="shared" ref="Z43" si="64">Z42</f>
        <v>4000</v>
      </c>
      <c r="AA43" s="36">
        <f t="shared" ref="AA43" si="65">AA42</f>
        <v>2000</v>
      </c>
      <c r="AB43" s="36">
        <f t="shared" ref="AB43" si="66">AB42</f>
        <v>2000</v>
      </c>
      <c r="AC43" s="36">
        <f t="shared" ref="AC43" si="67">AC42</f>
        <v>2000</v>
      </c>
    </row>
    <row r="44" spans="1:29" ht="22.5" customHeight="1" x14ac:dyDescent="0.25">
      <c r="A44" s="20" t="s">
        <v>54</v>
      </c>
      <c r="B44" s="13" t="s">
        <v>55</v>
      </c>
      <c r="C44" s="24">
        <f t="shared" si="42"/>
        <v>0</v>
      </c>
      <c r="D44" s="24">
        <f t="shared" si="43"/>
        <v>0</v>
      </c>
      <c r="E44" s="24">
        <f t="shared" si="44"/>
        <v>0</v>
      </c>
      <c r="F44" s="24">
        <f t="shared" si="46"/>
        <v>0</v>
      </c>
      <c r="G44" s="24">
        <f t="shared" si="47"/>
        <v>0</v>
      </c>
      <c r="H44" s="60">
        <f t="shared" si="48"/>
        <v>0</v>
      </c>
      <c r="I44" s="24"/>
      <c r="J44" s="24"/>
      <c r="K44" s="24"/>
      <c r="L44" s="24">
        <f t="shared" si="35"/>
        <v>0</v>
      </c>
      <c r="M44" s="24">
        <f t="shared" si="36"/>
        <v>0</v>
      </c>
      <c r="N44" s="24">
        <f t="shared" si="37"/>
        <v>0</v>
      </c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22.5" customHeight="1" x14ac:dyDescent="0.25">
      <c r="A45" s="20" t="s">
        <v>56</v>
      </c>
      <c r="B45" s="13" t="s">
        <v>57</v>
      </c>
      <c r="C45" s="24">
        <f t="shared" si="42"/>
        <v>0</v>
      </c>
      <c r="D45" s="24">
        <f t="shared" si="43"/>
        <v>0</v>
      </c>
      <c r="E45" s="24">
        <f t="shared" si="44"/>
        <v>0</v>
      </c>
      <c r="F45" s="24">
        <f t="shared" si="46"/>
        <v>0</v>
      </c>
      <c r="G45" s="24">
        <f t="shared" si="47"/>
        <v>0</v>
      </c>
      <c r="H45" s="60">
        <f t="shared" si="48"/>
        <v>0</v>
      </c>
      <c r="I45" s="24"/>
      <c r="J45" s="24"/>
      <c r="K45" s="24"/>
      <c r="L45" s="24">
        <f t="shared" si="35"/>
        <v>0</v>
      </c>
      <c r="M45" s="24">
        <f t="shared" si="36"/>
        <v>0</v>
      </c>
      <c r="N45" s="24">
        <f t="shared" si="37"/>
        <v>0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22.5" customHeight="1" x14ac:dyDescent="0.25">
      <c r="A46" s="20" t="s">
        <v>58</v>
      </c>
      <c r="B46" s="13" t="s">
        <v>59</v>
      </c>
      <c r="C46" s="24">
        <f>I46+O46+R46+U46+X46+AA46</f>
        <v>0</v>
      </c>
      <c r="D46" s="24">
        <f t="shared" si="43"/>
        <v>0</v>
      </c>
      <c r="E46" s="24">
        <f t="shared" si="44"/>
        <v>0</v>
      </c>
      <c r="F46" s="24">
        <f t="shared" si="46"/>
        <v>0</v>
      </c>
      <c r="G46" s="24">
        <f t="shared" si="47"/>
        <v>0</v>
      </c>
      <c r="H46" s="60">
        <f t="shared" si="48"/>
        <v>0</v>
      </c>
      <c r="I46" s="24"/>
      <c r="J46" s="24"/>
      <c r="K46" s="24"/>
      <c r="L46" s="24">
        <f t="shared" si="35"/>
        <v>0</v>
      </c>
      <c r="M46" s="24">
        <f t="shared" si="36"/>
        <v>0</v>
      </c>
      <c r="N46" s="24">
        <f t="shared" si="37"/>
        <v>0</v>
      </c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</row>
    <row r="47" spans="1:29" ht="22.5" customHeight="1" x14ac:dyDescent="0.25">
      <c r="A47" s="20" t="s">
        <v>67</v>
      </c>
      <c r="B47" s="13" t="s">
        <v>68</v>
      </c>
      <c r="C47" s="24">
        <f t="shared" si="42"/>
        <v>0</v>
      </c>
      <c r="D47" s="24">
        <f t="shared" si="43"/>
        <v>1057600</v>
      </c>
      <c r="E47" s="24">
        <f t="shared" si="44"/>
        <v>2294015</v>
      </c>
      <c r="F47" s="24">
        <f t="shared" si="46"/>
        <v>0</v>
      </c>
      <c r="G47" s="24">
        <f t="shared" si="47"/>
        <v>1057600</v>
      </c>
      <c r="H47" s="60">
        <f t="shared" si="48"/>
        <v>2294015</v>
      </c>
      <c r="I47" s="24"/>
      <c r="J47" s="98">
        <v>860000</v>
      </c>
      <c r="K47" s="98">
        <v>1900000</v>
      </c>
      <c r="L47" s="24">
        <f t="shared" si="35"/>
        <v>0</v>
      </c>
      <c r="M47" s="24">
        <f t="shared" si="36"/>
        <v>197600</v>
      </c>
      <c r="N47" s="24">
        <f t="shared" si="37"/>
        <v>394015</v>
      </c>
      <c r="O47" s="18"/>
      <c r="P47" s="97">
        <v>37900</v>
      </c>
      <c r="Q47" s="97">
        <v>75535</v>
      </c>
      <c r="R47" s="18"/>
      <c r="S47" s="97">
        <v>37900</v>
      </c>
      <c r="T47" s="97">
        <v>76300</v>
      </c>
      <c r="U47" s="18"/>
      <c r="V47" s="97">
        <v>47700</v>
      </c>
      <c r="W47" s="97">
        <v>95000</v>
      </c>
      <c r="X47" s="18"/>
      <c r="Y47" s="97">
        <v>38400</v>
      </c>
      <c r="Z47" s="97">
        <v>76265</v>
      </c>
      <c r="AA47" s="18"/>
      <c r="AB47" s="97">
        <v>35700</v>
      </c>
      <c r="AC47" s="97">
        <v>70915</v>
      </c>
    </row>
    <row r="48" spans="1:29" ht="20.25" customHeight="1" x14ac:dyDescent="0.25">
      <c r="A48" s="114" t="s">
        <v>60</v>
      </c>
      <c r="B48" s="114"/>
      <c r="C48" s="17">
        <f t="shared" ref="C48:E48" si="68">SUM(C25:C47)</f>
        <v>89551344.659999996</v>
      </c>
      <c r="D48" s="17">
        <f t="shared" si="68"/>
        <v>68850737.659999996</v>
      </c>
      <c r="E48" s="17">
        <f t="shared" si="68"/>
        <v>73928921.659999996</v>
      </c>
      <c r="F48" s="17">
        <f t="shared" ref="F48:K48" si="69">F25+F27+F29+F30+F33+F36+F37+F38+F40+F41+F42+F44+F45+F46+F47</f>
        <v>89551344.659999996</v>
      </c>
      <c r="G48" s="17">
        <f t="shared" si="69"/>
        <v>68850737.659999996</v>
      </c>
      <c r="H48" s="17">
        <f t="shared" si="69"/>
        <v>73928921.659999996</v>
      </c>
      <c r="I48" s="17">
        <f>I25+I27+I29+I30+I33+I38+I41+I42+I47</f>
        <v>64352043</v>
      </c>
      <c r="J48" s="17">
        <f t="shared" si="69"/>
        <v>49726273</v>
      </c>
      <c r="K48" s="17">
        <f t="shared" si="69"/>
        <v>51777280</v>
      </c>
      <c r="L48" s="24">
        <f t="shared" si="35"/>
        <v>25199301.659999996</v>
      </c>
      <c r="M48" s="24">
        <f t="shared" si="36"/>
        <v>19124464.66</v>
      </c>
      <c r="N48" s="24">
        <f t="shared" si="37"/>
        <v>22151641.659999996</v>
      </c>
      <c r="O48" s="17">
        <f t="shared" ref="O48:AC48" si="70">O25+O27+O29+O30+O33+O36+O37+O38+O40+O41+O42+O44+O45+O46+O47</f>
        <v>3898784</v>
      </c>
      <c r="P48" s="17">
        <f t="shared" si="70"/>
        <v>2952928</v>
      </c>
      <c r="Q48" s="17">
        <f t="shared" si="70"/>
        <v>3330779</v>
      </c>
      <c r="R48" s="17">
        <f t="shared" si="70"/>
        <v>5577584.0599999996</v>
      </c>
      <c r="S48" s="17">
        <f t="shared" si="70"/>
        <v>4209111.0600000005</v>
      </c>
      <c r="T48" s="17">
        <f t="shared" si="70"/>
        <v>5058308.0599999996</v>
      </c>
      <c r="U48" s="17">
        <f t="shared" si="70"/>
        <v>6363306.5999999996</v>
      </c>
      <c r="V48" s="17">
        <f t="shared" si="70"/>
        <v>4652261.5999999996</v>
      </c>
      <c r="W48" s="17">
        <f t="shared" si="70"/>
        <v>5261946.5999999996</v>
      </c>
      <c r="X48" s="17">
        <f t="shared" si="70"/>
        <v>4188178</v>
      </c>
      <c r="Y48" s="17">
        <f t="shared" si="70"/>
        <v>3288455</v>
      </c>
      <c r="Z48" s="17">
        <f t="shared" si="70"/>
        <v>3759252</v>
      </c>
      <c r="AA48" s="17">
        <f t="shared" si="70"/>
        <v>5171449</v>
      </c>
      <c r="AB48" s="17">
        <f t="shared" si="70"/>
        <v>4021709</v>
      </c>
      <c r="AC48" s="17">
        <f t="shared" si="70"/>
        <v>4741356</v>
      </c>
    </row>
    <row r="49" spans="1:29" s="39" customFormat="1" ht="20.25" customHeight="1" x14ac:dyDescent="0.25">
      <c r="A49" s="40"/>
      <c r="B49" s="40" t="s">
        <v>74</v>
      </c>
      <c r="C49" s="41">
        <f t="shared" ref="C49:E49" si="71">C26+C28+C39+C43</f>
        <v>0</v>
      </c>
      <c r="D49" s="41">
        <f t="shared" si="71"/>
        <v>0</v>
      </c>
      <c r="E49" s="41">
        <f t="shared" si="71"/>
        <v>0</v>
      </c>
      <c r="F49" s="41">
        <f t="shared" ref="F49:H49" si="72">F26+F28+F39+F43</f>
        <v>6676468</v>
      </c>
      <c r="G49" s="41">
        <f t="shared" si="72"/>
        <v>6751901</v>
      </c>
      <c r="H49" s="41">
        <f t="shared" si="72"/>
        <v>6783108</v>
      </c>
      <c r="I49" s="41">
        <f>I26+I28+I39+I43</f>
        <v>6639968</v>
      </c>
      <c r="J49" s="41">
        <f t="shared" ref="J49:Q49" si="73">J26+J28+J39+J43</f>
        <v>6715401</v>
      </c>
      <c r="K49" s="41">
        <f t="shared" si="73"/>
        <v>6746608</v>
      </c>
      <c r="L49" s="24">
        <f t="shared" si="35"/>
        <v>36500</v>
      </c>
      <c r="M49" s="24">
        <f t="shared" si="36"/>
        <v>36500</v>
      </c>
      <c r="N49" s="24">
        <f t="shared" si="37"/>
        <v>36500</v>
      </c>
      <c r="O49" s="41">
        <f t="shared" si="73"/>
        <v>8100</v>
      </c>
      <c r="P49" s="41">
        <f t="shared" si="73"/>
        <v>8100</v>
      </c>
      <c r="Q49" s="41">
        <f t="shared" si="73"/>
        <v>8100</v>
      </c>
      <c r="R49" s="41">
        <f>R26+R28+R39+R43</f>
        <v>8100</v>
      </c>
      <c r="S49" s="41">
        <f t="shared" ref="S49:AC49" si="74">S26+S28+S39+S43</f>
        <v>8100</v>
      </c>
      <c r="T49" s="41">
        <f t="shared" si="74"/>
        <v>8100</v>
      </c>
      <c r="U49" s="41">
        <f t="shared" si="74"/>
        <v>8100</v>
      </c>
      <c r="V49" s="41">
        <f t="shared" si="74"/>
        <v>8100</v>
      </c>
      <c r="W49" s="41">
        <f t="shared" si="74"/>
        <v>8100</v>
      </c>
      <c r="X49" s="41">
        <f t="shared" si="74"/>
        <v>7100</v>
      </c>
      <c r="Y49" s="41">
        <f t="shared" si="74"/>
        <v>7100</v>
      </c>
      <c r="Z49" s="41">
        <f t="shared" si="74"/>
        <v>7100</v>
      </c>
      <c r="AA49" s="41">
        <f t="shared" si="74"/>
        <v>5100</v>
      </c>
      <c r="AB49" s="41">
        <f t="shared" si="74"/>
        <v>5100</v>
      </c>
      <c r="AC49" s="41">
        <f t="shared" si="74"/>
        <v>5100</v>
      </c>
    </row>
    <row r="50" spans="1:29" ht="25.5" customHeight="1" x14ac:dyDescent="0.25">
      <c r="A50" s="115" t="s">
        <v>61</v>
      </c>
      <c r="B50" s="115"/>
      <c r="C50" s="15">
        <f t="shared" ref="C50:N50" si="75">C23-C48</f>
        <v>0</v>
      </c>
      <c r="D50" s="15">
        <f t="shared" si="75"/>
        <v>0</v>
      </c>
      <c r="E50" s="15">
        <f t="shared" si="75"/>
        <v>0</v>
      </c>
      <c r="F50" s="15">
        <f t="shared" ref="F50:H50" si="76">F23-F48</f>
        <v>0</v>
      </c>
      <c r="G50" s="15">
        <f t="shared" si="76"/>
        <v>0</v>
      </c>
      <c r="H50" s="15">
        <f t="shared" si="76"/>
        <v>0</v>
      </c>
      <c r="I50" s="94">
        <f t="shared" si="75"/>
        <v>0</v>
      </c>
      <c r="J50" s="94">
        <f t="shared" si="75"/>
        <v>0</v>
      </c>
      <c r="K50" s="94">
        <f t="shared" si="75"/>
        <v>0</v>
      </c>
      <c r="L50" s="15">
        <f t="shared" si="75"/>
        <v>0</v>
      </c>
      <c r="M50" s="15">
        <f t="shared" si="75"/>
        <v>0</v>
      </c>
      <c r="N50" s="15">
        <f t="shared" si="75"/>
        <v>0</v>
      </c>
      <c r="O50" s="94">
        <f t="shared" ref="O50:AC50" si="77">O23-O48</f>
        <v>0</v>
      </c>
      <c r="P50" s="94">
        <f t="shared" si="77"/>
        <v>0</v>
      </c>
      <c r="Q50" s="94">
        <f t="shared" si="77"/>
        <v>0</v>
      </c>
      <c r="R50" s="94">
        <f t="shared" si="77"/>
        <v>0</v>
      </c>
      <c r="S50" s="94">
        <f t="shared" si="77"/>
        <v>0</v>
      </c>
      <c r="T50" s="94">
        <f t="shared" si="77"/>
        <v>0</v>
      </c>
      <c r="U50" s="94">
        <f t="shared" si="77"/>
        <v>0</v>
      </c>
      <c r="V50" s="94">
        <f t="shared" si="77"/>
        <v>0</v>
      </c>
      <c r="W50" s="94">
        <f t="shared" si="77"/>
        <v>0</v>
      </c>
      <c r="X50" s="94">
        <f t="shared" si="77"/>
        <v>0</v>
      </c>
      <c r="Y50" s="94">
        <f t="shared" si="77"/>
        <v>0</v>
      </c>
      <c r="Z50" s="94">
        <f t="shared" si="77"/>
        <v>0</v>
      </c>
      <c r="AA50" s="94">
        <f t="shared" si="77"/>
        <v>0</v>
      </c>
      <c r="AB50" s="94">
        <f t="shared" si="77"/>
        <v>0</v>
      </c>
      <c r="AC50" s="94">
        <f t="shared" si="77"/>
        <v>0</v>
      </c>
    </row>
    <row r="51" spans="1:29" ht="19.5" customHeight="1" x14ac:dyDescent="0.25">
      <c r="A51" s="67"/>
      <c r="B51" s="67" t="s">
        <v>97</v>
      </c>
      <c r="C51" s="68"/>
      <c r="D51" s="68"/>
      <c r="E51" s="68"/>
      <c r="F51" s="68">
        <f>I51+L51</f>
        <v>10596799.66</v>
      </c>
      <c r="G51" s="68">
        <f t="shared" ref="G51:H51" si="78">J51+M51</f>
        <v>10766965.66</v>
      </c>
      <c r="H51" s="68">
        <f t="shared" si="78"/>
        <v>13730139.66</v>
      </c>
      <c r="I51" s="68">
        <f>I28</f>
        <v>781468</v>
      </c>
      <c r="J51" s="68">
        <f t="shared" ref="J51:K51" si="79">J28</f>
        <v>856901</v>
      </c>
      <c r="K51" s="68">
        <f t="shared" si="79"/>
        <v>888108</v>
      </c>
      <c r="L51" s="68">
        <f t="shared" ref="L51:N51" si="80">L28+L31+L34</f>
        <v>9815331.6600000001</v>
      </c>
      <c r="M51" s="68">
        <f t="shared" si="80"/>
        <v>9910064.6600000001</v>
      </c>
      <c r="N51" s="68">
        <f t="shared" si="80"/>
        <v>12842031.66</v>
      </c>
      <c r="O51" s="68">
        <f>O28+O31+O34</f>
        <v>1254330</v>
      </c>
      <c r="P51" s="68">
        <f t="shared" ref="P51:W51" si="81">P28+P31+P34</f>
        <v>1266530</v>
      </c>
      <c r="Q51" s="68">
        <f t="shared" si="81"/>
        <v>1644132</v>
      </c>
      <c r="R51" s="68">
        <f t="shared" si="81"/>
        <v>2503211.06</v>
      </c>
      <c r="S51" s="68">
        <f t="shared" si="81"/>
        <v>2526942.06</v>
      </c>
      <c r="T51" s="68">
        <f t="shared" si="81"/>
        <v>3261415.06</v>
      </c>
      <c r="U51" s="68">
        <f t="shared" si="81"/>
        <v>2088206.6</v>
      </c>
      <c r="V51" s="68">
        <f t="shared" si="81"/>
        <v>2108397.6</v>
      </c>
      <c r="W51" s="68">
        <f t="shared" si="81"/>
        <v>2733291.6</v>
      </c>
      <c r="X51" s="68">
        <f>X28+X31+X34</f>
        <v>1569142</v>
      </c>
      <c r="Y51" s="68">
        <f t="shared" ref="Y51:AC51" si="82">Y28+Y31+Y34</f>
        <v>1584404</v>
      </c>
      <c r="Z51" s="68">
        <f t="shared" si="82"/>
        <v>2056777</v>
      </c>
      <c r="AA51" s="68">
        <f t="shared" si="82"/>
        <v>2400442</v>
      </c>
      <c r="AB51" s="68">
        <f t="shared" si="82"/>
        <v>2423791</v>
      </c>
      <c r="AC51" s="68">
        <f t="shared" si="82"/>
        <v>3146416</v>
      </c>
    </row>
    <row r="52" spans="1:29" ht="19.5" customHeight="1" x14ac:dyDescent="0.25">
      <c r="A52" s="67"/>
      <c r="B52" s="67" t="s">
        <v>98</v>
      </c>
      <c r="C52" s="68"/>
      <c r="D52" s="68"/>
      <c r="E52" s="68"/>
      <c r="F52" s="68">
        <f>I52+L52</f>
        <v>6676468</v>
      </c>
      <c r="G52" s="68">
        <f t="shared" ref="G52" si="83">J52+M52</f>
        <v>6751901</v>
      </c>
      <c r="H52" s="68">
        <f t="shared" ref="H52" si="84">K52+N52</f>
        <v>6783108</v>
      </c>
      <c r="I52" s="68">
        <f>I26+I28+I39+I43</f>
        <v>6639968</v>
      </c>
      <c r="J52" s="68">
        <f t="shared" ref="J52:K52" si="85">J26+J28+J39+J43</f>
        <v>6715401</v>
      </c>
      <c r="K52" s="68">
        <f t="shared" si="85"/>
        <v>6746608</v>
      </c>
      <c r="L52" s="68">
        <f t="shared" ref="L52:N52" si="86">L26+L43</f>
        <v>36500</v>
      </c>
      <c r="M52" s="68">
        <f t="shared" si="86"/>
        <v>36500</v>
      </c>
      <c r="N52" s="68">
        <f t="shared" si="86"/>
        <v>36500</v>
      </c>
      <c r="O52" s="68">
        <f>O26+O43</f>
        <v>8100</v>
      </c>
      <c r="P52" s="68">
        <f t="shared" ref="P52:W52" si="87">P26+P43</f>
        <v>8100</v>
      </c>
      <c r="Q52" s="68">
        <f t="shared" si="87"/>
        <v>8100</v>
      </c>
      <c r="R52" s="68">
        <f t="shared" si="87"/>
        <v>8100</v>
      </c>
      <c r="S52" s="68">
        <f t="shared" si="87"/>
        <v>8100</v>
      </c>
      <c r="T52" s="68">
        <f t="shared" si="87"/>
        <v>8100</v>
      </c>
      <c r="U52" s="68">
        <f t="shared" si="87"/>
        <v>8100</v>
      </c>
      <c r="V52" s="68">
        <f t="shared" si="87"/>
        <v>8100</v>
      </c>
      <c r="W52" s="68">
        <f t="shared" si="87"/>
        <v>8100</v>
      </c>
      <c r="X52" s="68">
        <f>X26+X43</f>
        <v>7100</v>
      </c>
      <c r="Y52" s="68">
        <f t="shared" ref="Y52:AC52" si="88">Y26+Y43</f>
        <v>7100</v>
      </c>
      <c r="Z52" s="68">
        <f t="shared" si="88"/>
        <v>7100</v>
      </c>
      <c r="AA52" s="68">
        <f t="shared" si="88"/>
        <v>5100</v>
      </c>
      <c r="AB52" s="68">
        <f t="shared" si="88"/>
        <v>5100</v>
      </c>
      <c r="AC52" s="68">
        <f t="shared" si="88"/>
        <v>5100</v>
      </c>
    </row>
    <row r="53" spans="1:29" x14ac:dyDescent="0.25">
      <c r="G53" s="43"/>
      <c r="H53" s="43"/>
      <c r="J53" s="43">
        <f>J47/(J48-J54)*100</f>
        <v>2.5230447869787418</v>
      </c>
      <c r="K53" s="43">
        <f>K47/(K48-K54)*100</f>
        <v>5.1232823521798219</v>
      </c>
      <c r="L53" s="43"/>
      <c r="M53" s="43"/>
      <c r="N53" s="43"/>
      <c r="P53" s="43">
        <f>P47/(P48-P54)*100</f>
        <v>2.5959793143600809</v>
      </c>
      <c r="Q53" s="43">
        <f>Q47/(Q48-Q54)*100</f>
        <v>5.1879894969569884</v>
      </c>
      <c r="S53" s="43">
        <f>S47/(S48-S54)*100</f>
        <v>2.5722032379898798</v>
      </c>
      <c r="T53" s="43">
        <f>T47/(T48-T54)*100</f>
        <v>4.8234448499453508</v>
      </c>
      <c r="V53" s="43">
        <f>V47/(V48-V54)*100</f>
        <v>2.0760613156222529</v>
      </c>
      <c r="W53" s="43">
        <f>W47/(W48-W54)*100</f>
        <v>4.1200701192565141</v>
      </c>
      <c r="Y53" s="43">
        <f>Y47/(Y48-Y54)*100</f>
        <v>2.5753007200111595</v>
      </c>
      <c r="Z53" s="43">
        <f>Z47/(Z48-Z54)*100</f>
        <v>5.1416802065706175</v>
      </c>
      <c r="AB53" s="43">
        <f>AB47/(AB48-AB54)*100</f>
        <v>2.5776601344282253</v>
      </c>
      <c r="AC53" s="43">
        <f>AC47/(AC48-AC54)*100</f>
        <v>5.0295681727592658</v>
      </c>
    </row>
    <row r="54" spans="1:29" x14ac:dyDescent="0.25">
      <c r="B54" s="1" t="s">
        <v>81</v>
      </c>
      <c r="G54" s="65"/>
      <c r="H54" s="65"/>
      <c r="I54" s="16">
        <v>57921297.039999999</v>
      </c>
      <c r="J54" s="65">
        <f>J21</f>
        <v>15640473</v>
      </c>
      <c r="K54" s="65">
        <f>K21</f>
        <v>14691680</v>
      </c>
      <c r="P54" s="42">
        <f>SUM(P55:P58)</f>
        <v>1492978</v>
      </c>
      <c r="Q54" s="42">
        <f t="shared" ref="Q54:AC54" si="89">SUM(Q55:Q58)</f>
        <v>1874820</v>
      </c>
      <c r="R54" s="42">
        <f t="shared" si="89"/>
        <v>2818070.06</v>
      </c>
      <c r="S54" s="42">
        <f t="shared" si="89"/>
        <v>2735666.06</v>
      </c>
      <c r="T54" s="42">
        <f t="shared" si="89"/>
        <v>3476451.06</v>
      </c>
      <c r="U54" s="42">
        <f t="shared" si="89"/>
        <v>2484855.6</v>
      </c>
      <c r="V54" s="42">
        <f t="shared" si="89"/>
        <v>2354641.6</v>
      </c>
      <c r="W54" s="42">
        <f t="shared" si="89"/>
        <v>2956160.6</v>
      </c>
      <c r="X54" s="42">
        <f t="shared" si="89"/>
        <v>1769519</v>
      </c>
      <c r="Y54" s="42">
        <f t="shared" si="89"/>
        <v>1797367</v>
      </c>
      <c r="Z54" s="42">
        <f t="shared" si="89"/>
        <v>2275982</v>
      </c>
      <c r="AA54" s="42">
        <f t="shared" si="89"/>
        <v>2689374.68</v>
      </c>
      <c r="AB54" s="42">
        <f t="shared" si="89"/>
        <v>2636732</v>
      </c>
      <c r="AC54" s="42">
        <f t="shared" si="89"/>
        <v>3331394</v>
      </c>
    </row>
    <row r="55" spans="1:29" x14ac:dyDescent="0.25">
      <c r="B55" s="1" t="s">
        <v>82</v>
      </c>
      <c r="P55" s="30">
        <f>P27</f>
        <v>171380</v>
      </c>
      <c r="Q55" s="30">
        <f t="shared" ref="Q55:AC55" si="90">Q27</f>
        <v>177622</v>
      </c>
      <c r="R55" s="30">
        <f t="shared" si="90"/>
        <v>156294</v>
      </c>
      <c r="S55" s="30">
        <f t="shared" si="90"/>
        <v>171380</v>
      </c>
      <c r="T55" s="30">
        <f t="shared" si="90"/>
        <v>177622</v>
      </c>
      <c r="U55" s="30">
        <f t="shared" si="90"/>
        <v>156294</v>
      </c>
      <c r="V55" s="30">
        <f t="shared" si="90"/>
        <v>171380</v>
      </c>
      <c r="W55" s="30">
        <f t="shared" si="90"/>
        <v>177622</v>
      </c>
      <c r="X55" s="30">
        <f t="shared" si="90"/>
        <v>156294</v>
      </c>
      <c r="Y55" s="30">
        <f t="shared" si="90"/>
        <v>171380</v>
      </c>
      <c r="Z55" s="30">
        <f t="shared" si="90"/>
        <v>177622</v>
      </c>
      <c r="AA55" s="30">
        <f t="shared" si="90"/>
        <v>156294</v>
      </c>
      <c r="AB55" s="30">
        <f t="shared" si="90"/>
        <v>171380</v>
      </c>
      <c r="AC55" s="30">
        <f t="shared" si="90"/>
        <v>177622</v>
      </c>
    </row>
    <row r="56" spans="1:29" x14ac:dyDescent="0.25">
      <c r="B56" s="1" t="s">
        <v>83</v>
      </c>
      <c r="I56" s="30"/>
      <c r="P56" s="30">
        <f>P31</f>
        <v>1266530</v>
      </c>
      <c r="Q56" s="30">
        <f t="shared" ref="Q56:AC56" si="91">Q31</f>
        <v>1644132</v>
      </c>
      <c r="R56" s="30">
        <f t="shared" si="91"/>
        <v>2439794</v>
      </c>
      <c r="S56" s="30">
        <f t="shared" si="91"/>
        <v>2463525</v>
      </c>
      <c r="T56" s="30">
        <f t="shared" si="91"/>
        <v>3197998</v>
      </c>
      <c r="U56" s="30">
        <f t="shared" si="91"/>
        <v>2075792</v>
      </c>
      <c r="V56" s="30">
        <f t="shared" si="91"/>
        <v>2095983</v>
      </c>
      <c r="W56" s="30">
        <f t="shared" si="91"/>
        <v>2720877</v>
      </c>
      <c r="X56" s="30">
        <f t="shared" si="91"/>
        <v>1569142</v>
      </c>
      <c r="Y56" s="30">
        <f t="shared" si="91"/>
        <v>1584404</v>
      </c>
      <c r="Z56" s="30">
        <f t="shared" si="91"/>
        <v>2056777</v>
      </c>
      <c r="AA56" s="30">
        <f t="shared" si="91"/>
        <v>2400442</v>
      </c>
      <c r="AB56" s="30">
        <f t="shared" si="91"/>
        <v>2423791</v>
      </c>
      <c r="AC56" s="30">
        <f t="shared" si="91"/>
        <v>3146416</v>
      </c>
    </row>
    <row r="57" spans="1:29" x14ac:dyDescent="0.25">
      <c r="B57" s="1" t="s">
        <v>84</v>
      </c>
      <c r="P57" s="30">
        <f>P33</f>
        <v>55068</v>
      </c>
      <c r="Q57" s="30">
        <f t="shared" ref="Q57:AC57" si="92">Q33</f>
        <v>53066</v>
      </c>
      <c r="R57" s="30">
        <f t="shared" si="92"/>
        <v>221982.06</v>
      </c>
      <c r="S57" s="30">
        <f t="shared" si="92"/>
        <v>100761.06</v>
      </c>
      <c r="T57" s="30">
        <f t="shared" si="92"/>
        <v>100831.06</v>
      </c>
      <c r="U57" s="30">
        <f t="shared" si="92"/>
        <v>252769.6</v>
      </c>
      <c r="V57" s="30">
        <f t="shared" si="92"/>
        <v>87278.6</v>
      </c>
      <c r="W57" s="30">
        <f t="shared" si="92"/>
        <v>57661.599999999999</v>
      </c>
      <c r="X57" s="30">
        <f t="shared" si="92"/>
        <v>44083</v>
      </c>
      <c r="Y57" s="30">
        <f t="shared" si="92"/>
        <v>41583</v>
      </c>
      <c r="Z57" s="30">
        <f t="shared" si="92"/>
        <v>41583</v>
      </c>
      <c r="AA57" s="30">
        <f t="shared" si="92"/>
        <v>132638.68</v>
      </c>
      <c r="AB57" s="30">
        <f t="shared" si="92"/>
        <v>41561</v>
      </c>
      <c r="AC57" s="30">
        <f t="shared" si="92"/>
        <v>7356</v>
      </c>
    </row>
    <row r="58" spans="1:29" x14ac:dyDescent="0.25">
      <c r="B58" s="1" t="s">
        <v>85</v>
      </c>
    </row>
    <row r="60" spans="1:29" x14ac:dyDescent="0.25">
      <c r="O60" s="63">
        <f>O26+O28+O31+O32+O34+O35+O43</f>
        <v>1262430</v>
      </c>
      <c r="P60" s="63">
        <f>P26+P28+P31+P32+P34+P35+P43</f>
        <v>1274630</v>
      </c>
      <c r="Q60" s="63">
        <f>Q26+Q28+Q31+Q32+Q34+Q35+Q43</f>
        <v>1652232</v>
      </c>
    </row>
    <row r="61" spans="1:29" x14ac:dyDescent="0.25">
      <c r="F61" s="63"/>
      <c r="G61" s="63"/>
      <c r="H61" s="63"/>
    </row>
    <row r="62" spans="1:29" x14ac:dyDescent="0.25">
      <c r="F62" s="30"/>
      <c r="G62" s="30"/>
      <c r="H62" s="30"/>
    </row>
  </sheetData>
  <mergeCells count="13">
    <mergeCell ref="A1:Q3"/>
    <mergeCell ref="A5:A6"/>
    <mergeCell ref="B5:B6"/>
    <mergeCell ref="C5:E5"/>
    <mergeCell ref="O5:Q5"/>
    <mergeCell ref="I5:K5"/>
    <mergeCell ref="X5:Z5"/>
    <mergeCell ref="AA5:AC5"/>
    <mergeCell ref="A23:B23"/>
    <mergeCell ref="A48:B48"/>
    <mergeCell ref="A50:B50"/>
    <mergeCell ref="R5:T5"/>
    <mergeCell ref="U5:W5"/>
  </mergeCells>
  <pageMargins left="0" right="0" top="0.15748031496062992" bottom="0" header="0.31496062992125984" footer="0.31496062992125984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F51" sqref="F51"/>
    </sheetView>
  </sheetViews>
  <sheetFormatPr defaultRowHeight="15" x14ac:dyDescent="0.25"/>
  <cols>
    <col min="1" max="1" width="17.5703125" customWidth="1"/>
    <col min="2" max="4" width="15.85546875" customWidth="1"/>
  </cols>
  <sheetData>
    <row r="1" spans="1:10" x14ac:dyDescent="0.25">
      <c r="A1" s="50"/>
      <c r="B1" s="51">
        <v>2025</v>
      </c>
      <c r="C1" s="51">
        <v>2026</v>
      </c>
      <c r="D1" s="51">
        <v>2027</v>
      </c>
    </row>
    <row r="2" spans="1:10" x14ac:dyDescent="0.25">
      <c r="A2" s="50"/>
      <c r="B2" s="52"/>
      <c r="C2" s="52"/>
      <c r="D2" s="52"/>
      <c r="E2" s="47"/>
      <c r="F2" s="47"/>
      <c r="G2" s="47"/>
      <c r="H2" s="47"/>
      <c r="I2" s="47"/>
      <c r="J2" s="47"/>
    </row>
    <row r="3" spans="1:10" x14ac:dyDescent="0.25">
      <c r="A3" s="50"/>
      <c r="B3" s="52"/>
      <c r="C3" s="52"/>
      <c r="D3" s="52"/>
      <c r="E3" s="47"/>
      <c r="F3" s="47"/>
      <c r="G3" s="47"/>
      <c r="H3" s="47"/>
      <c r="I3" s="47"/>
      <c r="J3" s="47"/>
    </row>
    <row r="4" spans="1:10" s="48" customFormat="1" x14ac:dyDescent="0.25">
      <c r="A4" s="53" t="s">
        <v>87</v>
      </c>
      <c r="B4" s="54">
        <f>B5+B6</f>
        <v>160094100</v>
      </c>
      <c r="C4" s="54">
        <f t="shared" ref="C4:D4" si="0">C5+C6</f>
        <v>170413200</v>
      </c>
      <c r="D4" s="54">
        <f t="shared" si="0"/>
        <v>185052800</v>
      </c>
      <c r="E4" s="49"/>
      <c r="F4" s="49"/>
      <c r="G4" s="49"/>
      <c r="H4" s="49"/>
      <c r="I4" s="49"/>
      <c r="J4" s="49"/>
    </row>
    <row r="5" spans="1:10" x14ac:dyDescent="0.25">
      <c r="A5" s="50" t="s">
        <v>99</v>
      </c>
      <c r="B5" s="52">
        <f>Осн.характеристики!J7</f>
        <v>39221900</v>
      </c>
      <c r="C5" s="52">
        <f>Осн.характеристики!K7</f>
        <v>38484800</v>
      </c>
      <c r="D5" s="52">
        <f>Осн.характеристики!L7</f>
        <v>41548600</v>
      </c>
      <c r="E5" s="47"/>
      <c r="F5" s="47"/>
      <c r="G5" s="47"/>
      <c r="H5" s="47"/>
      <c r="I5" s="47"/>
      <c r="J5" s="47"/>
    </row>
    <row r="6" spans="1:10" x14ac:dyDescent="0.25">
      <c r="A6" s="50" t="s">
        <v>89</v>
      </c>
      <c r="B6" s="52">
        <f>Осн.характеристики!E7</f>
        <v>120872200</v>
      </c>
      <c r="C6" s="52">
        <f>Осн.характеристики!F7</f>
        <v>131928400</v>
      </c>
      <c r="D6" s="52">
        <f>Осн.характеристики!G7</f>
        <v>143504200</v>
      </c>
      <c r="E6" s="47"/>
      <c r="F6" s="47"/>
      <c r="G6" s="47"/>
      <c r="H6" s="47"/>
      <c r="I6" s="47"/>
      <c r="J6" s="47"/>
    </row>
    <row r="7" spans="1:10" x14ac:dyDescent="0.25">
      <c r="A7" s="50"/>
      <c r="B7" s="52"/>
      <c r="C7" s="52"/>
      <c r="D7" s="52"/>
      <c r="E7" s="47"/>
      <c r="F7" s="47"/>
      <c r="G7" s="47"/>
      <c r="H7" s="47"/>
      <c r="I7" s="47"/>
      <c r="J7" s="47"/>
    </row>
    <row r="8" spans="1:10" s="48" customFormat="1" x14ac:dyDescent="0.25">
      <c r="A8" s="53" t="s">
        <v>90</v>
      </c>
      <c r="B8" s="54">
        <f>Осн.характеристики!E23</f>
        <v>76723600</v>
      </c>
      <c r="C8" s="54">
        <f>Осн.характеристики!F23</f>
        <v>53351000</v>
      </c>
      <c r="D8" s="54">
        <f>Осн.характеристики!G23</f>
        <v>51739000</v>
      </c>
      <c r="E8" s="49"/>
      <c r="F8" s="49"/>
      <c r="G8" s="49"/>
      <c r="H8" s="49"/>
      <c r="I8" s="49"/>
      <c r="J8" s="49"/>
    </row>
    <row r="9" spans="1:10" s="48" customFormat="1" x14ac:dyDescent="0.25">
      <c r="A9" s="53" t="s">
        <v>91</v>
      </c>
      <c r="B9" s="54">
        <f>B10+B11+B12</f>
        <v>228308798.30000001</v>
      </c>
      <c r="C9" s="54">
        <f t="shared" ref="C9:D9" si="1">C10+C11+C12</f>
        <v>19468824</v>
      </c>
      <c r="D9" s="54">
        <f t="shared" si="1"/>
        <v>17035669</v>
      </c>
      <c r="E9" s="49"/>
      <c r="F9" s="49"/>
      <c r="G9" s="49"/>
      <c r="H9" s="49"/>
      <c r="I9" s="49"/>
      <c r="J9" s="49"/>
    </row>
    <row r="10" spans="1:10" x14ac:dyDescent="0.25">
      <c r="A10" s="50" t="s">
        <v>88</v>
      </c>
      <c r="B10" s="52"/>
      <c r="C10" s="52"/>
      <c r="D10" s="52"/>
      <c r="E10" s="47"/>
      <c r="F10" s="47"/>
      <c r="G10" s="47"/>
      <c r="H10" s="47"/>
      <c r="I10" s="47"/>
      <c r="J10" s="47"/>
    </row>
    <row r="11" spans="1:10" x14ac:dyDescent="0.25">
      <c r="A11" s="50" t="s">
        <v>100</v>
      </c>
      <c r="B11" s="52">
        <f>Осн.характеристики!J24</f>
        <v>30992475</v>
      </c>
      <c r="C11" s="52">
        <f>Осн.характеристики!K24</f>
        <v>14783372</v>
      </c>
      <c r="D11" s="52">
        <f>Осн.характеристики!L24</f>
        <v>13803372</v>
      </c>
      <c r="E11" s="47"/>
      <c r="F11" s="47"/>
      <c r="G11" s="47"/>
      <c r="H11" s="47"/>
      <c r="I11" s="47"/>
      <c r="J11" s="47"/>
    </row>
    <row r="12" spans="1:10" x14ac:dyDescent="0.25">
      <c r="A12" s="50" t="s">
        <v>89</v>
      </c>
      <c r="B12" s="52">
        <f>Осн.характеристики!E24</f>
        <v>197316323.30000001</v>
      </c>
      <c r="C12" s="52">
        <f>Осн.характеристики!F24</f>
        <v>4685452</v>
      </c>
      <c r="D12" s="52">
        <f>Осн.характеристики!G24</f>
        <v>3232297</v>
      </c>
      <c r="E12" s="47"/>
      <c r="F12" s="47"/>
      <c r="G12" s="47"/>
      <c r="H12" s="47"/>
      <c r="I12" s="47"/>
      <c r="J12" s="47"/>
    </row>
    <row r="13" spans="1:10" s="48" customFormat="1" x14ac:dyDescent="0.25">
      <c r="A13" s="53" t="s">
        <v>92</v>
      </c>
      <c r="B13" s="54">
        <f>Осн.характеристики!E25+Осн.характеристики!J25</f>
        <v>186044380.44</v>
      </c>
      <c r="C13" s="54">
        <f>Осн.характеристики!F25+Осн.характеристики!K25</f>
        <v>183914815.88999999</v>
      </c>
      <c r="D13" s="54">
        <f>Осн.характеристики!G25+Осн.характеристики!L25</f>
        <v>184268352.88999999</v>
      </c>
      <c r="E13" s="49"/>
      <c r="F13" s="49"/>
      <c r="G13" s="49"/>
      <c r="H13" s="49"/>
      <c r="I13" s="49"/>
      <c r="J13" s="49"/>
    </row>
    <row r="14" spans="1:10" x14ac:dyDescent="0.25">
      <c r="A14" s="53" t="s">
        <v>93</v>
      </c>
      <c r="B14" s="54"/>
      <c r="C14" s="54"/>
      <c r="D14" s="54"/>
      <c r="E14" s="47"/>
      <c r="F14" s="47"/>
      <c r="G14" s="47"/>
      <c r="H14" s="47"/>
      <c r="I14" s="47"/>
      <c r="J14" s="47"/>
    </row>
    <row r="15" spans="1:10" x14ac:dyDescent="0.25">
      <c r="A15" s="50"/>
      <c r="B15" s="52"/>
      <c r="C15" s="52"/>
      <c r="D15" s="52"/>
      <c r="E15" s="47"/>
      <c r="F15" s="47"/>
      <c r="G15" s="47"/>
      <c r="H15" s="47"/>
      <c r="I15" s="47"/>
      <c r="J15" s="47"/>
    </row>
    <row r="16" spans="1:10" ht="18.75" customHeight="1" x14ac:dyDescent="0.25">
      <c r="A16" s="53" t="s">
        <v>94</v>
      </c>
      <c r="B16" s="54">
        <f>B4+B8+B9+B13+B14</f>
        <v>651170878.74000001</v>
      </c>
      <c r="C16" s="54">
        <f t="shared" ref="C16:D16" si="2">C4+C8+C9+C13+C14</f>
        <v>427147839.88999999</v>
      </c>
      <c r="D16" s="54">
        <f t="shared" si="2"/>
        <v>438095821.88999999</v>
      </c>
      <c r="E16" s="47"/>
      <c r="F16" s="47"/>
      <c r="G16" s="47"/>
      <c r="H16" s="47"/>
      <c r="I16" s="47"/>
      <c r="J16" s="47"/>
    </row>
    <row r="17" spans="2:10" x14ac:dyDescent="0.25">
      <c r="B17" s="47"/>
      <c r="C17" s="47"/>
      <c r="D17" s="47"/>
      <c r="E17" s="47"/>
      <c r="F17" s="47"/>
      <c r="G17" s="47"/>
      <c r="H17" s="47"/>
      <c r="I17" s="47"/>
      <c r="J17" s="47"/>
    </row>
    <row r="18" spans="2:10" x14ac:dyDescent="0.25">
      <c r="B18" s="47">
        <f>B16-Осн.характеристики!O47</f>
        <v>0</v>
      </c>
      <c r="C18" s="47">
        <f>C16-Осн.характеристики!P47</f>
        <v>0</v>
      </c>
      <c r="D18" s="47">
        <f>D16-Осн.характеристики!Q47</f>
        <v>0</v>
      </c>
      <c r="E18" s="47"/>
      <c r="F18" s="47"/>
      <c r="G18" s="47"/>
      <c r="H18" s="47"/>
      <c r="I18" s="47"/>
      <c r="J18" s="47"/>
    </row>
    <row r="19" spans="2:10" x14ac:dyDescent="0.25">
      <c r="B19" s="47"/>
      <c r="C19" s="47"/>
      <c r="D19" s="47"/>
      <c r="E19" s="47"/>
      <c r="F19" s="47"/>
      <c r="G19" s="47"/>
      <c r="H19" s="47"/>
      <c r="I19" s="47"/>
      <c r="J19" s="47"/>
    </row>
    <row r="20" spans="2:10" x14ac:dyDescent="0.25">
      <c r="B20" s="47">
        <v>75831.66</v>
      </c>
      <c r="C20" s="47"/>
      <c r="D20" s="47"/>
      <c r="E20" s="47"/>
      <c r="F20" s="47"/>
      <c r="G20" s="47"/>
      <c r="H20" s="47"/>
      <c r="I20" s="47"/>
      <c r="J20" s="47"/>
    </row>
    <row r="21" spans="2:10" x14ac:dyDescent="0.25">
      <c r="B21" s="47">
        <f>B18+B20</f>
        <v>75831.66</v>
      </c>
      <c r="C21" s="47"/>
      <c r="D21" s="47"/>
      <c r="E21" s="47"/>
      <c r="F21" s="47"/>
      <c r="G21" s="47"/>
      <c r="H21" s="47"/>
      <c r="I21" s="47"/>
      <c r="J21" s="47"/>
    </row>
    <row r="22" spans="2:10" x14ac:dyDescent="0.25">
      <c r="B22" s="47"/>
      <c r="C22" s="47"/>
      <c r="D22" s="47"/>
      <c r="E22" s="47"/>
      <c r="F22" s="47"/>
      <c r="G22" s="47"/>
      <c r="H22" s="47"/>
      <c r="I22" s="47"/>
      <c r="J22" s="47"/>
    </row>
    <row r="23" spans="2:10" x14ac:dyDescent="0.25">
      <c r="B23" s="47"/>
      <c r="C23" s="47"/>
      <c r="D23" s="47"/>
      <c r="E23" s="47"/>
      <c r="F23" s="47"/>
      <c r="G23" s="47"/>
      <c r="H23" s="47"/>
      <c r="I23" s="47"/>
      <c r="J23" s="47"/>
    </row>
    <row r="24" spans="2:10" x14ac:dyDescent="0.25">
      <c r="B24" s="47"/>
      <c r="C24" s="47"/>
      <c r="D24" s="47"/>
      <c r="E24" s="47"/>
      <c r="F24" s="47"/>
      <c r="G24" s="47"/>
      <c r="H24" s="47"/>
      <c r="I24" s="47"/>
      <c r="J24" s="47"/>
    </row>
    <row r="25" spans="2:10" x14ac:dyDescent="0.25">
      <c r="B25" s="47"/>
      <c r="C25" s="47"/>
      <c r="D25" s="47"/>
      <c r="E25" s="47"/>
      <c r="F25" s="47"/>
      <c r="G25" s="47"/>
      <c r="H25" s="47"/>
      <c r="I25" s="47"/>
      <c r="J25" s="47"/>
    </row>
    <row r="26" spans="2:10" x14ac:dyDescent="0.25">
      <c r="B26" s="47"/>
      <c r="C26" s="47"/>
      <c r="D26" s="47"/>
      <c r="E26" s="47"/>
      <c r="F26" s="47"/>
      <c r="G26" s="47"/>
      <c r="H26" s="47"/>
      <c r="I26" s="47"/>
      <c r="J26" s="47"/>
    </row>
    <row r="27" spans="2:10" x14ac:dyDescent="0.25">
      <c r="B27" s="47"/>
      <c r="C27" s="47"/>
      <c r="D27" s="47"/>
      <c r="E27" s="47"/>
      <c r="F27" s="47"/>
      <c r="G27" s="47"/>
      <c r="H27" s="47"/>
      <c r="I27" s="47"/>
      <c r="J27" s="47"/>
    </row>
    <row r="28" spans="2:10" x14ac:dyDescent="0.25">
      <c r="B28" s="47"/>
      <c r="C28" s="47"/>
      <c r="D28" s="47"/>
      <c r="E28" s="47"/>
      <c r="F28" s="47"/>
      <c r="G28" s="47"/>
      <c r="H28" s="47"/>
      <c r="I28" s="47"/>
      <c r="J28" s="47"/>
    </row>
    <row r="29" spans="2:10" x14ac:dyDescent="0.25">
      <c r="B29" s="47"/>
      <c r="C29" s="47"/>
      <c r="D29" s="47"/>
      <c r="E29" s="47"/>
      <c r="F29" s="47"/>
      <c r="G29" s="47"/>
      <c r="H29" s="47"/>
      <c r="I29" s="47"/>
      <c r="J29" s="47"/>
    </row>
    <row r="30" spans="2:10" x14ac:dyDescent="0.25">
      <c r="B30" s="47"/>
      <c r="C30" s="47"/>
      <c r="D30" s="47"/>
      <c r="E30" s="47"/>
      <c r="F30" s="47"/>
      <c r="G30" s="47"/>
      <c r="H30" s="47"/>
      <c r="I30" s="47"/>
      <c r="J30" s="47"/>
    </row>
    <row r="31" spans="2:10" x14ac:dyDescent="0.25">
      <c r="B31" s="47"/>
      <c r="C31" s="47"/>
      <c r="D31" s="47"/>
      <c r="E31" s="47"/>
      <c r="F31" s="47"/>
      <c r="G31" s="47"/>
      <c r="H31" s="47"/>
      <c r="I31" s="47"/>
      <c r="J31" s="47"/>
    </row>
    <row r="32" spans="2:10" x14ac:dyDescent="0.25">
      <c r="B32" s="47"/>
      <c r="C32" s="47"/>
      <c r="D32" s="47"/>
      <c r="E32" s="47"/>
      <c r="F32" s="47"/>
      <c r="G32" s="47"/>
      <c r="H32" s="47"/>
      <c r="I32" s="47"/>
      <c r="J32" s="47"/>
    </row>
    <row r="33" spans="2:10" x14ac:dyDescent="0.25">
      <c r="B33" s="47"/>
      <c r="C33" s="47"/>
      <c r="D33" s="47"/>
      <c r="E33" s="47"/>
      <c r="F33" s="47"/>
      <c r="G33" s="47"/>
      <c r="H33" s="47"/>
      <c r="I33" s="47"/>
      <c r="J33" s="47"/>
    </row>
    <row r="34" spans="2:10" x14ac:dyDescent="0.25">
      <c r="B34" s="47"/>
      <c r="C34" s="47"/>
      <c r="D34" s="47"/>
      <c r="E34" s="47"/>
      <c r="F34" s="47"/>
      <c r="G34" s="47"/>
      <c r="H34" s="47"/>
      <c r="I34" s="47"/>
      <c r="J34" s="4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Осн.характеристики</vt:lpstr>
      <vt:lpstr>Лист1</vt:lpstr>
      <vt:lpstr>Лист2</vt:lpstr>
      <vt:lpstr>Лист1!Заголовки_для_печати</vt:lpstr>
      <vt:lpstr>Осн.характеристики!Заголовки_для_печати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2024-11-13T07:52:59Z</dcterms:modified>
</cp:coreProperties>
</file>