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Осн.характеристики" sheetId="1" r:id="rId1"/>
    <sheet name="Лист1" sheetId="4" state="hidden" r:id="rId2"/>
    <sheet name="Лист2" sheetId="5" state="hidden" r:id="rId3"/>
  </sheets>
  <definedNames>
    <definedName name="_xlnm.Print_Titles" localSheetId="1">Лист1!$4:$7</definedName>
    <definedName name="_xlnm.Print_Titles" localSheetId="0">Осн.характеристики!$A:$B,Осн.характеристики!$3:$4</definedName>
  </definedNames>
  <calcPr calcId="145621" iterate="1"/>
</workbook>
</file>

<file path=xl/calcChain.xml><?xml version="1.0" encoding="utf-8"?>
<calcChain xmlns="http://schemas.openxmlformats.org/spreadsheetml/2006/main">
  <c r="D40" i="1" l="1"/>
  <c r="C22" i="1"/>
  <c r="C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D28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D22" i="1"/>
  <c r="N24" i="1" l="1"/>
  <c r="N25" i="1"/>
  <c r="O25" i="1"/>
  <c r="N23" i="1"/>
  <c r="N20" i="1"/>
  <c r="N18" i="1"/>
  <c r="N17" i="1"/>
  <c r="N16" i="1"/>
  <c r="N15" i="1"/>
  <c r="N11" i="1"/>
  <c r="N10" i="1"/>
  <c r="N9" i="1"/>
  <c r="N8" i="1"/>
  <c r="L10" i="4" l="1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18" i="4"/>
  <c r="M18" i="4"/>
  <c r="N18" i="4"/>
  <c r="L19" i="4"/>
  <c r="M19" i="4"/>
  <c r="N19" i="4"/>
  <c r="L20" i="4"/>
  <c r="M20" i="4"/>
  <c r="N20" i="4"/>
  <c r="T26" i="1" l="1"/>
  <c r="S26" i="1"/>
  <c r="R26" i="1"/>
  <c r="O33" i="1"/>
  <c r="S30" i="1" l="1"/>
  <c r="T30" i="1"/>
  <c r="R30" i="1"/>
  <c r="O30" i="1" s="1"/>
  <c r="L26" i="1"/>
  <c r="Q26" i="1" s="1"/>
  <c r="K26" i="1"/>
  <c r="P26" i="1" s="1"/>
  <c r="J26" i="1"/>
  <c r="O26" i="1" s="1"/>
  <c r="K25" i="1"/>
  <c r="P25" i="1" s="1"/>
  <c r="L25" i="1"/>
  <c r="Q25" i="1" s="1"/>
  <c r="J25" i="1"/>
  <c r="J51" i="4" l="1"/>
  <c r="K51" i="4"/>
  <c r="I51" i="4"/>
  <c r="W25" i="4"/>
  <c r="V25" i="4"/>
  <c r="AC25" i="4"/>
  <c r="AB25" i="4"/>
  <c r="AA31" i="4"/>
  <c r="AB31" i="4"/>
  <c r="AC31" i="4"/>
  <c r="AA26" i="4"/>
  <c r="AB26" i="4"/>
  <c r="AC26" i="4"/>
  <c r="K25" i="4"/>
  <c r="J25" i="4"/>
  <c r="J26" i="4"/>
  <c r="K26" i="4"/>
  <c r="I26" i="4"/>
  <c r="V26" i="4" l="1"/>
  <c r="W26" i="4"/>
  <c r="U26" i="4"/>
  <c r="Z25" i="4" l="1"/>
  <c r="Y25" i="4"/>
  <c r="Y26" i="4"/>
  <c r="Z26" i="4"/>
  <c r="X26" i="4"/>
  <c r="Q25" i="4"/>
  <c r="P25" i="4"/>
  <c r="T25" i="4"/>
  <c r="S25" i="4"/>
  <c r="O26" i="4"/>
  <c r="P26" i="4"/>
  <c r="Q26" i="4"/>
  <c r="S26" i="4" l="1"/>
  <c r="T26" i="4"/>
  <c r="R26" i="4"/>
  <c r="M27" i="1" l="1"/>
  <c r="H25" i="1"/>
  <c r="Q24" i="1"/>
  <c r="P24" i="1"/>
  <c r="O24" i="1"/>
  <c r="H24" i="1"/>
  <c r="Q23" i="1"/>
  <c r="P23" i="1"/>
  <c r="O23" i="1"/>
  <c r="M23" i="1"/>
  <c r="O21" i="1"/>
  <c r="N21" i="1"/>
  <c r="M21" i="1"/>
  <c r="Q20" i="1"/>
  <c r="P20" i="1"/>
  <c r="O20" i="1"/>
  <c r="M20" i="1"/>
  <c r="Q19" i="1"/>
  <c r="P19" i="1"/>
  <c r="O19" i="1"/>
  <c r="N19" i="1"/>
  <c r="M19" i="1"/>
  <c r="Q18" i="1"/>
  <c r="P18" i="1"/>
  <c r="O18" i="1"/>
  <c r="M18" i="1"/>
  <c r="H18" i="1"/>
  <c r="Q17" i="1"/>
  <c r="P17" i="1"/>
  <c r="O17" i="1"/>
  <c r="M17" i="1"/>
  <c r="Q16" i="1"/>
  <c r="P16" i="1"/>
  <c r="O16" i="1"/>
  <c r="M16" i="1"/>
  <c r="Q15" i="1"/>
  <c r="P15" i="1"/>
  <c r="O15" i="1"/>
  <c r="H15" i="1"/>
  <c r="M15" i="1" s="1"/>
  <c r="H14" i="1"/>
  <c r="M14" i="1" s="1"/>
  <c r="Q13" i="1"/>
  <c r="P13" i="1"/>
  <c r="O13" i="1"/>
  <c r="N13" i="1"/>
  <c r="M13" i="1"/>
  <c r="Q12" i="1"/>
  <c r="P12" i="1"/>
  <c r="O12" i="1"/>
  <c r="N12" i="1"/>
  <c r="M12" i="1"/>
  <c r="Q11" i="1"/>
  <c r="P11" i="1"/>
  <c r="O11" i="1"/>
  <c r="H11" i="1"/>
  <c r="M11" i="1" s="1"/>
  <c r="Q10" i="1"/>
  <c r="P10" i="1"/>
  <c r="O10" i="1"/>
  <c r="N7" i="1"/>
  <c r="H10" i="1"/>
  <c r="M10" i="1" s="1"/>
  <c r="Q9" i="1"/>
  <c r="P9" i="1"/>
  <c r="O9" i="1"/>
  <c r="M9" i="1"/>
  <c r="Q8" i="1"/>
  <c r="P8" i="1"/>
  <c r="O8" i="1"/>
  <c r="M8" i="1"/>
  <c r="H8" i="1"/>
  <c r="H7" i="1" s="1"/>
  <c r="L7" i="1"/>
  <c r="K7" i="1"/>
  <c r="J7" i="1"/>
  <c r="I7" i="1"/>
  <c r="G7" i="1"/>
  <c r="F7" i="1"/>
  <c r="E7" i="1"/>
  <c r="D7" i="1"/>
  <c r="P7" i="1" l="1"/>
  <c r="Q7" i="1"/>
  <c r="O7" i="1"/>
  <c r="M7" i="1"/>
  <c r="M24" i="1"/>
  <c r="G30" i="1"/>
  <c r="F30" i="1"/>
  <c r="I40" i="1" l="1"/>
  <c r="I39" i="1"/>
  <c r="I37" i="1"/>
  <c r="N34" i="1"/>
  <c r="I34" i="1"/>
  <c r="N33" i="1"/>
  <c r="I33" i="1"/>
  <c r="I32" i="1"/>
  <c r="O31" i="1"/>
  <c r="P31" i="1"/>
  <c r="Q31" i="1"/>
  <c r="N31" i="1"/>
  <c r="I31" i="1"/>
  <c r="I30" i="1"/>
  <c r="N30" i="1" s="1"/>
  <c r="M38" i="1" l="1"/>
  <c r="Q36" i="1"/>
  <c r="P36" i="1"/>
  <c r="O36" i="1"/>
  <c r="N36" i="1"/>
  <c r="M36" i="1"/>
  <c r="H40" i="1"/>
  <c r="H39" i="1"/>
  <c r="H37" i="1"/>
  <c r="H34" i="1"/>
  <c r="H33" i="1"/>
  <c r="H32" i="1"/>
  <c r="H30" i="1"/>
  <c r="F45" i="1" l="1"/>
  <c r="N35" i="1" l="1"/>
  <c r="N38" i="1"/>
  <c r="N41" i="1"/>
  <c r="N42" i="1"/>
  <c r="N44" i="1"/>
  <c r="M45" i="1"/>
  <c r="C7" i="1" l="1"/>
  <c r="M46" i="1" l="1"/>
  <c r="H45" i="1" l="1"/>
  <c r="H46" i="1" s="1"/>
  <c r="N40" i="1"/>
  <c r="N39" i="1"/>
  <c r="N37" i="1"/>
  <c r="N32" i="1" l="1"/>
  <c r="N45" i="1" l="1"/>
  <c r="N46" i="1" s="1"/>
  <c r="I45" i="1"/>
  <c r="I46" i="1" s="1"/>
  <c r="D45" i="1"/>
  <c r="C45" i="1"/>
  <c r="C46" i="1" s="1"/>
  <c r="D46" i="1" l="1"/>
  <c r="V25" i="1"/>
  <c r="W25" i="1"/>
  <c r="U25" i="1"/>
  <c r="S24" i="1"/>
  <c r="V24" i="1" s="1"/>
  <c r="R24" i="1" l="1"/>
  <c r="U24" i="1" s="1"/>
  <c r="T24" i="1"/>
  <c r="W24" i="1" s="1"/>
  <c r="C9" i="5" l="1"/>
  <c r="D9" i="5"/>
  <c r="B9" i="5"/>
  <c r="P32" i="1"/>
  <c r="Q32" i="1"/>
  <c r="P33" i="1"/>
  <c r="Q33" i="1"/>
  <c r="P34" i="1"/>
  <c r="Q34" i="1"/>
  <c r="P35" i="1"/>
  <c r="Q35" i="1"/>
  <c r="P37" i="1"/>
  <c r="Q37" i="1"/>
  <c r="P38" i="1"/>
  <c r="Q38" i="1"/>
  <c r="P39" i="1"/>
  <c r="Q39" i="1"/>
  <c r="P40" i="1"/>
  <c r="Q40" i="1"/>
  <c r="O32" i="1"/>
  <c r="O34" i="1"/>
  <c r="O35" i="1"/>
  <c r="O37" i="1"/>
  <c r="O38" i="1"/>
  <c r="O39" i="1"/>
  <c r="O40" i="1"/>
  <c r="K45" i="1"/>
  <c r="L45" i="1"/>
  <c r="J45" i="1"/>
  <c r="T45" i="1" l="1"/>
  <c r="R45" i="1"/>
  <c r="S45" i="1"/>
  <c r="AA51" i="4"/>
  <c r="AB51" i="4"/>
  <c r="AC51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A56" i="4"/>
  <c r="AB56" i="4"/>
  <c r="AC56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P57" i="4"/>
  <c r="P55" i="4"/>
  <c r="AB54" i="4" l="1"/>
  <c r="AA54" i="4"/>
  <c r="AC54" i="4"/>
  <c r="Q30" i="1" l="1"/>
  <c r="P30" i="1"/>
  <c r="K54" i="4" l="1"/>
  <c r="J54" i="4"/>
  <c r="L32" i="4"/>
  <c r="M32" i="4"/>
  <c r="N32" i="4"/>
  <c r="F32" i="4" l="1"/>
  <c r="G32" i="4"/>
  <c r="H32" i="4"/>
  <c r="N34" i="4"/>
  <c r="H34" i="4" s="1"/>
  <c r="L34" i="4"/>
  <c r="F34" i="4" s="1"/>
  <c r="P31" i="4"/>
  <c r="Q31" i="4"/>
  <c r="R31" i="4"/>
  <c r="S31" i="4"/>
  <c r="T31" i="4"/>
  <c r="U31" i="4"/>
  <c r="V31" i="4"/>
  <c r="W31" i="4"/>
  <c r="X31" i="4"/>
  <c r="Y31" i="4"/>
  <c r="Z31" i="4"/>
  <c r="O31" i="4"/>
  <c r="O51" i="4" s="1"/>
  <c r="X43" i="4"/>
  <c r="X52" i="4" s="1"/>
  <c r="Y43" i="4"/>
  <c r="Y52" i="4" s="1"/>
  <c r="Z43" i="4"/>
  <c r="Z52" i="4" s="1"/>
  <c r="AA43" i="4"/>
  <c r="AA52" i="4" s="1"/>
  <c r="AB43" i="4"/>
  <c r="AB52" i="4" s="1"/>
  <c r="AC43" i="4"/>
  <c r="AC52" i="4" s="1"/>
  <c r="U43" i="4"/>
  <c r="U52" i="4" s="1"/>
  <c r="V43" i="4"/>
  <c r="V52" i="4" s="1"/>
  <c r="W43" i="4"/>
  <c r="W52" i="4" s="1"/>
  <c r="R43" i="4"/>
  <c r="R52" i="4" s="1"/>
  <c r="S43" i="4"/>
  <c r="S52" i="4" s="1"/>
  <c r="T43" i="4"/>
  <c r="T52" i="4" s="1"/>
  <c r="P43" i="4"/>
  <c r="P52" i="4" s="1"/>
  <c r="Q43" i="4"/>
  <c r="Q52" i="4" s="1"/>
  <c r="O43" i="4"/>
  <c r="O52" i="4" s="1"/>
  <c r="I48" i="4"/>
  <c r="Z56" i="4" l="1"/>
  <c r="Z54" i="4" s="1"/>
  <c r="Z51" i="4"/>
  <c r="R56" i="4"/>
  <c r="R54" i="4" s="1"/>
  <c r="R51" i="4"/>
  <c r="Y56" i="4"/>
  <c r="Y54" i="4" s="1"/>
  <c r="Y51" i="4"/>
  <c r="U56" i="4"/>
  <c r="U54" i="4" s="1"/>
  <c r="U51" i="4"/>
  <c r="Q56" i="4"/>
  <c r="Q54" i="4" s="1"/>
  <c r="Q51" i="4"/>
  <c r="V56" i="4"/>
  <c r="V54" i="4" s="1"/>
  <c r="V51" i="4"/>
  <c r="X56" i="4"/>
  <c r="X54" i="4" s="1"/>
  <c r="X51" i="4"/>
  <c r="T56" i="4"/>
  <c r="T54" i="4" s="1"/>
  <c r="T51" i="4"/>
  <c r="P56" i="4"/>
  <c r="P51" i="4"/>
  <c r="W56" i="4"/>
  <c r="W54" i="4" s="1"/>
  <c r="W51" i="4"/>
  <c r="S56" i="4"/>
  <c r="S54" i="4" s="1"/>
  <c r="S51" i="4"/>
  <c r="N31" i="4"/>
  <c r="M31" i="4"/>
  <c r="L31" i="4"/>
  <c r="P60" i="4"/>
  <c r="O60" i="4"/>
  <c r="M34" i="4"/>
  <c r="G34" i="4" s="1"/>
  <c r="Q60" i="4"/>
  <c r="F31" i="4" l="1"/>
  <c r="G31" i="4"/>
  <c r="H31" i="4"/>
  <c r="J43" i="4"/>
  <c r="K43" i="4"/>
  <c r="I43" i="4"/>
  <c r="J39" i="4"/>
  <c r="K39" i="4"/>
  <c r="I39" i="4"/>
  <c r="J28" i="4"/>
  <c r="K28" i="4"/>
  <c r="I28" i="4"/>
  <c r="I52" i="4" l="1"/>
  <c r="K52" i="4"/>
  <c r="J52" i="4"/>
  <c r="I49" i="4"/>
  <c r="L9" i="4"/>
  <c r="M9" i="4"/>
  <c r="G9" i="4" s="1"/>
  <c r="N9" i="4"/>
  <c r="H9" i="4" s="1"/>
  <c r="F10" i="4"/>
  <c r="G10" i="4"/>
  <c r="H10" i="4"/>
  <c r="F11" i="4"/>
  <c r="G11" i="4"/>
  <c r="H11" i="4"/>
  <c r="L21" i="4"/>
  <c r="F21" i="4" s="1"/>
  <c r="M21" i="4"/>
  <c r="G21" i="4" s="1"/>
  <c r="N21" i="4"/>
  <c r="H21" i="4" s="1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H12" i="4"/>
  <c r="G12" i="4"/>
  <c r="F12" i="4"/>
  <c r="G8" i="4" l="1"/>
  <c r="G23" i="4" s="1"/>
  <c r="H8" i="4"/>
  <c r="H23" i="4" s="1"/>
  <c r="N8" i="4"/>
  <c r="N23" i="4" s="1"/>
  <c r="M8" i="4"/>
  <c r="M23" i="4" s="1"/>
  <c r="L8" i="4"/>
  <c r="L23" i="4" s="1"/>
  <c r="F9" i="4"/>
  <c r="F8" i="4" s="1"/>
  <c r="F23" i="4" s="1"/>
  <c r="C25" i="4" l="1"/>
  <c r="L27" i="4"/>
  <c r="F27" i="4" s="1"/>
  <c r="M27" i="4"/>
  <c r="G27" i="4" s="1"/>
  <c r="N27" i="4"/>
  <c r="H27" i="4" s="1"/>
  <c r="L29" i="4"/>
  <c r="F29" i="4" s="1"/>
  <c r="M29" i="4"/>
  <c r="G29" i="4" s="1"/>
  <c r="N29" i="4"/>
  <c r="H29" i="4" s="1"/>
  <c r="L30" i="4"/>
  <c r="F30" i="4" s="1"/>
  <c r="M30" i="4"/>
  <c r="G30" i="4" s="1"/>
  <c r="N30" i="4"/>
  <c r="H30" i="4" s="1"/>
  <c r="L33" i="4"/>
  <c r="F33" i="4" s="1"/>
  <c r="M33" i="4"/>
  <c r="G33" i="4" s="1"/>
  <c r="N33" i="4"/>
  <c r="H33" i="4" s="1"/>
  <c r="L35" i="4"/>
  <c r="F35" i="4" s="1"/>
  <c r="M35" i="4"/>
  <c r="G35" i="4" s="1"/>
  <c r="N35" i="4"/>
  <c r="H35" i="4" s="1"/>
  <c r="L36" i="4"/>
  <c r="F36" i="4" s="1"/>
  <c r="M36" i="4"/>
  <c r="G36" i="4" s="1"/>
  <c r="N36" i="4"/>
  <c r="H36" i="4" s="1"/>
  <c r="L37" i="4"/>
  <c r="F37" i="4" s="1"/>
  <c r="M37" i="4"/>
  <c r="G37" i="4" s="1"/>
  <c r="N37" i="4"/>
  <c r="H37" i="4" s="1"/>
  <c r="L38" i="4"/>
  <c r="F38" i="4" s="1"/>
  <c r="M38" i="4"/>
  <c r="G38" i="4" s="1"/>
  <c r="N38" i="4"/>
  <c r="H38" i="4" s="1"/>
  <c r="L39" i="4"/>
  <c r="F39" i="4" s="1"/>
  <c r="M39" i="4"/>
  <c r="G39" i="4" s="1"/>
  <c r="N39" i="4"/>
  <c r="H39" i="4" s="1"/>
  <c r="L40" i="4"/>
  <c r="F40" i="4" s="1"/>
  <c r="M40" i="4"/>
  <c r="G40" i="4" s="1"/>
  <c r="N40" i="4"/>
  <c r="H40" i="4" s="1"/>
  <c r="L41" i="4"/>
  <c r="F41" i="4" s="1"/>
  <c r="M41" i="4"/>
  <c r="G41" i="4" s="1"/>
  <c r="N41" i="4"/>
  <c r="H41" i="4" s="1"/>
  <c r="L42" i="4"/>
  <c r="F42" i="4" s="1"/>
  <c r="M42" i="4"/>
  <c r="G42" i="4" s="1"/>
  <c r="N42" i="4"/>
  <c r="H42" i="4" s="1"/>
  <c r="L44" i="4"/>
  <c r="F44" i="4" s="1"/>
  <c r="M44" i="4"/>
  <c r="G44" i="4" s="1"/>
  <c r="N44" i="4"/>
  <c r="H44" i="4" s="1"/>
  <c r="L45" i="4"/>
  <c r="F45" i="4" s="1"/>
  <c r="M45" i="4"/>
  <c r="G45" i="4" s="1"/>
  <c r="N45" i="4"/>
  <c r="H45" i="4" s="1"/>
  <c r="L46" i="4"/>
  <c r="F46" i="4" s="1"/>
  <c r="M46" i="4"/>
  <c r="G46" i="4" s="1"/>
  <c r="N46" i="4"/>
  <c r="H46" i="4" s="1"/>
  <c r="L47" i="4"/>
  <c r="F47" i="4" s="1"/>
  <c r="M47" i="4"/>
  <c r="G47" i="4" s="1"/>
  <c r="N47" i="4"/>
  <c r="H47" i="4" s="1"/>
  <c r="M25" i="4"/>
  <c r="G25" i="4" s="1"/>
  <c r="N25" i="4"/>
  <c r="H25" i="4" s="1"/>
  <c r="L25" i="4"/>
  <c r="F25" i="4" s="1"/>
  <c r="C9" i="4"/>
  <c r="C49" i="4"/>
  <c r="D49" i="4"/>
  <c r="E49" i="4"/>
  <c r="AB49" i="4"/>
  <c r="P54" i="4"/>
  <c r="Z49" i="4"/>
  <c r="AC49" i="4"/>
  <c r="L26" i="4"/>
  <c r="M26" i="4"/>
  <c r="Q49" i="4"/>
  <c r="N26" i="4"/>
  <c r="X49" i="4"/>
  <c r="G48" i="4" l="1"/>
  <c r="T49" i="4"/>
  <c r="F48" i="4"/>
  <c r="F50" i="4" s="1"/>
  <c r="H48" i="4"/>
  <c r="W49" i="4"/>
  <c r="N43" i="4"/>
  <c r="H43" i="4" s="1"/>
  <c r="L43" i="4"/>
  <c r="F43" i="4" s="1"/>
  <c r="N28" i="4"/>
  <c r="N51" i="4" s="1"/>
  <c r="H51" i="4" s="1"/>
  <c r="M28" i="4"/>
  <c r="M51" i="4" s="1"/>
  <c r="G51" i="4" s="1"/>
  <c r="S49" i="4"/>
  <c r="L28" i="4"/>
  <c r="L51" i="4" s="1"/>
  <c r="F51" i="4" s="1"/>
  <c r="V49" i="4"/>
  <c r="Y49" i="4"/>
  <c r="R49" i="4"/>
  <c r="U49" i="4"/>
  <c r="P49" i="4"/>
  <c r="M43" i="4"/>
  <c r="G43" i="4" s="1"/>
  <c r="AA49" i="4"/>
  <c r="O49" i="4"/>
  <c r="L52" i="4" l="1"/>
  <c r="F52" i="4" s="1"/>
  <c r="M52" i="4"/>
  <c r="G52" i="4" s="1"/>
  <c r="N52" i="4"/>
  <c r="H52" i="4" s="1"/>
  <c r="G50" i="4"/>
  <c r="H50" i="4"/>
  <c r="N49" i="4"/>
  <c r="M49" i="4"/>
  <c r="L49" i="4"/>
  <c r="J48" i="4"/>
  <c r="J53" i="4" s="1"/>
  <c r="K48" i="4"/>
  <c r="K53" i="4" s="1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G28" i="4"/>
  <c r="H28" i="4"/>
  <c r="G26" i="4"/>
  <c r="H26" i="4"/>
  <c r="F26" i="4"/>
  <c r="I8" i="4"/>
  <c r="Z53" i="4" l="1"/>
  <c r="V53" i="4"/>
  <c r="AC53" i="4"/>
  <c r="Y53" i="4"/>
  <c r="Q53" i="4"/>
  <c r="AB53" i="4"/>
  <c r="T53" i="4"/>
  <c r="P53" i="4"/>
  <c r="W53" i="4"/>
  <c r="S53" i="4"/>
  <c r="H49" i="4"/>
  <c r="G49" i="4"/>
  <c r="F28" i="4"/>
  <c r="F49" i="4" s="1"/>
  <c r="K49" i="4"/>
  <c r="J49" i="4"/>
  <c r="N48" i="4"/>
  <c r="N50" i="4" s="1"/>
  <c r="M48" i="4"/>
  <c r="M50" i="4" s="1"/>
  <c r="L48" i="4"/>
  <c r="L50" i="4" s="1"/>
  <c r="C46" i="4" l="1"/>
  <c r="C27" i="4" l="1"/>
  <c r="D27" i="4"/>
  <c r="E27" i="4"/>
  <c r="C29" i="4"/>
  <c r="D29" i="4"/>
  <c r="E29" i="4"/>
  <c r="C30" i="4"/>
  <c r="D30" i="4"/>
  <c r="E30" i="4"/>
  <c r="C33" i="4"/>
  <c r="C36" i="4"/>
  <c r="D36" i="4"/>
  <c r="E36" i="4"/>
  <c r="C37" i="4"/>
  <c r="D37" i="4"/>
  <c r="E37" i="4"/>
  <c r="C38" i="4"/>
  <c r="D38" i="4"/>
  <c r="E38" i="4"/>
  <c r="C40" i="4"/>
  <c r="D40" i="4"/>
  <c r="E40" i="4"/>
  <c r="C41" i="4"/>
  <c r="D41" i="4"/>
  <c r="E41" i="4"/>
  <c r="C42" i="4"/>
  <c r="D42" i="4"/>
  <c r="E42" i="4"/>
  <c r="C44" i="4"/>
  <c r="D44" i="4"/>
  <c r="E44" i="4"/>
  <c r="C45" i="4"/>
  <c r="D45" i="4"/>
  <c r="E45" i="4"/>
  <c r="D46" i="4"/>
  <c r="E46" i="4"/>
  <c r="C47" i="4"/>
  <c r="D47" i="4"/>
  <c r="E47" i="4"/>
  <c r="E25" i="4"/>
  <c r="D25" i="4"/>
  <c r="C10" i="4"/>
  <c r="D10" i="4"/>
  <c r="E10" i="4"/>
  <c r="C11" i="4"/>
  <c r="D11" i="4"/>
  <c r="E11" i="4"/>
  <c r="C12" i="4"/>
  <c r="D12" i="4"/>
  <c r="E12" i="4"/>
  <c r="C13" i="4"/>
  <c r="D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D9" i="4"/>
  <c r="E9" i="4"/>
  <c r="C8" i="4" l="1"/>
  <c r="I23" i="4" l="1"/>
  <c r="J8" i="4"/>
  <c r="J23" i="4" s="1"/>
  <c r="K8" i="4"/>
  <c r="K23" i="4" s="1"/>
  <c r="K50" i="4" l="1"/>
  <c r="I50" i="4"/>
  <c r="J50" i="4"/>
  <c r="D33" i="4" l="1"/>
  <c r="E33" i="4" l="1"/>
  <c r="E48" i="4" s="1"/>
  <c r="W8" i="4"/>
  <c r="W23" i="4" s="1"/>
  <c r="V8" i="4"/>
  <c r="V23" i="4" s="1"/>
  <c r="U8" i="4"/>
  <c r="U23" i="4" s="1"/>
  <c r="AC8" i="4"/>
  <c r="AC23" i="4" s="1"/>
  <c r="AB8" i="4"/>
  <c r="AB23" i="4" s="1"/>
  <c r="AA8" i="4"/>
  <c r="AA23" i="4" s="1"/>
  <c r="Z8" i="4"/>
  <c r="Z23" i="4" s="1"/>
  <c r="Y8" i="4"/>
  <c r="Y23" i="4" s="1"/>
  <c r="X8" i="4"/>
  <c r="X23" i="4" s="1"/>
  <c r="T8" i="4"/>
  <c r="T23" i="4" s="1"/>
  <c r="S8" i="4"/>
  <c r="S23" i="4" s="1"/>
  <c r="R8" i="4"/>
  <c r="R23" i="4" s="1"/>
  <c r="Q8" i="4"/>
  <c r="Q23" i="4" s="1"/>
  <c r="P8" i="4"/>
  <c r="P23" i="4" s="1"/>
  <c r="O8" i="4"/>
  <c r="O23" i="4" l="1"/>
  <c r="O50" i="4" s="1"/>
  <c r="P50" i="4"/>
  <c r="Q50" i="4"/>
  <c r="W50" i="4"/>
  <c r="V50" i="4"/>
  <c r="U50" i="4"/>
  <c r="T50" i="4"/>
  <c r="S50" i="4"/>
  <c r="R50" i="4"/>
  <c r="X50" i="4"/>
  <c r="Y50" i="4"/>
  <c r="Z50" i="4"/>
  <c r="AC50" i="4"/>
  <c r="AB50" i="4"/>
  <c r="AA50" i="4"/>
  <c r="C48" i="4"/>
  <c r="E8" i="4"/>
  <c r="E23" i="4" s="1"/>
  <c r="E50" i="4" s="1"/>
  <c r="D8" i="4"/>
  <c r="D23" i="4" s="1"/>
  <c r="C23" i="4"/>
  <c r="D48" i="4"/>
  <c r="C50" i="4" l="1"/>
  <c r="D50" i="4"/>
  <c r="P44" i="1" l="1"/>
  <c r="Q44" i="1"/>
  <c r="O44" i="1"/>
  <c r="G45" i="1" l="1"/>
  <c r="E45" i="1"/>
  <c r="O41" i="1" l="1"/>
  <c r="P41" i="1"/>
  <c r="P45" i="1" s="1"/>
  <c r="Q41" i="1"/>
  <c r="O42" i="1"/>
  <c r="P42" i="1"/>
  <c r="Q42" i="1"/>
  <c r="B6" i="5" l="1"/>
  <c r="B4" i="5" s="1"/>
  <c r="B16" i="5" s="1"/>
  <c r="D6" i="5"/>
  <c r="D4" i="5" s="1"/>
  <c r="D16" i="5" s="1"/>
  <c r="C6" i="5"/>
  <c r="C4" i="5" s="1"/>
  <c r="C16" i="5" s="1"/>
  <c r="O45" i="1"/>
  <c r="Q45" i="1"/>
  <c r="E46" i="1"/>
  <c r="L46" i="1"/>
  <c r="K46" i="1"/>
  <c r="J46" i="1"/>
  <c r="F46" i="1"/>
  <c r="G46" i="1"/>
  <c r="B18" i="5" l="1"/>
  <c r="D18" i="5"/>
  <c r="C18" i="5"/>
  <c r="Q46" i="1"/>
  <c r="P46" i="1"/>
  <c r="O46" i="1"/>
</calcChain>
</file>

<file path=xl/sharedStrings.xml><?xml version="1.0" encoding="utf-8"?>
<sst xmlns="http://schemas.openxmlformats.org/spreadsheetml/2006/main" count="218" uniqueCount="119">
  <si>
    <t xml:space="preserve">Код бюджетной классификации </t>
  </si>
  <si>
    <t xml:space="preserve">Наименование 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</si>
  <si>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</si>
  <si>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</si>
  <si>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</si>
  <si>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</si>
  <si>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</si>
  <si>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</si>
  <si>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</si>
  <si>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</si>
  <si>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</si>
  <si>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</si>
  <si>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</si>
  <si>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</si>
  <si>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</si>
  <si>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</si>
  <si>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</si>
  <si>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</si>
  <si>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</si>
  <si>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</si>
  <si>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</si>
  <si>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</si>
  <si>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</si>
  <si>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</si>
  <si>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</si>
  <si>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</si>
  <si>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</si>
  <si>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</si>
  <si>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</si>
  <si>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</si>
  <si>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ИТОГО ДОХОДОВ</t>
  </si>
  <si>
    <t>РАСХОДЫ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</si>
  <si>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</si>
  <si>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</si>
  <si>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</si>
  <si>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</si>
  <si>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</si>
  <si>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</si>
  <si>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</si>
  <si>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</si>
  <si>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</si>
  <si>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</si>
  <si>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</si>
  <si>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</si>
  <si>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</si>
  <si>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</si>
  <si>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</si>
  <si>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</si>
  <si>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</si>
  <si>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</si>
  <si>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</si>
  <si>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</si>
  <si>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</si>
  <si>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</si>
  <si>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</si>
  <si>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</si>
  <si>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</si>
  <si>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</si>
  <si>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</si>
  <si>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</si>
  <si>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ИТОГО РАСХОДОВ</t>
  </si>
  <si>
    <t>ДЕФИЦИТ БЮДЖЕТА (-), ПРОФИЦИТ БЮДЖЕТА (+)</t>
  </si>
  <si>
    <t>Бюджет муниципального района</t>
  </si>
  <si>
    <t>Бюджеты поселений</t>
  </si>
  <si>
    <t>Консолидированный бюджет района</t>
  </si>
  <si>
    <t>2020 год</t>
  </si>
  <si>
    <t>рублей</t>
  </si>
  <si>
    <t>9999</t>
  </si>
  <si>
    <t>УСЛОВНО УТВЕРЖДЕННЫЕ РАСХОДЫ</t>
  </si>
  <si>
    <t>2021 год</t>
  </si>
  <si>
    <t>ПРОГНОЗ ОСНОВНЫХ ХАРАКТЕРИСТИК КОНСОЛИДИРОВАННОГО БЮДЖЕТА КЛЕТНЯНСКОГО РАЙОНА НА 2020 ГОД И НА ПЛАНОВЫЙ ПЕРИОД 2021 И 2022 ГОДОВ</t>
  </si>
  <si>
    <t>2022 год</t>
  </si>
  <si>
    <t>Акуличи</t>
  </si>
  <si>
    <t>от района</t>
  </si>
  <si>
    <t>в район</t>
  </si>
  <si>
    <t>Всего</t>
  </si>
  <si>
    <t>Клетня</t>
  </si>
  <si>
    <t>Лутна</t>
  </si>
  <si>
    <t>Мирный</t>
  </si>
  <si>
    <t>Мужиново</t>
  </si>
  <si>
    <t>Надва</t>
  </si>
  <si>
    <t>Целевые МБТ</t>
  </si>
  <si>
    <t>ВУС</t>
  </si>
  <si>
    <t>дороги</t>
  </si>
  <si>
    <t>жилье</t>
  </si>
  <si>
    <t>вода</t>
  </si>
  <si>
    <t>2024 год</t>
  </si>
  <si>
    <t>СД</t>
  </si>
  <si>
    <t>с/п</t>
  </si>
  <si>
    <t>МР</t>
  </si>
  <si>
    <t>Дотации</t>
  </si>
  <si>
    <t>Субсидии</t>
  </si>
  <si>
    <t>Субвенции</t>
  </si>
  <si>
    <t>Иные МБТ</t>
  </si>
  <si>
    <t>Консолидация</t>
  </si>
  <si>
    <t>дор.фонд</t>
  </si>
  <si>
    <t>2025 год</t>
  </si>
  <si>
    <t>МБТ из МР</t>
  </si>
  <si>
    <t>МБТ от поселений в район</t>
  </si>
  <si>
    <t>п</t>
  </si>
  <si>
    <t>г/п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</si>
  <si>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</si>
  <si>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</si>
  <si>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</si>
  <si>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</si>
  <si>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</si>
  <si>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</si>
  <si>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</si>
  <si>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</si>
  <si>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1 09 00000 00 0000 000</t>
  </si>
  <si>
    <t xml:space="preserve">ЗАДОЛЖЕННОСТЬ И ПЕРЕРАСЧЕТЫ ПО ОТМЕНЕННЫМ НАЛОГАМ, СБОРАМ И ИНЫМ ОБЯЗАТЕЛЬНЫМ ПЛАТЕЖАМ
</t>
  </si>
  <si>
    <t>1 17 00000 00 0000 000</t>
  </si>
  <si>
    <t>ПРОЧИЕ НЕНАЛОГОВЫЕ ДОХОДЫ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</si>
  <si>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</si>
  <si>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</si>
  <si>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2022 год (исполнение)</t>
  </si>
  <si>
    <t>2023 год (оценка)</t>
  </si>
  <si>
    <t>ПРОГНОЗ ОСНОВНЫХ ХАРАКТЕРИСТИК КОНСОЛИДИРОВАННОГО БЮДЖЕТА КЛЕТНЯНСКОГО РАЙОНА 
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</si>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</sst>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_р_.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3" xfId="0" quotePrefix="1" applyNumberFormat="1" applyFont="1" applyFill="1" applyBorder="1" applyAlignment="1">
      <alignment horizontal="center" vertical="center" wrapText="1"/>
    </xf>
    <xf numFmtId="49" fontId="2" fillId="0" borderId="4" xfId="0" quotePrefix="1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49" fontId="2" fillId="3" borderId="2" xfId="0" quotePrefix="1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right" vertical="center"/>
    </xf>
    <xf numFmtId="0" fontId="1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4" fontId="2" fillId="6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/>
    <xf numFmtId="4" fontId="7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7" fillId="0" borderId="2" xfId="0" applyFont="1" applyBorder="1"/>
    <xf numFmtId="4" fontId="7" fillId="0" borderId="2" xfId="0" applyNumberFormat="1" applyFont="1" applyBorder="1"/>
    <xf numFmtId="4" fontId="5" fillId="7" borderId="2" xfId="0" applyNumberFormat="1" applyFont="1" applyFill="1" applyBorder="1" applyAlignment="1">
      <alignment horizontal="right" vertical="center"/>
    </xf>
    <xf numFmtId="49" fontId="6" fillId="7" borderId="2" xfId="0" applyNumberFormat="1" applyFont="1" applyFill="1" applyBorder="1" applyAlignment="1">
      <alignment horizontal="center" vertical="center" wrapText="1"/>
    </xf>
    <xf numFmtId="0" fontId="2" fillId="7" borderId="2" xfId="0" applyNumberFormat="1" applyFont="1" applyFill="1" applyBorder="1" applyAlignment="1">
      <alignment horizontal="left" vertical="center" wrapText="1"/>
    </xf>
    <xf numFmtId="165" fontId="2" fillId="7" borderId="2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vertical="center" wrapText="1"/>
    </xf>
    <xf numFmtId="165" fontId="1" fillId="3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zoomScale="78" zoomScaleNormal="78" workbookViewId="0">
      <pane xSplit="2" ySplit="4" topLeftCell="C29" activePane="bottomRight" state="frozen"/>
      <selection pane="topRight" activeCell="C1" sqref="C1"/>
      <selection pane="bottomLeft" activeCell="A7" sqref="A7"/>
      <selection pane="bottomRight" activeCell="C1" sqref="C1:L1"/>
    </sheetView>
  </sheetViews>
  <sheetFormatPr defaultRowHeight="15.75" x14ac:dyDescent="0.25"/>
  <cols>
    <col min="1" max="1" width="12.7109375" style="1" customWidth="1"/>
    <col min="2" max="2" width="35.7109375" style="1" customWidth="1"/>
    <col min="3" max="6" width="16.42578125" style="1" customWidth="1"/>
    <col min="7" max="7" width="16.7109375" style="1" customWidth="1"/>
    <col min="8" max="8" width="16.140625" style="1" customWidth="1"/>
    <col min="9" max="9" width="17.28515625" style="1" customWidth="1"/>
    <col min="10" max="12" width="16.140625" style="1" customWidth="1"/>
    <col min="13" max="13" width="17.5703125" style="1" customWidth="1"/>
    <col min="14" max="14" width="17.42578125" style="1" customWidth="1"/>
    <col min="15" max="17" width="16.5703125" style="1" customWidth="1"/>
    <col min="18" max="18" width="18.85546875" style="1" hidden="1" customWidth="1"/>
    <col min="19" max="20" width="13.7109375" style="1" hidden="1" customWidth="1"/>
    <col min="21" max="21" width="17.5703125" style="1" hidden="1" customWidth="1"/>
    <col min="22" max="23" width="15.85546875" style="1" hidden="1" customWidth="1"/>
    <col min="24" max="259" width="9.140625" style="1"/>
    <col min="260" max="260" width="25.7109375" style="1" customWidth="1"/>
    <col min="261" max="261" width="36.7109375" style="1" customWidth="1"/>
    <col min="262" max="262" width="20.140625" style="1" customWidth="1"/>
    <col min="263" max="263" width="20" style="1" customWidth="1"/>
    <col min="264" max="264" width="21.28515625" style="1" customWidth="1"/>
    <col min="265" max="267" width="19" style="1" bestFit="1" customWidth="1"/>
    <col min="268" max="270" width="20.7109375" style="1" bestFit="1" customWidth="1"/>
    <col min="271" max="272" width="14.42578125" style="1" customWidth="1"/>
    <col min="273" max="273" width="14" style="1" customWidth="1"/>
    <col min="274" max="515" width="9.140625" style="1"/>
    <col min="516" max="516" width="25.7109375" style="1" customWidth="1"/>
    <col min="517" max="517" width="36.7109375" style="1" customWidth="1"/>
    <col min="518" max="518" width="20.140625" style="1" customWidth="1"/>
    <col min="519" max="519" width="20" style="1" customWidth="1"/>
    <col min="520" max="520" width="21.28515625" style="1" customWidth="1"/>
    <col min="521" max="523" width="19" style="1" bestFit="1" customWidth="1"/>
    <col min="524" max="526" width="20.7109375" style="1" bestFit="1" customWidth="1"/>
    <col min="527" max="528" width="14.42578125" style="1" customWidth="1"/>
    <col min="529" max="529" width="14" style="1" customWidth="1"/>
    <col min="530" max="771" width="9.140625" style="1"/>
    <col min="772" max="772" width="25.7109375" style="1" customWidth="1"/>
    <col min="773" max="773" width="36.7109375" style="1" customWidth="1"/>
    <col min="774" max="774" width="20.140625" style="1" customWidth="1"/>
    <col min="775" max="775" width="20" style="1" customWidth="1"/>
    <col min="776" max="776" width="21.28515625" style="1" customWidth="1"/>
    <col min="777" max="779" width="19" style="1" bestFit="1" customWidth="1"/>
    <col min="780" max="782" width="20.7109375" style="1" bestFit="1" customWidth="1"/>
    <col min="783" max="784" width="14.42578125" style="1" customWidth="1"/>
    <col min="785" max="785" width="14" style="1" customWidth="1"/>
    <col min="786" max="1027" width="9.140625" style="1"/>
    <col min="1028" max="1028" width="25.7109375" style="1" customWidth="1"/>
    <col min="1029" max="1029" width="36.7109375" style="1" customWidth="1"/>
    <col min="1030" max="1030" width="20.140625" style="1" customWidth="1"/>
    <col min="1031" max="1031" width="20" style="1" customWidth="1"/>
    <col min="1032" max="1032" width="21.28515625" style="1" customWidth="1"/>
    <col min="1033" max="1035" width="19" style="1" bestFit="1" customWidth="1"/>
    <col min="1036" max="1038" width="20.7109375" style="1" bestFit="1" customWidth="1"/>
    <col min="1039" max="1040" width="14.42578125" style="1" customWidth="1"/>
    <col min="1041" max="1041" width="14" style="1" customWidth="1"/>
    <col min="1042" max="1283" width="9.140625" style="1"/>
    <col min="1284" max="1284" width="25.7109375" style="1" customWidth="1"/>
    <col min="1285" max="1285" width="36.7109375" style="1" customWidth="1"/>
    <col min="1286" max="1286" width="20.140625" style="1" customWidth="1"/>
    <col min="1287" max="1287" width="20" style="1" customWidth="1"/>
    <col min="1288" max="1288" width="21.28515625" style="1" customWidth="1"/>
    <col min="1289" max="1291" width="19" style="1" bestFit="1" customWidth="1"/>
    <col min="1292" max="1294" width="20.7109375" style="1" bestFit="1" customWidth="1"/>
    <col min="1295" max="1296" width="14.42578125" style="1" customWidth="1"/>
    <col min="1297" max="1297" width="14" style="1" customWidth="1"/>
    <col min="1298" max="1539" width="9.140625" style="1"/>
    <col min="1540" max="1540" width="25.7109375" style="1" customWidth="1"/>
    <col min="1541" max="1541" width="36.7109375" style="1" customWidth="1"/>
    <col min="1542" max="1542" width="20.140625" style="1" customWidth="1"/>
    <col min="1543" max="1543" width="20" style="1" customWidth="1"/>
    <col min="1544" max="1544" width="21.28515625" style="1" customWidth="1"/>
    <col min="1545" max="1547" width="19" style="1" bestFit="1" customWidth="1"/>
    <col min="1548" max="1550" width="20.7109375" style="1" bestFit="1" customWidth="1"/>
    <col min="1551" max="1552" width="14.42578125" style="1" customWidth="1"/>
    <col min="1553" max="1553" width="14" style="1" customWidth="1"/>
    <col min="1554" max="1795" width="9.140625" style="1"/>
    <col min="1796" max="1796" width="25.7109375" style="1" customWidth="1"/>
    <col min="1797" max="1797" width="36.7109375" style="1" customWidth="1"/>
    <col min="1798" max="1798" width="20.140625" style="1" customWidth="1"/>
    <col min="1799" max="1799" width="20" style="1" customWidth="1"/>
    <col min="1800" max="1800" width="21.28515625" style="1" customWidth="1"/>
    <col min="1801" max="1803" width="19" style="1" bestFit="1" customWidth="1"/>
    <col min="1804" max="1806" width="20.7109375" style="1" bestFit="1" customWidth="1"/>
    <col min="1807" max="1808" width="14.42578125" style="1" customWidth="1"/>
    <col min="1809" max="1809" width="14" style="1" customWidth="1"/>
    <col min="1810" max="2051" width="9.140625" style="1"/>
    <col min="2052" max="2052" width="25.7109375" style="1" customWidth="1"/>
    <col min="2053" max="2053" width="36.7109375" style="1" customWidth="1"/>
    <col min="2054" max="2054" width="20.140625" style="1" customWidth="1"/>
    <col min="2055" max="2055" width="20" style="1" customWidth="1"/>
    <col min="2056" max="2056" width="21.28515625" style="1" customWidth="1"/>
    <col min="2057" max="2059" width="19" style="1" bestFit="1" customWidth="1"/>
    <col min="2060" max="2062" width="20.7109375" style="1" bestFit="1" customWidth="1"/>
    <col min="2063" max="2064" width="14.42578125" style="1" customWidth="1"/>
    <col min="2065" max="2065" width="14" style="1" customWidth="1"/>
    <col min="2066" max="2307" width="9.140625" style="1"/>
    <col min="2308" max="2308" width="25.7109375" style="1" customWidth="1"/>
    <col min="2309" max="2309" width="36.7109375" style="1" customWidth="1"/>
    <col min="2310" max="2310" width="20.140625" style="1" customWidth="1"/>
    <col min="2311" max="2311" width="20" style="1" customWidth="1"/>
    <col min="2312" max="2312" width="21.28515625" style="1" customWidth="1"/>
    <col min="2313" max="2315" width="19" style="1" bestFit="1" customWidth="1"/>
    <col min="2316" max="2318" width="20.7109375" style="1" bestFit="1" customWidth="1"/>
    <col min="2319" max="2320" width="14.42578125" style="1" customWidth="1"/>
    <col min="2321" max="2321" width="14" style="1" customWidth="1"/>
    <col min="2322" max="2563" width="9.140625" style="1"/>
    <col min="2564" max="2564" width="25.7109375" style="1" customWidth="1"/>
    <col min="2565" max="2565" width="36.7109375" style="1" customWidth="1"/>
    <col min="2566" max="2566" width="20.140625" style="1" customWidth="1"/>
    <col min="2567" max="2567" width="20" style="1" customWidth="1"/>
    <col min="2568" max="2568" width="21.28515625" style="1" customWidth="1"/>
    <col min="2569" max="2571" width="19" style="1" bestFit="1" customWidth="1"/>
    <col min="2572" max="2574" width="20.7109375" style="1" bestFit="1" customWidth="1"/>
    <col min="2575" max="2576" width="14.42578125" style="1" customWidth="1"/>
    <col min="2577" max="2577" width="14" style="1" customWidth="1"/>
    <col min="2578" max="2819" width="9.140625" style="1"/>
    <col min="2820" max="2820" width="25.7109375" style="1" customWidth="1"/>
    <col min="2821" max="2821" width="36.7109375" style="1" customWidth="1"/>
    <col min="2822" max="2822" width="20.140625" style="1" customWidth="1"/>
    <col min="2823" max="2823" width="20" style="1" customWidth="1"/>
    <col min="2824" max="2824" width="21.28515625" style="1" customWidth="1"/>
    <col min="2825" max="2827" width="19" style="1" bestFit="1" customWidth="1"/>
    <col min="2828" max="2830" width="20.7109375" style="1" bestFit="1" customWidth="1"/>
    <col min="2831" max="2832" width="14.42578125" style="1" customWidth="1"/>
    <col min="2833" max="2833" width="14" style="1" customWidth="1"/>
    <col min="2834" max="3075" width="9.140625" style="1"/>
    <col min="3076" max="3076" width="25.7109375" style="1" customWidth="1"/>
    <col min="3077" max="3077" width="36.7109375" style="1" customWidth="1"/>
    <col min="3078" max="3078" width="20.140625" style="1" customWidth="1"/>
    <col min="3079" max="3079" width="20" style="1" customWidth="1"/>
    <col min="3080" max="3080" width="21.28515625" style="1" customWidth="1"/>
    <col min="3081" max="3083" width="19" style="1" bestFit="1" customWidth="1"/>
    <col min="3084" max="3086" width="20.7109375" style="1" bestFit="1" customWidth="1"/>
    <col min="3087" max="3088" width="14.42578125" style="1" customWidth="1"/>
    <col min="3089" max="3089" width="14" style="1" customWidth="1"/>
    <col min="3090" max="3331" width="9.140625" style="1"/>
    <col min="3332" max="3332" width="25.7109375" style="1" customWidth="1"/>
    <col min="3333" max="3333" width="36.7109375" style="1" customWidth="1"/>
    <col min="3334" max="3334" width="20.140625" style="1" customWidth="1"/>
    <col min="3335" max="3335" width="20" style="1" customWidth="1"/>
    <col min="3336" max="3336" width="21.28515625" style="1" customWidth="1"/>
    <col min="3337" max="3339" width="19" style="1" bestFit="1" customWidth="1"/>
    <col min="3340" max="3342" width="20.7109375" style="1" bestFit="1" customWidth="1"/>
    <col min="3343" max="3344" width="14.42578125" style="1" customWidth="1"/>
    <col min="3345" max="3345" width="14" style="1" customWidth="1"/>
    <col min="3346" max="3587" width="9.140625" style="1"/>
    <col min="3588" max="3588" width="25.7109375" style="1" customWidth="1"/>
    <col min="3589" max="3589" width="36.7109375" style="1" customWidth="1"/>
    <col min="3590" max="3590" width="20.140625" style="1" customWidth="1"/>
    <col min="3591" max="3591" width="20" style="1" customWidth="1"/>
    <col min="3592" max="3592" width="21.28515625" style="1" customWidth="1"/>
    <col min="3593" max="3595" width="19" style="1" bestFit="1" customWidth="1"/>
    <col min="3596" max="3598" width="20.7109375" style="1" bestFit="1" customWidth="1"/>
    <col min="3599" max="3600" width="14.42578125" style="1" customWidth="1"/>
    <col min="3601" max="3601" width="14" style="1" customWidth="1"/>
    <col min="3602" max="3843" width="9.140625" style="1"/>
    <col min="3844" max="3844" width="25.7109375" style="1" customWidth="1"/>
    <col min="3845" max="3845" width="36.7109375" style="1" customWidth="1"/>
    <col min="3846" max="3846" width="20.140625" style="1" customWidth="1"/>
    <col min="3847" max="3847" width="20" style="1" customWidth="1"/>
    <col min="3848" max="3848" width="21.28515625" style="1" customWidth="1"/>
    <col min="3849" max="3851" width="19" style="1" bestFit="1" customWidth="1"/>
    <col min="3852" max="3854" width="20.7109375" style="1" bestFit="1" customWidth="1"/>
    <col min="3855" max="3856" width="14.42578125" style="1" customWidth="1"/>
    <col min="3857" max="3857" width="14" style="1" customWidth="1"/>
    <col min="3858" max="4099" width="9.140625" style="1"/>
    <col min="4100" max="4100" width="25.7109375" style="1" customWidth="1"/>
    <col min="4101" max="4101" width="36.7109375" style="1" customWidth="1"/>
    <col min="4102" max="4102" width="20.140625" style="1" customWidth="1"/>
    <col min="4103" max="4103" width="20" style="1" customWidth="1"/>
    <col min="4104" max="4104" width="21.28515625" style="1" customWidth="1"/>
    <col min="4105" max="4107" width="19" style="1" bestFit="1" customWidth="1"/>
    <col min="4108" max="4110" width="20.7109375" style="1" bestFit="1" customWidth="1"/>
    <col min="4111" max="4112" width="14.42578125" style="1" customWidth="1"/>
    <col min="4113" max="4113" width="14" style="1" customWidth="1"/>
    <col min="4114" max="4355" width="9.140625" style="1"/>
    <col min="4356" max="4356" width="25.7109375" style="1" customWidth="1"/>
    <col min="4357" max="4357" width="36.7109375" style="1" customWidth="1"/>
    <col min="4358" max="4358" width="20.140625" style="1" customWidth="1"/>
    <col min="4359" max="4359" width="20" style="1" customWidth="1"/>
    <col min="4360" max="4360" width="21.28515625" style="1" customWidth="1"/>
    <col min="4361" max="4363" width="19" style="1" bestFit="1" customWidth="1"/>
    <col min="4364" max="4366" width="20.7109375" style="1" bestFit="1" customWidth="1"/>
    <col min="4367" max="4368" width="14.42578125" style="1" customWidth="1"/>
    <col min="4369" max="4369" width="14" style="1" customWidth="1"/>
    <col min="4370" max="4611" width="9.140625" style="1"/>
    <col min="4612" max="4612" width="25.7109375" style="1" customWidth="1"/>
    <col min="4613" max="4613" width="36.7109375" style="1" customWidth="1"/>
    <col min="4614" max="4614" width="20.140625" style="1" customWidth="1"/>
    <col min="4615" max="4615" width="20" style="1" customWidth="1"/>
    <col min="4616" max="4616" width="21.28515625" style="1" customWidth="1"/>
    <col min="4617" max="4619" width="19" style="1" bestFit="1" customWidth="1"/>
    <col min="4620" max="4622" width="20.7109375" style="1" bestFit="1" customWidth="1"/>
    <col min="4623" max="4624" width="14.42578125" style="1" customWidth="1"/>
    <col min="4625" max="4625" width="14" style="1" customWidth="1"/>
    <col min="4626" max="4867" width="9.140625" style="1"/>
    <col min="4868" max="4868" width="25.7109375" style="1" customWidth="1"/>
    <col min="4869" max="4869" width="36.7109375" style="1" customWidth="1"/>
    <col min="4870" max="4870" width="20.140625" style="1" customWidth="1"/>
    <col min="4871" max="4871" width="20" style="1" customWidth="1"/>
    <col min="4872" max="4872" width="21.28515625" style="1" customWidth="1"/>
    <col min="4873" max="4875" width="19" style="1" bestFit="1" customWidth="1"/>
    <col min="4876" max="4878" width="20.7109375" style="1" bestFit="1" customWidth="1"/>
    <col min="4879" max="4880" width="14.42578125" style="1" customWidth="1"/>
    <col min="4881" max="4881" width="14" style="1" customWidth="1"/>
    <col min="4882" max="5123" width="9.140625" style="1"/>
    <col min="5124" max="5124" width="25.7109375" style="1" customWidth="1"/>
    <col min="5125" max="5125" width="36.7109375" style="1" customWidth="1"/>
    <col min="5126" max="5126" width="20.140625" style="1" customWidth="1"/>
    <col min="5127" max="5127" width="20" style="1" customWidth="1"/>
    <col min="5128" max="5128" width="21.28515625" style="1" customWidth="1"/>
    <col min="5129" max="5131" width="19" style="1" bestFit="1" customWidth="1"/>
    <col min="5132" max="5134" width="20.7109375" style="1" bestFit="1" customWidth="1"/>
    <col min="5135" max="5136" width="14.42578125" style="1" customWidth="1"/>
    <col min="5137" max="5137" width="14" style="1" customWidth="1"/>
    <col min="5138" max="5379" width="9.140625" style="1"/>
    <col min="5380" max="5380" width="25.7109375" style="1" customWidth="1"/>
    <col min="5381" max="5381" width="36.7109375" style="1" customWidth="1"/>
    <col min="5382" max="5382" width="20.140625" style="1" customWidth="1"/>
    <col min="5383" max="5383" width="20" style="1" customWidth="1"/>
    <col min="5384" max="5384" width="21.28515625" style="1" customWidth="1"/>
    <col min="5385" max="5387" width="19" style="1" bestFit="1" customWidth="1"/>
    <col min="5388" max="5390" width="20.7109375" style="1" bestFit="1" customWidth="1"/>
    <col min="5391" max="5392" width="14.42578125" style="1" customWidth="1"/>
    <col min="5393" max="5393" width="14" style="1" customWidth="1"/>
    <col min="5394" max="5635" width="9.140625" style="1"/>
    <col min="5636" max="5636" width="25.7109375" style="1" customWidth="1"/>
    <col min="5637" max="5637" width="36.7109375" style="1" customWidth="1"/>
    <col min="5638" max="5638" width="20.140625" style="1" customWidth="1"/>
    <col min="5639" max="5639" width="20" style="1" customWidth="1"/>
    <col min="5640" max="5640" width="21.28515625" style="1" customWidth="1"/>
    <col min="5641" max="5643" width="19" style="1" bestFit="1" customWidth="1"/>
    <col min="5644" max="5646" width="20.7109375" style="1" bestFit="1" customWidth="1"/>
    <col min="5647" max="5648" width="14.42578125" style="1" customWidth="1"/>
    <col min="5649" max="5649" width="14" style="1" customWidth="1"/>
    <col min="5650" max="5891" width="9.140625" style="1"/>
    <col min="5892" max="5892" width="25.7109375" style="1" customWidth="1"/>
    <col min="5893" max="5893" width="36.7109375" style="1" customWidth="1"/>
    <col min="5894" max="5894" width="20.140625" style="1" customWidth="1"/>
    <col min="5895" max="5895" width="20" style="1" customWidth="1"/>
    <col min="5896" max="5896" width="21.28515625" style="1" customWidth="1"/>
    <col min="5897" max="5899" width="19" style="1" bestFit="1" customWidth="1"/>
    <col min="5900" max="5902" width="20.7109375" style="1" bestFit="1" customWidth="1"/>
    <col min="5903" max="5904" width="14.42578125" style="1" customWidth="1"/>
    <col min="5905" max="5905" width="14" style="1" customWidth="1"/>
    <col min="5906" max="6147" width="9.140625" style="1"/>
    <col min="6148" max="6148" width="25.7109375" style="1" customWidth="1"/>
    <col min="6149" max="6149" width="36.7109375" style="1" customWidth="1"/>
    <col min="6150" max="6150" width="20.140625" style="1" customWidth="1"/>
    <col min="6151" max="6151" width="20" style="1" customWidth="1"/>
    <col min="6152" max="6152" width="21.28515625" style="1" customWidth="1"/>
    <col min="6153" max="6155" width="19" style="1" bestFit="1" customWidth="1"/>
    <col min="6156" max="6158" width="20.7109375" style="1" bestFit="1" customWidth="1"/>
    <col min="6159" max="6160" width="14.42578125" style="1" customWidth="1"/>
    <col min="6161" max="6161" width="14" style="1" customWidth="1"/>
    <col min="6162" max="6403" width="9.140625" style="1"/>
    <col min="6404" max="6404" width="25.7109375" style="1" customWidth="1"/>
    <col min="6405" max="6405" width="36.7109375" style="1" customWidth="1"/>
    <col min="6406" max="6406" width="20.140625" style="1" customWidth="1"/>
    <col min="6407" max="6407" width="20" style="1" customWidth="1"/>
    <col min="6408" max="6408" width="21.28515625" style="1" customWidth="1"/>
    <col min="6409" max="6411" width="19" style="1" bestFit="1" customWidth="1"/>
    <col min="6412" max="6414" width="20.7109375" style="1" bestFit="1" customWidth="1"/>
    <col min="6415" max="6416" width="14.42578125" style="1" customWidth="1"/>
    <col min="6417" max="6417" width="14" style="1" customWidth="1"/>
    <col min="6418" max="6659" width="9.140625" style="1"/>
    <col min="6660" max="6660" width="25.7109375" style="1" customWidth="1"/>
    <col min="6661" max="6661" width="36.7109375" style="1" customWidth="1"/>
    <col min="6662" max="6662" width="20.140625" style="1" customWidth="1"/>
    <col min="6663" max="6663" width="20" style="1" customWidth="1"/>
    <col min="6664" max="6664" width="21.28515625" style="1" customWidth="1"/>
    <col min="6665" max="6667" width="19" style="1" bestFit="1" customWidth="1"/>
    <col min="6668" max="6670" width="20.7109375" style="1" bestFit="1" customWidth="1"/>
    <col min="6671" max="6672" width="14.42578125" style="1" customWidth="1"/>
    <col min="6673" max="6673" width="14" style="1" customWidth="1"/>
    <col min="6674" max="6915" width="9.140625" style="1"/>
    <col min="6916" max="6916" width="25.7109375" style="1" customWidth="1"/>
    <col min="6917" max="6917" width="36.7109375" style="1" customWidth="1"/>
    <col min="6918" max="6918" width="20.140625" style="1" customWidth="1"/>
    <col min="6919" max="6919" width="20" style="1" customWidth="1"/>
    <col min="6920" max="6920" width="21.28515625" style="1" customWidth="1"/>
    <col min="6921" max="6923" width="19" style="1" bestFit="1" customWidth="1"/>
    <col min="6924" max="6926" width="20.7109375" style="1" bestFit="1" customWidth="1"/>
    <col min="6927" max="6928" width="14.42578125" style="1" customWidth="1"/>
    <col min="6929" max="6929" width="14" style="1" customWidth="1"/>
    <col min="6930" max="7171" width="9.140625" style="1"/>
    <col min="7172" max="7172" width="25.7109375" style="1" customWidth="1"/>
    <col min="7173" max="7173" width="36.7109375" style="1" customWidth="1"/>
    <col min="7174" max="7174" width="20.140625" style="1" customWidth="1"/>
    <col min="7175" max="7175" width="20" style="1" customWidth="1"/>
    <col min="7176" max="7176" width="21.28515625" style="1" customWidth="1"/>
    <col min="7177" max="7179" width="19" style="1" bestFit="1" customWidth="1"/>
    <col min="7180" max="7182" width="20.7109375" style="1" bestFit="1" customWidth="1"/>
    <col min="7183" max="7184" width="14.42578125" style="1" customWidth="1"/>
    <col min="7185" max="7185" width="14" style="1" customWidth="1"/>
    <col min="7186" max="7427" width="9.140625" style="1"/>
    <col min="7428" max="7428" width="25.7109375" style="1" customWidth="1"/>
    <col min="7429" max="7429" width="36.7109375" style="1" customWidth="1"/>
    <col min="7430" max="7430" width="20.140625" style="1" customWidth="1"/>
    <col min="7431" max="7431" width="20" style="1" customWidth="1"/>
    <col min="7432" max="7432" width="21.28515625" style="1" customWidth="1"/>
    <col min="7433" max="7435" width="19" style="1" bestFit="1" customWidth="1"/>
    <col min="7436" max="7438" width="20.7109375" style="1" bestFit="1" customWidth="1"/>
    <col min="7439" max="7440" width="14.42578125" style="1" customWidth="1"/>
    <col min="7441" max="7441" width="14" style="1" customWidth="1"/>
    <col min="7442" max="7683" width="9.140625" style="1"/>
    <col min="7684" max="7684" width="25.7109375" style="1" customWidth="1"/>
    <col min="7685" max="7685" width="36.7109375" style="1" customWidth="1"/>
    <col min="7686" max="7686" width="20.140625" style="1" customWidth="1"/>
    <col min="7687" max="7687" width="20" style="1" customWidth="1"/>
    <col min="7688" max="7688" width="21.28515625" style="1" customWidth="1"/>
    <col min="7689" max="7691" width="19" style="1" bestFit="1" customWidth="1"/>
    <col min="7692" max="7694" width="20.7109375" style="1" bestFit="1" customWidth="1"/>
    <col min="7695" max="7696" width="14.42578125" style="1" customWidth="1"/>
    <col min="7697" max="7697" width="14" style="1" customWidth="1"/>
    <col min="7698" max="7939" width="9.140625" style="1"/>
    <col min="7940" max="7940" width="25.7109375" style="1" customWidth="1"/>
    <col min="7941" max="7941" width="36.7109375" style="1" customWidth="1"/>
    <col min="7942" max="7942" width="20.140625" style="1" customWidth="1"/>
    <col min="7943" max="7943" width="20" style="1" customWidth="1"/>
    <col min="7944" max="7944" width="21.28515625" style="1" customWidth="1"/>
    <col min="7945" max="7947" width="19" style="1" bestFit="1" customWidth="1"/>
    <col min="7948" max="7950" width="20.7109375" style="1" bestFit="1" customWidth="1"/>
    <col min="7951" max="7952" width="14.42578125" style="1" customWidth="1"/>
    <col min="7953" max="7953" width="14" style="1" customWidth="1"/>
    <col min="7954" max="8195" width="9.140625" style="1"/>
    <col min="8196" max="8196" width="25.7109375" style="1" customWidth="1"/>
    <col min="8197" max="8197" width="36.7109375" style="1" customWidth="1"/>
    <col min="8198" max="8198" width="20.140625" style="1" customWidth="1"/>
    <col min="8199" max="8199" width="20" style="1" customWidth="1"/>
    <col min="8200" max="8200" width="21.28515625" style="1" customWidth="1"/>
    <col min="8201" max="8203" width="19" style="1" bestFit="1" customWidth="1"/>
    <col min="8204" max="8206" width="20.7109375" style="1" bestFit="1" customWidth="1"/>
    <col min="8207" max="8208" width="14.42578125" style="1" customWidth="1"/>
    <col min="8209" max="8209" width="14" style="1" customWidth="1"/>
    <col min="8210" max="8451" width="9.140625" style="1"/>
    <col min="8452" max="8452" width="25.7109375" style="1" customWidth="1"/>
    <col min="8453" max="8453" width="36.7109375" style="1" customWidth="1"/>
    <col min="8454" max="8454" width="20.140625" style="1" customWidth="1"/>
    <col min="8455" max="8455" width="20" style="1" customWidth="1"/>
    <col min="8456" max="8456" width="21.28515625" style="1" customWidth="1"/>
    <col min="8457" max="8459" width="19" style="1" bestFit="1" customWidth="1"/>
    <col min="8460" max="8462" width="20.7109375" style="1" bestFit="1" customWidth="1"/>
    <col min="8463" max="8464" width="14.42578125" style="1" customWidth="1"/>
    <col min="8465" max="8465" width="14" style="1" customWidth="1"/>
    <col min="8466" max="8707" width="9.140625" style="1"/>
    <col min="8708" max="8708" width="25.7109375" style="1" customWidth="1"/>
    <col min="8709" max="8709" width="36.7109375" style="1" customWidth="1"/>
    <col min="8710" max="8710" width="20.140625" style="1" customWidth="1"/>
    <col min="8711" max="8711" width="20" style="1" customWidth="1"/>
    <col min="8712" max="8712" width="21.28515625" style="1" customWidth="1"/>
    <col min="8713" max="8715" width="19" style="1" bestFit="1" customWidth="1"/>
    <col min="8716" max="8718" width="20.7109375" style="1" bestFit="1" customWidth="1"/>
    <col min="8719" max="8720" width="14.42578125" style="1" customWidth="1"/>
    <col min="8721" max="8721" width="14" style="1" customWidth="1"/>
    <col min="8722" max="8963" width="9.140625" style="1"/>
    <col min="8964" max="8964" width="25.7109375" style="1" customWidth="1"/>
    <col min="8965" max="8965" width="36.7109375" style="1" customWidth="1"/>
    <col min="8966" max="8966" width="20.140625" style="1" customWidth="1"/>
    <col min="8967" max="8967" width="20" style="1" customWidth="1"/>
    <col min="8968" max="8968" width="21.28515625" style="1" customWidth="1"/>
    <col min="8969" max="8971" width="19" style="1" bestFit="1" customWidth="1"/>
    <col min="8972" max="8974" width="20.7109375" style="1" bestFit="1" customWidth="1"/>
    <col min="8975" max="8976" width="14.42578125" style="1" customWidth="1"/>
    <col min="8977" max="8977" width="14" style="1" customWidth="1"/>
    <col min="8978" max="9219" width="9.140625" style="1"/>
    <col min="9220" max="9220" width="25.7109375" style="1" customWidth="1"/>
    <col min="9221" max="9221" width="36.7109375" style="1" customWidth="1"/>
    <col min="9222" max="9222" width="20.140625" style="1" customWidth="1"/>
    <col min="9223" max="9223" width="20" style="1" customWidth="1"/>
    <col min="9224" max="9224" width="21.28515625" style="1" customWidth="1"/>
    <col min="9225" max="9227" width="19" style="1" bestFit="1" customWidth="1"/>
    <col min="9228" max="9230" width="20.7109375" style="1" bestFit="1" customWidth="1"/>
    <col min="9231" max="9232" width="14.42578125" style="1" customWidth="1"/>
    <col min="9233" max="9233" width="14" style="1" customWidth="1"/>
    <col min="9234" max="9475" width="9.140625" style="1"/>
    <col min="9476" max="9476" width="25.7109375" style="1" customWidth="1"/>
    <col min="9477" max="9477" width="36.7109375" style="1" customWidth="1"/>
    <col min="9478" max="9478" width="20.140625" style="1" customWidth="1"/>
    <col min="9479" max="9479" width="20" style="1" customWidth="1"/>
    <col min="9480" max="9480" width="21.28515625" style="1" customWidth="1"/>
    <col min="9481" max="9483" width="19" style="1" bestFit="1" customWidth="1"/>
    <col min="9484" max="9486" width="20.7109375" style="1" bestFit="1" customWidth="1"/>
    <col min="9487" max="9488" width="14.42578125" style="1" customWidth="1"/>
    <col min="9489" max="9489" width="14" style="1" customWidth="1"/>
    <col min="9490" max="9731" width="9.140625" style="1"/>
    <col min="9732" max="9732" width="25.7109375" style="1" customWidth="1"/>
    <col min="9733" max="9733" width="36.7109375" style="1" customWidth="1"/>
    <col min="9734" max="9734" width="20.140625" style="1" customWidth="1"/>
    <col min="9735" max="9735" width="20" style="1" customWidth="1"/>
    <col min="9736" max="9736" width="21.28515625" style="1" customWidth="1"/>
    <col min="9737" max="9739" width="19" style="1" bestFit="1" customWidth="1"/>
    <col min="9740" max="9742" width="20.7109375" style="1" bestFit="1" customWidth="1"/>
    <col min="9743" max="9744" width="14.42578125" style="1" customWidth="1"/>
    <col min="9745" max="9745" width="14" style="1" customWidth="1"/>
    <col min="9746" max="9987" width="9.140625" style="1"/>
    <col min="9988" max="9988" width="25.7109375" style="1" customWidth="1"/>
    <col min="9989" max="9989" width="36.7109375" style="1" customWidth="1"/>
    <col min="9990" max="9990" width="20.140625" style="1" customWidth="1"/>
    <col min="9991" max="9991" width="20" style="1" customWidth="1"/>
    <col min="9992" max="9992" width="21.28515625" style="1" customWidth="1"/>
    <col min="9993" max="9995" width="19" style="1" bestFit="1" customWidth="1"/>
    <col min="9996" max="9998" width="20.7109375" style="1" bestFit="1" customWidth="1"/>
    <col min="9999" max="10000" width="14.42578125" style="1" customWidth="1"/>
    <col min="10001" max="10001" width="14" style="1" customWidth="1"/>
    <col min="10002" max="10243" width="9.140625" style="1"/>
    <col min="10244" max="10244" width="25.7109375" style="1" customWidth="1"/>
    <col min="10245" max="10245" width="36.7109375" style="1" customWidth="1"/>
    <col min="10246" max="10246" width="20.140625" style="1" customWidth="1"/>
    <col min="10247" max="10247" width="20" style="1" customWidth="1"/>
    <col min="10248" max="10248" width="21.28515625" style="1" customWidth="1"/>
    <col min="10249" max="10251" width="19" style="1" bestFit="1" customWidth="1"/>
    <col min="10252" max="10254" width="20.7109375" style="1" bestFit="1" customWidth="1"/>
    <col min="10255" max="10256" width="14.42578125" style="1" customWidth="1"/>
    <col min="10257" max="10257" width="14" style="1" customWidth="1"/>
    <col min="10258" max="10499" width="9.140625" style="1"/>
    <col min="10500" max="10500" width="25.7109375" style="1" customWidth="1"/>
    <col min="10501" max="10501" width="36.7109375" style="1" customWidth="1"/>
    <col min="10502" max="10502" width="20.140625" style="1" customWidth="1"/>
    <col min="10503" max="10503" width="20" style="1" customWidth="1"/>
    <col min="10504" max="10504" width="21.28515625" style="1" customWidth="1"/>
    <col min="10505" max="10507" width="19" style="1" bestFit="1" customWidth="1"/>
    <col min="10508" max="10510" width="20.7109375" style="1" bestFit="1" customWidth="1"/>
    <col min="10511" max="10512" width="14.42578125" style="1" customWidth="1"/>
    <col min="10513" max="10513" width="14" style="1" customWidth="1"/>
    <col min="10514" max="10755" width="9.140625" style="1"/>
    <col min="10756" max="10756" width="25.7109375" style="1" customWidth="1"/>
    <col min="10757" max="10757" width="36.7109375" style="1" customWidth="1"/>
    <col min="10758" max="10758" width="20.140625" style="1" customWidth="1"/>
    <col min="10759" max="10759" width="20" style="1" customWidth="1"/>
    <col min="10760" max="10760" width="21.28515625" style="1" customWidth="1"/>
    <col min="10761" max="10763" width="19" style="1" bestFit="1" customWidth="1"/>
    <col min="10764" max="10766" width="20.7109375" style="1" bestFit="1" customWidth="1"/>
    <col min="10767" max="10768" width="14.42578125" style="1" customWidth="1"/>
    <col min="10769" max="10769" width="14" style="1" customWidth="1"/>
    <col min="10770" max="11011" width="9.140625" style="1"/>
    <col min="11012" max="11012" width="25.7109375" style="1" customWidth="1"/>
    <col min="11013" max="11013" width="36.7109375" style="1" customWidth="1"/>
    <col min="11014" max="11014" width="20.140625" style="1" customWidth="1"/>
    <col min="11015" max="11015" width="20" style="1" customWidth="1"/>
    <col min="11016" max="11016" width="21.28515625" style="1" customWidth="1"/>
    <col min="11017" max="11019" width="19" style="1" bestFit="1" customWidth="1"/>
    <col min="11020" max="11022" width="20.7109375" style="1" bestFit="1" customWidth="1"/>
    <col min="11023" max="11024" width="14.42578125" style="1" customWidth="1"/>
    <col min="11025" max="11025" width="14" style="1" customWidth="1"/>
    <col min="11026" max="11267" width="9.140625" style="1"/>
    <col min="11268" max="11268" width="25.7109375" style="1" customWidth="1"/>
    <col min="11269" max="11269" width="36.7109375" style="1" customWidth="1"/>
    <col min="11270" max="11270" width="20.140625" style="1" customWidth="1"/>
    <col min="11271" max="11271" width="20" style="1" customWidth="1"/>
    <col min="11272" max="11272" width="21.28515625" style="1" customWidth="1"/>
    <col min="11273" max="11275" width="19" style="1" bestFit="1" customWidth="1"/>
    <col min="11276" max="11278" width="20.7109375" style="1" bestFit="1" customWidth="1"/>
    <col min="11279" max="11280" width="14.42578125" style="1" customWidth="1"/>
    <col min="11281" max="11281" width="14" style="1" customWidth="1"/>
    <col min="11282" max="11523" width="9.140625" style="1"/>
    <col min="11524" max="11524" width="25.7109375" style="1" customWidth="1"/>
    <col min="11525" max="11525" width="36.7109375" style="1" customWidth="1"/>
    <col min="11526" max="11526" width="20.140625" style="1" customWidth="1"/>
    <col min="11527" max="11527" width="20" style="1" customWidth="1"/>
    <col min="11528" max="11528" width="21.28515625" style="1" customWidth="1"/>
    <col min="11529" max="11531" width="19" style="1" bestFit="1" customWidth="1"/>
    <col min="11532" max="11534" width="20.7109375" style="1" bestFit="1" customWidth="1"/>
    <col min="11535" max="11536" width="14.42578125" style="1" customWidth="1"/>
    <col min="11537" max="11537" width="14" style="1" customWidth="1"/>
    <col min="11538" max="11779" width="9.140625" style="1"/>
    <col min="11780" max="11780" width="25.7109375" style="1" customWidth="1"/>
    <col min="11781" max="11781" width="36.7109375" style="1" customWidth="1"/>
    <col min="11782" max="11782" width="20.140625" style="1" customWidth="1"/>
    <col min="11783" max="11783" width="20" style="1" customWidth="1"/>
    <col min="11784" max="11784" width="21.28515625" style="1" customWidth="1"/>
    <col min="11785" max="11787" width="19" style="1" bestFit="1" customWidth="1"/>
    <col min="11788" max="11790" width="20.7109375" style="1" bestFit="1" customWidth="1"/>
    <col min="11791" max="11792" width="14.42578125" style="1" customWidth="1"/>
    <col min="11793" max="11793" width="14" style="1" customWidth="1"/>
    <col min="11794" max="12035" width="9.140625" style="1"/>
    <col min="12036" max="12036" width="25.7109375" style="1" customWidth="1"/>
    <col min="12037" max="12037" width="36.7109375" style="1" customWidth="1"/>
    <col min="12038" max="12038" width="20.140625" style="1" customWidth="1"/>
    <col min="12039" max="12039" width="20" style="1" customWidth="1"/>
    <col min="12040" max="12040" width="21.28515625" style="1" customWidth="1"/>
    <col min="12041" max="12043" width="19" style="1" bestFit="1" customWidth="1"/>
    <col min="12044" max="12046" width="20.7109375" style="1" bestFit="1" customWidth="1"/>
    <col min="12047" max="12048" width="14.42578125" style="1" customWidth="1"/>
    <col min="12049" max="12049" width="14" style="1" customWidth="1"/>
    <col min="12050" max="12291" width="9.140625" style="1"/>
    <col min="12292" max="12292" width="25.7109375" style="1" customWidth="1"/>
    <col min="12293" max="12293" width="36.7109375" style="1" customWidth="1"/>
    <col min="12294" max="12294" width="20.140625" style="1" customWidth="1"/>
    <col min="12295" max="12295" width="20" style="1" customWidth="1"/>
    <col min="12296" max="12296" width="21.28515625" style="1" customWidth="1"/>
    <col min="12297" max="12299" width="19" style="1" bestFit="1" customWidth="1"/>
    <col min="12300" max="12302" width="20.7109375" style="1" bestFit="1" customWidth="1"/>
    <col min="12303" max="12304" width="14.42578125" style="1" customWidth="1"/>
    <col min="12305" max="12305" width="14" style="1" customWidth="1"/>
    <col min="12306" max="12547" width="9.140625" style="1"/>
    <col min="12548" max="12548" width="25.7109375" style="1" customWidth="1"/>
    <col min="12549" max="12549" width="36.7109375" style="1" customWidth="1"/>
    <col min="12550" max="12550" width="20.140625" style="1" customWidth="1"/>
    <col min="12551" max="12551" width="20" style="1" customWidth="1"/>
    <col min="12552" max="12552" width="21.28515625" style="1" customWidth="1"/>
    <col min="12553" max="12555" width="19" style="1" bestFit="1" customWidth="1"/>
    <col min="12556" max="12558" width="20.7109375" style="1" bestFit="1" customWidth="1"/>
    <col min="12559" max="12560" width="14.42578125" style="1" customWidth="1"/>
    <col min="12561" max="12561" width="14" style="1" customWidth="1"/>
    <col min="12562" max="12803" width="9.140625" style="1"/>
    <col min="12804" max="12804" width="25.7109375" style="1" customWidth="1"/>
    <col min="12805" max="12805" width="36.7109375" style="1" customWidth="1"/>
    <col min="12806" max="12806" width="20.140625" style="1" customWidth="1"/>
    <col min="12807" max="12807" width="20" style="1" customWidth="1"/>
    <col min="12808" max="12808" width="21.28515625" style="1" customWidth="1"/>
    <col min="12809" max="12811" width="19" style="1" bestFit="1" customWidth="1"/>
    <col min="12812" max="12814" width="20.7109375" style="1" bestFit="1" customWidth="1"/>
    <col min="12815" max="12816" width="14.42578125" style="1" customWidth="1"/>
    <col min="12817" max="12817" width="14" style="1" customWidth="1"/>
    <col min="12818" max="13059" width="9.140625" style="1"/>
    <col min="13060" max="13060" width="25.7109375" style="1" customWidth="1"/>
    <col min="13061" max="13061" width="36.7109375" style="1" customWidth="1"/>
    <col min="13062" max="13062" width="20.140625" style="1" customWidth="1"/>
    <col min="13063" max="13063" width="20" style="1" customWidth="1"/>
    <col min="13064" max="13064" width="21.28515625" style="1" customWidth="1"/>
    <col min="13065" max="13067" width="19" style="1" bestFit="1" customWidth="1"/>
    <col min="13068" max="13070" width="20.7109375" style="1" bestFit="1" customWidth="1"/>
    <col min="13071" max="13072" width="14.42578125" style="1" customWidth="1"/>
    <col min="13073" max="13073" width="14" style="1" customWidth="1"/>
    <col min="13074" max="13315" width="9.140625" style="1"/>
    <col min="13316" max="13316" width="25.7109375" style="1" customWidth="1"/>
    <col min="13317" max="13317" width="36.7109375" style="1" customWidth="1"/>
    <col min="13318" max="13318" width="20.140625" style="1" customWidth="1"/>
    <col min="13319" max="13319" width="20" style="1" customWidth="1"/>
    <col min="13320" max="13320" width="21.28515625" style="1" customWidth="1"/>
    <col min="13321" max="13323" width="19" style="1" bestFit="1" customWidth="1"/>
    <col min="13324" max="13326" width="20.7109375" style="1" bestFit="1" customWidth="1"/>
    <col min="13327" max="13328" width="14.42578125" style="1" customWidth="1"/>
    <col min="13329" max="13329" width="14" style="1" customWidth="1"/>
    <col min="13330" max="13571" width="9.140625" style="1"/>
    <col min="13572" max="13572" width="25.7109375" style="1" customWidth="1"/>
    <col min="13573" max="13573" width="36.7109375" style="1" customWidth="1"/>
    <col min="13574" max="13574" width="20.140625" style="1" customWidth="1"/>
    <col min="13575" max="13575" width="20" style="1" customWidth="1"/>
    <col min="13576" max="13576" width="21.28515625" style="1" customWidth="1"/>
    <col min="13577" max="13579" width="19" style="1" bestFit="1" customWidth="1"/>
    <col min="13580" max="13582" width="20.7109375" style="1" bestFit="1" customWidth="1"/>
    <col min="13583" max="13584" width="14.42578125" style="1" customWidth="1"/>
    <col min="13585" max="13585" width="14" style="1" customWidth="1"/>
    <col min="13586" max="13827" width="9.140625" style="1"/>
    <col min="13828" max="13828" width="25.7109375" style="1" customWidth="1"/>
    <col min="13829" max="13829" width="36.7109375" style="1" customWidth="1"/>
    <col min="13830" max="13830" width="20.140625" style="1" customWidth="1"/>
    <col min="13831" max="13831" width="20" style="1" customWidth="1"/>
    <col min="13832" max="13832" width="21.28515625" style="1" customWidth="1"/>
    <col min="13833" max="13835" width="19" style="1" bestFit="1" customWidth="1"/>
    <col min="13836" max="13838" width="20.7109375" style="1" bestFit="1" customWidth="1"/>
    <col min="13839" max="13840" width="14.42578125" style="1" customWidth="1"/>
    <col min="13841" max="13841" width="14" style="1" customWidth="1"/>
    <col min="13842" max="14083" width="9.140625" style="1"/>
    <col min="14084" max="14084" width="25.7109375" style="1" customWidth="1"/>
    <col min="14085" max="14085" width="36.7109375" style="1" customWidth="1"/>
    <col min="14086" max="14086" width="20.140625" style="1" customWidth="1"/>
    <col min="14087" max="14087" width="20" style="1" customWidth="1"/>
    <col min="14088" max="14088" width="21.28515625" style="1" customWidth="1"/>
    <col min="14089" max="14091" width="19" style="1" bestFit="1" customWidth="1"/>
    <col min="14092" max="14094" width="20.7109375" style="1" bestFit="1" customWidth="1"/>
    <col min="14095" max="14096" width="14.42578125" style="1" customWidth="1"/>
    <col min="14097" max="14097" width="14" style="1" customWidth="1"/>
    <col min="14098" max="14339" width="9.140625" style="1"/>
    <col min="14340" max="14340" width="25.7109375" style="1" customWidth="1"/>
    <col min="14341" max="14341" width="36.7109375" style="1" customWidth="1"/>
    <col min="14342" max="14342" width="20.140625" style="1" customWidth="1"/>
    <col min="14343" max="14343" width="20" style="1" customWidth="1"/>
    <col min="14344" max="14344" width="21.28515625" style="1" customWidth="1"/>
    <col min="14345" max="14347" width="19" style="1" bestFit="1" customWidth="1"/>
    <col min="14348" max="14350" width="20.7109375" style="1" bestFit="1" customWidth="1"/>
    <col min="14351" max="14352" width="14.42578125" style="1" customWidth="1"/>
    <col min="14353" max="14353" width="14" style="1" customWidth="1"/>
    <col min="14354" max="14595" width="9.140625" style="1"/>
    <col min="14596" max="14596" width="25.7109375" style="1" customWidth="1"/>
    <col min="14597" max="14597" width="36.7109375" style="1" customWidth="1"/>
    <col min="14598" max="14598" width="20.140625" style="1" customWidth="1"/>
    <col min="14599" max="14599" width="20" style="1" customWidth="1"/>
    <col min="14600" max="14600" width="21.28515625" style="1" customWidth="1"/>
    <col min="14601" max="14603" width="19" style="1" bestFit="1" customWidth="1"/>
    <col min="14604" max="14606" width="20.7109375" style="1" bestFit="1" customWidth="1"/>
    <col min="14607" max="14608" width="14.42578125" style="1" customWidth="1"/>
    <col min="14609" max="14609" width="14" style="1" customWidth="1"/>
    <col min="14610" max="14851" width="9.140625" style="1"/>
    <col min="14852" max="14852" width="25.7109375" style="1" customWidth="1"/>
    <col min="14853" max="14853" width="36.7109375" style="1" customWidth="1"/>
    <col min="14854" max="14854" width="20.140625" style="1" customWidth="1"/>
    <col min="14855" max="14855" width="20" style="1" customWidth="1"/>
    <col min="14856" max="14856" width="21.28515625" style="1" customWidth="1"/>
    <col min="14857" max="14859" width="19" style="1" bestFit="1" customWidth="1"/>
    <col min="14860" max="14862" width="20.7109375" style="1" bestFit="1" customWidth="1"/>
    <col min="14863" max="14864" width="14.42578125" style="1" customWidth="1"/>
    <col min="14865" max="14865" width="14" style="1" customWidth="1"/>
    <col min="14866" max="15107" width="9.140625" style="1"/>
    <col min="15108" max="15108" width="25.7109375" style="1" customWidth="1"/>
    <col min="15109" max="15109" width="36.7109375" style="1" customWidth="1"/>
    <col min="15110" max="15110" width="20.140625" style="1" customWidth="1"/>
    <col min="15111" max="15111" width="20" style="1" customWidth="1"/>
    <col min="15112" max="15112" width="21.28515625" style="1" customWidth="1"/>
    <col min="15113" max="15115" width="19" style="1" bestFit="1" customWidth="1"/>
    <col min="15116" max="15118" width="20.7109375" style="1" bestFit="1" customWidth="1"/>
    <col min="15119" max="15120" width="14.42578125" style="1" customWidth="1"/>
    <col min="15121" max="15121" width="14" style="1" customWidth="1"/>
    <col min="15122" max="15363" width="9.140625" style="1"/>
    <col min="15364" max="15364" width="25.7109375" style="1" customWidth="1"/>
    <col min="15365" max="15365" width="36.7109375" style="1" customWidth="1"/>
    <col min="15366" max="15366" width="20.140625" style="1" customWidth="1"/>
    <col min="15367" max="15367" width="20" style="1" customWidth="1"/>
    <col min="15368" max="15368" width="21.28515625" style="1" customWidth="1"/>
    <col min="15369" max="15371" width="19" style="1" bestFit="1" customWidth="1"/>
    <col min="15372" max="15374" width="20.7109375" style="1" bestFit="1" customWidth="1"/>
    <col min="15375" max="15376" width="14.42578125" style="1" customWidth="1"/>
    <col min="15377" max="15377" width="14" style="1" customWidth="1"/>
    <col min="15378" max="15619" width="9.140625" style="1"/>
    <col min="15620" max="15620" width="25.7109375" style="1" customWidth="1"/>
    <col min="15621" max="15621" width="36.7109375" style="1" customWidth="1"/>
    <col min="15622" max="15622" width="20.140625" style="1" customWidth="1"/>
    <col min="15623" max="15623" width="20" style="1" customWidth="1"/>
    <col min="15624" max="15624" width="21.28515625" style="1" customWidth="1"/>
    <col min="15625" max="15627" width="19" style="1" bestFit="1" customWidth="1"/>
    <col min="15628" max="15630" width="20.7109375" style="1" bestFit="1" customWidth="1"/>
    <col min="15631" max="15632" width="14.42578125" style="1" customWidth="1"/>
    <col min="15633" max="15633" width="14" style="1" customWidth="1"/>
    <col min="15634" max="15875" width="9.140625" style="1"/>
    <col min="15876" max="15876" width="25.7109375" style="1" customWidth="1"/>
    <col min="15877" max="15877" width="36.7109375" style="1" customWidth="1"/>
    <col min="15878" max="15878" width="20.140625" style="1" customWidth="1"/>
    <col min="15879" max="15879" width="20" style="1" customWidth="1"/>
    <col min="15880" max="15880" width="21.28515625" style="1" customWidth="1"/>
    <col min="15881" max="15883" width="19" style="1" bestFit="1" customWidth="1"/>
    <col min="15884" max="15886" width="20.7109375" style="1" bestFit="1" customWidth="1"/>
    <col min="15887" max="15888" width="14.42578125" style="1" customWidth="1"/>
    <col min="15889" max="15889" width="14" style="1" customWidth="1"/>
    <col min="15890" max="16131" width="9.140625" style="1"/>
    <col min="16132" max="16132" width="25.7109375" style="1" customWidth="1"/>
    <col min="16133" max="16133" width="36.7109375" style="1" customWidth="1"/>
    <col min="16134" max="16134" width="20.140625" style="1" customWidth="1"/>
    <col min="16135" max="16135" width="20" style="1" customWidth="1"/>
    <col min="16136" max="16136" width="21.28515625" style="1" customWidth="1"/>
    <col min="16137" max="16139" width="19" style="1" bestFit="1" customWidth="1"/>
    <col min="16140" max="16142" width="20.7109375" style="1" bestFit="1" customWidth="1"/>
    <col min="16143" max="16144" width="14.42578125" style="1" customWidth="1"/>
    <col min="16145" max="16145" width="14" style="1" customWidth="1"/>
    <col min="16146" max="16384" width="9.140625" style="1"/>
  </cols>
  <sheetData>
    <row r="1" spans="1:20" ht="33.75" customHeight="1" x14ac:dyDescent="0.25">
      <c r="B1" s="2"/>
      <c r="C1" s="93" t="s">
        <v>117</v>
      </c>
      <c r="D1" s="93"/>
      <c r="E1" s="93"/>
      <c r="F1" s="93"/>
      <c r="G1" s="93"/>
      <c r="H1" s="93"/>
      <c r="I1" s="93"/>
      <c r="J1" s="93"/>
      <c r="K1" s="93"/>
      <c r="L1" s="93"/>
      <c r="M1" s="2"/>
      <c r="N1" s="2"/>
      <c r="O1" s="2"/>
      <c r="P1" s="2"/>
      <c r="Q1" s="2"/>
    </row>
    <row r="2" spans="1:20" ht="16.5" customHeight="1" x14ac:dyDescent="0.25">
      <c r="B2" s="2"/>
      <c r="C2" s="2"/>
      <c r="D2" s="2"/>
      <c r="E2" s="73"/>
      <c r="F2" s="73"/>
      <c r="G2" s="73"/>
      <c r="H2" s="79"/>
      <c r="I2" s="79"/>
      <c r="O2" s="4"/>
      <c r="P2" s="96" t="s">
        <v>66</v>
      </c>
      <c r="Q2" s="97"/>
    </row>
    <row r="3" spans="1:20" ht="19.5" customHeight="1" x14ac:dyDescent="0.25">
      <c r="A3" s="98" t="s">
        <v>0</v>
      </c>
      <c r="B3" s="98" t="s">
        <v>1</v>
      </c>
      <c r="C3" s="99" t="s">
        <v>62</v>
      </c>
      <c r="D3" s="100"/>
      <c r="E3" s="100"/>
      <c r="F3" s="100"/>
      <c r="G3" s="101"/>
      <c r="H3" s="102" t="s">
        <v>63</v>
      </c>
      <c r="I3" s="103"/>
      <c r="J3" s="103"/>
      <c r="K3" s="103"/>
      <c r="L3" s="104"/>
      <c r="M3" s="99" t="s">
        <v>64</v>
      </c>
      <c r="N3" s="100"/>
      <c r="O3" s="100"/>
      <c r="P3" s="100"/>
      <c r="Q3" s="101"/>
    </row>
    <row r="4" spans="1:20" ht="30.75" customHeight="1" x14ac:dyDescent="0.25">
      <c r="A4" s="98"/>
      <c r="B4" s="98"/>
      <c r="C4" s="90" t="s">
        <v>115</v>
      </c>
      <c r="D4" s="75" t="s">
        <v>116</v>
      </c>
      <c r="E4" s="83" t="s">
        <v>86</v>
      </c>
      <c r="F4" s="83" t="s">
        <v>96</v>
      </c>
      <c r="G4" s="64" t="s">
        <v>118</v>
      </c>
      <c r="H4" s="90" t="s">
        <v>115</v>
      </c>
      <c r="I4" s="90" t="s">
        <v>116</v>
      </c>
      <c r="J4" s="90" t="s">
        <v>86</v>
      </c>
      <c r="K4" s="90" t="s">
        <v>96</v>
      </c>
      <c r="L4" s="90" t="s">
        <v>118</v>
      </c>
      <c r="M4" s="90" t="s">
        <v>115</v>
      </c>
      <c r="N4" s="90" t="s">
        <v>116</v>
      </c>
      <c r="O4" s="90" t="s">
        <v>86</v>
      </c>
      <c r="P4" s="90" t="s">
        <v>96</v>
      </c>
      <c r="Q4" s="83" t="s">
        <v>118</v>
      </c>
    </row>
    <row r="5" spans="1:20" ht="15.75" customHeight="1" x14ac:dyDescent="0.25">
      <c r="A5" s="80">
        <v>1</v>
      </c>
      <c r="B5" s="80">
        <v>2</v>
      </c>
      <c r="C5" s="80">
        <v>3</v>
      </c>
      <c r="D5" s="80">
        <v>3</v>
      </c>
      <c r="E5" s="80">
        <v>3</v>
      </c>
      <c r="F5" s="80">
        <v>4</v>
      </c>
      <c r="G5" s="80">
        <v>5</v>
      </c>
      <c r="H5" s="80">
        <v>3</v>
      </c>
      <c r="I5" s="80">
        <v>4</v>
      </c>
      <c r="J5" s="80">
        <v>5</v>
      </c>
      <c r="K5" s="5">
        <v>6</v>
      </c>
      <c r="L5" s="80">
        <v>7</v>
      </c>
      <c r="M5" s="80">
        <v>8</v>
      </c>
      <c r="N5" s="90">
        <v>9</v>
      </c>
      <c r="O5" s="5">
        <v>10</v>
      </c>
      <c r="P5" s="80">
        <v>11</v>
      </c>
      <c r="Q5" s="5">
        <v>12</v>
      </c>
    </row>
    <row r="6" spans="1:20" ht="15.7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6"/>
      <c r="M6" s="6"/>
      <c r="N6" s="6"/>
      <c r="O6" s="7"/>
      <c r="P6" s="6"/>
      <c r="Q6" s="7"/>
    </row>
    <row r="7" spans="1:20" s="2" customFormat="1" ht="33" customHeight="1" x14ac:dyDescent="0.25">
      <c r="A7" s="28" t="s">
        <v>2</v>
      </c>
      <c r="B7" s="8" t="s">
        <v>3</v>
      </c>
      <c r="C7" s="23">
        <f>SUM(C8:C21)</f>
        <v>84583770.540000007</v>
      </c>
      <c r="D7" s="85">
        <f t="shared" ref="D7:Q7" si="0">SUM(D8:D21)</f>
        <v>95818100</v>
      </c>
      <c r="E7" s="85">
        <f t="shared" si="0"/>
        <v>96637400</v>
      </c>
      <c r="F7" s="85">
        <f t="shared" si="0"/>
        <v>103411800</v>
      </c>
      <c r="G7" s="85">
        <f t="shared" si="0"/>
        <v>104279300</v>
      </c>
      <c r="H7" s="85">
        <f t="shared" si="0"/>
        <v>38851956.32</v>
      </c>
      <c r="I7" s="85">
        <f t="shared" si="0"/>
        <v>43566500</v>
      </c>
      <c r="J7" s="85">
        <f t="shared" si="0"/>
        <v>35958400</v>
      </c>
      <c r="K7" s="85">
        <f t="shared" si="0"/>
        <v>36942500</v>
      </c>
      <c r="L7" s="85">
        <f t="shared" si="0"/>
        <v>38042000</v>
      </c>
      <c r="M7" s="23">
        <f t="shared" si="0"/>
        <v>123435726.86000003</v>
      </c>
      <c r="N7" s="23">
        <f t="shared" si="0"/>
        <v>139384800</v>
      </c>
      <c r="O7" s="23">
        <f t="shared" si="0"/>
        <v>132595800</v>
      </c>
      <c r="P7" s="23">
        <f t="shared" si="0"/>
        <v>140354300</v>
      </c>
      <c r="Q7" s="23">
        <f t="shared" si="0"/>
        <v>142321300</v>
      </c>
      <c r="S7" s="19"/>
    </row>
    <row r="8" spans="1:20" ht="29.25" customHeight="1" x14ac:dyDescent="0.25">
      <c r="A8" s="72" t="s">
        <v>4</v>
      </c>
      <c r="B8" s="9" t="s">
        <v>5</v>
      </c>
      <c r="C8" s="60">
        <v>66727745.520000003</v>
      </c>
      <c r="D8" s="86">
        <v>78706300</v>
      </c>
      <c r="E8" s="86">
        <v>79277300</v>
      </c>
      <c r="F8" s="86">
        <v>85544800</v>
      </c>
      <c r="G8" s="86">
        <v>86043400</v>
      </c>
      <c r="H8" s="86">
        <f>7713532.3+213483.73</f>
        <v>7927016.0300000003</v>
      </c>
      <c r="I8" s="86">
        <v>8929000</v>
      </c>
      <c r="J8" s="87">
        <v>10724400</v>
      </c>
      <c r="K8" s="87">
        <v>11522400</v>
      </c>
      <c r="L8" s="87">
        <v>12350200</v>
      </c>
      <c r="M8" s="25">
        <f t="shared" ref="M8:Q13" si="1">C8+H8</f>
        <v>74654761.549999997</v>
      </c>
      <c r="N8" s="25">
        <f>D8+I8</f>
        <v>87635300</v>
      </c>
      <c r="O8" s="25">
        <f t="shared" si="1"/>
        <v>90001700</v>
      </c>
      <c r="P8" s="25">
        <f t="shared" si="1"/>
        <v>97067200</v>
      </c>
      <c r="Q8" s="25">
        <f t="shared" si="1"/>
        <v>98393600</v>
      </c>
      <c r="R8" s="31"/>
      <c r="S8" s="19"/>
    </row>
    <row r="9" spans="1:20" ht="63.75" customHeight="1" x14ac:dyDescent="0.25">
      <c r="A9" s="72" t="s">
        <v>6</v>
      </c>
      <c r="B9" s="9" t="s">
        <v>7</v>
      </c>
      <c r="C9" s="60">
        <v>8981738.4000000004</v>
      </c>
      <c r="D9" s="86">
        <v>8500000</v>
      </c>
      <c r="E9" s="86">
        <v>8917000</v>
      </c>
      <c r="F9" s="86">
        <v>9101900</v>
      </c>
      <c r="G9" s="86">
        <v>9154200</v>
      </c>
      <c r="H9" s="86">
        <v>6150223.7000000002</v>
      </c>
      <c r="I9" s="86">
        <v>5900000</v>
      </c>
      <c r="J9" s="87">
        <v>6102900</v>
      </c>
      <c r="K9" s="87">
        <v>6229500</v>
      </c>
      <c r="L9" s="87">
        <v>6265200</v>
      </c>
      <c r="M9" s="25">
        <f t="shared" si="1"/>
        <v>15131962.100000001</v>
      </c>
      <c r="N9" s="25">
        <f>D9+I9</f>
        <v>14400000</v>
      </c>
      <c r="O9" s="25">
        <f t="shared" si="1"/>
        <v>15019900</v>
      </c>
      <c r="P9" s="25">
        <f t="shared" si="1"/>
        <v>15331400</v>
      </c>
      <c r="Q9" s="25">
        <f t="shared" si="1"/>
        <v>15419400</v>
      </c>
      <c r="R9" s="31"/>
      <c r="S9" s="19"/>
    </row>
    <row r="10" spans="1:20" s="11" customFormat="1" ht="31.5" customHeight="1" x14ac:dyDescent="0.25">
      <c r="A10" s="72" t="s">
        <v>8</v>
      </c>
      <c r="B10" s="9" t="s">
        <v>9</v>
      </c>
      <c r="C10" s="60">
        <v>3265545.7</v>
      </c>
      <c r="D10" s="86">
        <v>3205300</v>
      </c>
      <c r="E10" s="86">
        <v>3541000</v>
      </c>
      <c r="F10" s="86">
        <v>3766000</v>
      </c>
      <c r="G10" s="86">
        <v>4015000</v>
      </c>
      <c r="H10" s="86">
        <f>46432.51+48245.21</f>
        <v>94677.72</v>
      </c>
      <c r="I10" s="86">
        <v>96000</v>
      </c>
      <c r="J10" s="87">
        <v>84000</v>
      </c>
      <c r="K10" s="87">
        <v>90000</v>
      </c>
      <c r="L10" s="87">
        <v>96000</v>
      </c>
      <c r="M10" s="25">
        <f t="shared" si="1"/>
        <v>3360223.4200000004</v>
      </c>
      <c r="N10" s="25">
        <f>D10+I10</f>
        <v>3301300</v>
      </c>
      <c r="O10" s="25">
        <f t="shared" si="1"/>
        <v>3625000</v>
      </c>
      <c r="P10" s="25">
        <f t="shared" si="1"/>
        <v>3856000</v>
      </c>
      <c r="Q10" s="25">
        <f t="shared" si="1"/>
        <v>4111000</v>
      </c>
      <c r="R10" s="31"/>
      <c r="S10" s="19"/>
      <c r="T10" s="1"/>
    </row>
    <row r="11" spans="1:20" ht="32.25" customHeight="1" x14ac:dyDescent="0.25">
      <c r="A11" s="72" t="s">
        <v>10</v>
      </c>
      <c r="B11" s="9" t="s">
        <v>11</v>
      </c>
      <c r="C11" s="60"/>
      <c r="D11" s="86"/>
      <c r="E11" s="86"/>
      <c r="F11" s="86"/>
      <c r="G11" s="86"/>
      <c r="H11" s="86">
        <f>17071960.2+4557168.87</f>
        <v>21629129.07</v>
      </c>
      <c r="I11" s="86">
        <v>16700000</v>
      </c>
      <c r="J11" s="87">
        <v>16670000</v>
      </c>
      <c r="K11" s="87">
        <v>17360000</v>
      </c>
      <c r="L11" s="87">
        <v>17590000</v>
      </c>
      <c r="M11" s="25">
        <f t="shared" si="1"/>
        <v>21629129.07</v>
      </c>
      <c r="N11" s="25">
        <f>D11+I11</f>
        <v>16700000</v>
      </c>
      <c r="O11" s="25">
        <f t="shared" si="1"/>
        <v>16670000</v>
      </c>
      <c r="P11" s="25">
        <f t="shared" si="1"/>
        <v>17360000</v>
      </c>
      <c r="Q11" s="25">
        <f t="shared" si="1"/>
        <v>17590000</v>
      </c>
      <c r="R11" s="31"/>
      <c r="S11" s="19"/>
    </row>
    <row r="12" spans="1:20" ht="65.25" hidden="1" customHeight="1" x14ac:dyDescent="0.25">
      <c r="A12" s="72" t="s">
        <v>12</v>
      </c>
      <c r="B12" s="9" t="s">
        <v>13</v>
      </c>
      <c r="C12" s="60"/>
      <c r="D12" s="86"/>
      <c r="E12" s="86"/>
      <c r="F12" s="86"/>
      <c r="G12" s="86"/>
      <c r="H12" s="86"/>
      <c r="I12" s="86"/>
      <c r="J12" s="87"/>
      <c r="K12" s="87"/>
      <c r="L12" s="87"/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5">
        <f t="shared" si="1"/>
        <v>0</v>
      </c>
      <c r="R12" s="31"/>
      <c r="S12" s="19"/>
    </row>
    <row r="13" spans="1:20" ht="32.25" customHeight="1" x14ac:dyDescent="0.25">
      <c r="A13" s="72" t="s">
        <v>14</v>
      </c>
      <c r="B13" s="9" t="s">
        <v>15</v>
      </c>
      <c r="C13" s="60">
        <v>1868928.47</v>
      </c>
      <c r="D13" s="86">
        <v>1950000</v>
      </c>
      <c r="E13" s="86">
        <v>2001000</v>
      </c>
      <c r="F13" s="86">
        <v>2053000</v>
      </c>
      <c r="G13" s="86">
        <v>2106000</v>
      </c>
      <c r="H13" s="86"/>
      <c r="I13" s="86"/>
      <c r="J13" s="87"/>
      <c r="K13" s="87"/>
      <c r="L13" s="87"/>
      <c r="M13" s="25">
        <f t="shared" si="1"/>
        <v>1868928.47</v>
      </c>
      <c r="N13" s="25">
        <f t="shared" si="1"/>
        <v>1950000</v>
      </c>
      <c r="O13" s="25">
        <f t="shared" si="1"/>
        <v>2001000</v>
      </c>
      <c r="P13" s="25">
        <f t="shared" si="1"/>
        <v>2053000</v>
      </c>
      <c r="Q13" s="25">
        <f t="shared" si="1"/>
        <v>2106000</v>
      </c>
      <c r="R13" s="31"/>
      <c r="S13" s="19"/>
    </row>
    <row r="14" spans="1:20" ht="80.25" customHeight="1" x14ac:dyDescent="0.25">
      <c r="A14" s="72" t="s">
        <v>109</v>
      </c>
      <c r="B14" s="81" t="s">
        <v>110</v>
      </c>
      <c r="C14" s="60"/>
      <c r="D14" s="86"/>
      <c r="E14" s="86"/>
      <c r="F14" s="86"/>
      <c r="G14" s="86"/>
      <c r="H14" s="86">
        <f>-737.86-182.03</f>
        <v>-919.89</v>
      </c>
      <c r="I14" s="86">
        <v>-200</v>
      </c>
      <c r="J14" s="87"/>
      <c r="K14" s="87"/>
      <c r="L14" s="87"/>
      <c r="M14" s="25">
        <f t="shared" ref="M14:M21" si="2">C14+H14</f>
        <v>-919.89</v>
      </c>
      <c r="N14" s="25"/>
      <c r="O14" s="25"/>
      <c r="P14" s="25"/>
      <c r="Q14" s="25"/>
      <c r="R14" s="31"/>
      <c r="S14" s="19"/>
    </row>
    <row r="15" spans="1:20" ht="91.5" customHeight="1" x14ac:dyDescent="0.25">
      <c r="A15" s="72" t="s">
        <v>16</v>
      </c>
      <c r="B15" s="9" t="s">
        <v>17</v>
      </c>
      <c r="C15" s="60">
        <v>1119376.54</v>
      </c>
      <c r="D15" s="86">
        <v>1651500</v>
      </c>
      <c r="E15" s="86">
        <v>1766300</v>
      </c>
      <c r="F15" s="86">
        <v>1803500</v>
      </c>
      <c r="G15" s="86">
        <v>1807900</v>
      </c>
      <c r="H15" s="86">
        <f>1100915.59+319874.43</f>
        <v>1420790.02</v>
      </c>
      <c r="I15" s="86">
        <v>1775000</v>
      </c>
      <c r="J15" s="86">
        <v>1643500</v>
      </c>
      <c r="K15" s="87">
        <v>1670100</v>
      </c>
      <c r="L15" s="87">
        <v>1670100</v>
      </c>
      <c r="M15" s="25">
        <f t="shared" si="2"/>
        <v>2540166.56</v>
      </c>
      <c r="N15" s="25">
        <f>D15+I15</f>
        <v>3426500</v>
      </c>
      <c r="O15" s="25">
        <f t="shared" ref="N15:Q20" si="3">E15+J15</f>
        <v>3409800</v>
      </c>
      <c r="P15" s="25">
        <f t="shared" si="3"/>
        <v>3473600</v>
      </c>
      <c r="Q15" s="25">
        <f t="shared" si="3"/>
        <v>3478000</v>
      </c>
      <c r="R15" s="31"/>
      <c r="S15" s="19"/>
    </row>
    <row r="16" spans="1:20" ht="38.25" customHeight="1" x14ac:dyDescent="0.25">
      <c r="A16" s="72" t="s">
        <v>18</v>
      </c>
      <c r="B16" s="9" t="s">
        <v>19</v>
      </c>
      <c r="C16" s="60">
        <v>21397.64</v>
      </c>
      <c r="D16" s="86">
        <v>58500</v>
      </c>
      <c r="E16" s="86">
        <v>37000</v>
      </c>
      <c r="F16" s="86">
        <v>37000</v>
      </c>
      <c r="G16" s="86">
        <v>37000</v>
      </c>
      <c r="H16" s="86"/>
      <c r="I16" s="86"/>
      <c r="J16" s="87"/>
      <c r="K16" s="87"/>
      <c r="L16" s="87"/>
      <c r="M16" s="25">
        <f t="shared" si="2"/>
        <v>21397.64</v>
      </c>
      <c r="N16" s="25">
        <f>D16+I16</f>
        <v>58500</v>
      </c>
      <c r="O16" s="25">
        <f t="shared" si="3"/>
        <v>37000</v>
      </c>
      <c r="P16" s="25">
        <f t="shared" si="3"/>
        <v>37000</v>
      </c>
      <c r="Q16" s="25">
        <f t="shared" si="3"/>
        <v>37000</v>
      </c>
      <c r="R16" s="31"/>
      <c r="S16" s="19"/>
    </row>
    <row r="17" spans="1:23" s="11" customFormat="1" ht="66.75" customHeight="1" x14ac:dyDescent="0.25">
      <c r="A17" s="72" t="s">
        <v>20</v>
      </c>
      <c r="B17" s="9" t="s">
        <v>21</v>
      </c>
      <c r="C17" s="60">
        <v>261945.75</v>
      </c>
      <c r="D17" s="86">
        <v>281600</v>
      </c>
      <c r="E17" s="86">
        <v>287800</v>
      </c>
      <c r="F17" s="86">
        <v>295600</v>
      </c>
      <c r="G17" s="86">
        <v>304800</v>
      </c>
      <c r="H17" s="86">
        <v>18333.169999999998</v>
      </c>
      <c r="I17" s="86">
        <v>19600</v>
      </c>
      <c r="J17" s="87">
        <v>20500</v>
      </c>
      <c r="K17" s="87">
        <v>20500</v>
      </c>
      <c r="L17" s="87">
        <v>20500</v>
      </c>
      <c r="M17" s="25">
        <f t="shared" si="2"/>
        <v>280278.92</v>
      </c>
      <c r="N17" s="25">
        <f>D17+I17</f>
        <v>301200</v>
      </c>
      <c r="O17" s="25">
        <f t="shared" si="3"/>
        <v>308300</v>
      </c>
      <c r="P17" s="25">
        <f t="shared" si="3"/>
        <v>316100</v>
      </c>
      <c r="Q17" s="25">
        <f t="shared" si="3"/>
        <v>325300</v>
      </c>
      <c r="R17" s="31"/>
      <c r="S17" s="19"/>
      <c r="T17" s="1"/>
    </row>
    <row r="18" spans="1:23" s="11" customFormat="1" ht="51" customHeight="1" x14ac:dyDescent="0.25">
      <c r="A18" s="72" t="s">
        <v>22</v>
      </c>
      <c r="B18" s="9" t="s">
        <v>23</v>
      </c>
      <c r="C18" s="60">
        <v>1286490.45</v>
      </c>
      <c r="D18" s="86">
        <v>734900</v>
      </c>
      <c r="E18" s="86">
        <v>100000</v>
      </c>
      <c r="F18" s="86">
        <v>100000</v>
      </c>
      <c r="G18" s="86">
        <v>100000</v>
      </c>
      <c r="H18" s="86">
        <f>84752.3+1370670</f>
        <v>1455422.3</v>
      </c>
      <c r="I18" s="86">
        <v>10097800</v>
      </c>
      <c r="J18" s="87">
        <v>713100</v>
      </c>
      <c r="K18" s="87">
        <v>50000</v>
      </c>
      <c r="L18" s="87">
        <v>50000</v>
      </c>
      <c r="M18" s="25">
        <f t="shared" si="2"/>
        <v>2741912.75</v>
      </c>
      <c r="N18" s="25">
        <f>D18+I18</f>
        <v>10832700</v>
      </c>
      <c r="O18" s="25">
        <f t="shared" si="3"/>
        <v>813100</v>
      </c>
      <c r="P18" s="25">
        <f t="shared" si="3"/>
        <v>150000</v>
      </c>
      <c r="Q18" s="25">
        <f t="shared" si="3"/>
        <v>150000</v>
      </c>
      <c r="R18" s="31"/>
      <c r="S18" s="19"/>
      <c r="T18" s="1"/>
    </row>
    <row r="19" spans="1:23" ht="32.25" customHeight="1" x14ac:dyDescent="0.25">
      <c r="A19" s="72" t="s">
        <v>24</v>
      </c>
      <c r="B19" s="9" t="s">
        <v>25</v>
      </c>
      <c r="C19" s="60"/>
      <c r="D19" s="86"/>
      <c r="E19" s="86"/>
      <c r="F19" s="86"/>
      <c r="G19" s="86"/>
      <c r="H19" s="86"/>
      <c r="I19" s="86"/>
      <c r="J19" s="87"/>
      <c r="K19" s="87"/>
      <c r="L19" s="87"/>
      <c r="M19" s="25">
        <f t="shared" si="2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31"/>
      <c r="S19" s="19"/>
    </row>
    <row r="20" spans="1:23" ht="35.25" customHeight="1" x14ac:dyDescent="0.25">
      <c r="A20" s="72" t="s">
        <v>26</v>
      </c>
      <c r="B20" s="9" t="s">
        <v>27</v>
      </c>
      <c r="C20" s="60">
        <v>1050602.07</v>
      </c>
      <c r="D20" s="86">
        <v>730000</v>
      </c>
      <c r="E20" s="86">
        <v>710000</v>
      </c>
      <c r="F20" s="86">
        <v>710000</v>
      </c>
      <c r="G20" s="86">
        <v>711000</v>
      </c>
      <c r="H20" s="86">
        <v>97574.720000000001</v>
      </c>
      <c r="I20" s="86">
        <v>49300</v>
      </c>
      <c r="J20" s="87"/>
      <c r="K20" s="87"/>
      <c r="L20" s="87"/>
      <c r="M20" s="25">
        <f t="shared" si="2"/>
        <v>1148176.79</v>
      </c>
      <c r="N20" s="25">
        <f>D20+I20</f>
        <v>779300</v>
      </c>
      <c r="O20" s="25">
        <f t="shared" si="3"/>
        <v>710000</v>
      </c>
      <c r="P20" s="25">
        <f t="shared" si="3"/>
        <v>710000</v>
      </c>
      <c r="Q20" s="25">
        <f t="shared" si="3"/>
        <v>711000</v>
      </c>
      <c r="R20" s="31"/>
      <c r="S20" s="19"/>
    </row>
    <row r="21" spans="1:23" ht="35.25" customHeight="1" x14ac:dyDescent="0.25">
      <c r="A21" s="72" t="s">
        <v>111</v>
      </c>
      <c r="B21" s="9" t="s">
        <v>112</v>
      </c>
      <c r="C21" s="60"/>
      <c r="D21" s="86"/>
      <c r="E21" s="86"/>
      <c r="F21" s="86"/>
      <c r="G21" s="86"/>
      <c r="H21" s="86">
        <v>59709.48</v>
      </c>
      <c r="I21" s="86"/>
      <c r="J21" s="87"/>
      <c r="K21" s="87"/>
      <c r="L21" s="87"/>
      <c r="M21" s="25">
        <f t="shared" si="2"/>
        <v>59709.48</v>
      </c>
      <c r="N21" s="25">
        <f>D21+I21</f>
        <v>0</v>
      </c>
      <c r="O21" s="25">
        <f>E21+J21</f>
        <v>0</v>
      </c>
      <c r="P21" s="25"/>
      <c r="Q21" s="25"/>
      <c r="R21" s="31"/>
      <c r="S21" s="19"/>
    </row>
    <row r="22" spans="1:23" s="11" customFormat="1" ht="31.5" x14ac:dyDescent="0.25">
      <c r="A22" s="27" t="s">
        <v>28</v>
      </c>
      <c r="B22" s="28" t="s">
        <v>29</v>
      </c>
      <c r="C22" s="88">
        <f>C23+C24+C25+C26+C27</f>
        <v>296972435.11999995</v>
      </c>
      <c r="D22" s="88">
        <f>D23+D24+D25+D26+D27</f>
        <v>262721259.23000002</v>
      </c>
      <c r="E22" s="88">
        <f t="shared" ref="E22:Q22" si="4">E23+E24+E25+E26+E27</f>
        <v>261896013.90000001</v>
      </c>
      <c r="F22" s="88">
        <f t="shared" si="4"/>
        <v>228986038.79999998</v>
      </c>
      <c r="G22" s="88">
        <f t="shared" si="4"/>
        <v>231681270.97</v>
      </c>
      <c r="H22" s="88">
        <f t="shared" si="4"/>
        <v>35651852.549999997</v>
      </c>
      <c r="I22" s="88">
        <f t="shared" si="4"/>
        <v>58699700</v>
      </c>
      <c r="J22" s="88">
        <f t="shared" si="4"/>
        <v>24148118.079999998</v>
      </c>
      <c r="K22" s="88">
        <f t="shared" si="4"/>
        <v>35726023</v>
      </c>
      <c r="L22" s="88">
        <f t="shared" si="4"/>
        <v>25978323</v>
      </c>
      <c r="M22" s="88">
        <f t="shared" si="4"/>
        <v>313167151.28999996</v>
      </c>
      <c r="N22" s="88">
        <f t="shared" si="4"/>
        <v>299491090.03000003</v>
      </c>
      <c r="O22" s="88">
        <f t="shared" si="4"/>
        <v>265931580.97999999</v>
      </c>
      <c r="P22" s="88">
        <f t="shared" si="4"/>
        <v>245714610.79999998</v>
      </c>
      <c r="Q22" s="88">
        <f t="shared" si="4"/>
        <v>238609842.97</v>
      </c>
      <c r="R22" s="31"/>
      <c r="S22" s="19"/>
      <c r="T22" s="1"/>
    </row>
    <row r="23" spans="1:23" s="11" customFormat="1" ht="31.5" x14ac:dyDescent="0.25">
      <c r="A23" s="76" t="s">
        <v>101</v>
      </c>
      <c r="B23" s="77" t="s">
        <v>102</v>
      </c>
      <c r="C23" s="60">
        <v>71816170.459999993</v>
      </c>
      <c r="D23" s="86">
        <v>73307640</v>
      </c>
      <c r="E23" s="86">
        <v>74782900</v>
      </c>
      <c r="F23" s="86">
        <v>42301000</v>
      </c>
      <c r="G23" s="86">
        <v>43264000</v>
      </c>
      <c r="H23" s="86">
        <v>2718000</v>
      </c>
      <c r="I23" s="86">
        <v>5124300</v>
      </c>
      <c r="J23" s="86">
        <v>928000</v>
      </c>
      <c r="K23" s="86">
        <v>928000</v>
      </c>
      <c r="L23" s="86">
        <v>928000</v>
      </c>
      <c r="M23" s="78">
        <f>C23</f>
        <v>71816170.459999993</v>
      </c>
      <c r="N23" s="78">
        <f>D23</f>
        <v>73307640</v>
      </c>
      <c r="O23" s="78">
        <f>E23</f>
        <v>74782900</v>
      </c>
      <c r="P23" s="78">
        <f>F23</f>
        <v>42301000</v>
      </c>
      <c r="Q23" s="78">
        <f>G23</f>
        <v>43264000</v>
      </c>
      <c r="R23" s="31"/>
      <c r="S23" s="19"/>
      <c r="T23" s="1"/>
    </row>
    <row r="24" spans="1:23" s="11" customFormat="1" ht="47.25" x14ac:dyDescent="0.25">
      <c r="A24" s="76" t="s">
        <v>103</v>
      </c>
      <c r="B24" s="77" t="s">
        <v>104</v>
      </c>
      <c r="C24" s="60">
        <v>71283958.129999995</v>
      </c>
      <c r="D24" s="86">
        <v>29559464.09</v>
      </c>
      <c r="E24" s="86">
        <v>18067396.460000001</v>
      </c>
      <c r="F24" s="86">
        <v>14750581.359999999</v>
      </c>
      <c r="G24" s="86">
        <v>13643518.08</v>
      </c>
      <c r="H24" s="86">
        <f>21815576.68+888676.09</f>
        <v>22704252.77</v>
      </c>
      <c r="I24" s="86">
        <v>43238600</v>
      </c>
      <c r="J24" s="86">
        <v>9930367.0800000001</v>
      </c>
      <c r="K24" s="86">
        <v>22623372</v>
      </c>
      <c r="L24" s="86">
        <v>12823372</v>
      </c>
      <c r="M24" s="60">
        <f>C24+H24</f>
        <v>93988210.899999991</v>
      </c>
      <c r="N24" s="78">
        <f>D24+I24</f>
        <v>72798064.090000004</v>
      </c>
      <c r="O24" s="78">
        <f>E24+J24</f>
        <v>27997763.539999999</v>
      </c>
      <c r="P24" s="78">
        <f>F24+K24</f>
        <v>37373953.359999999</v>
      </c>
      <c r="Q24" s="78">
        <f>G24+L24</f>
        <v>26466890.079999998</v>
      </c>
      <c r="R24" s="78">
        <f>J24+O24</f>
        <v>37928130.619999997</v>
      </c>
      <c r="S24" s="78">
        <f>K24+P24</f>
        <v>59997325.359999999</v>
      </c>
      <c r="T24" s="78">
        <f>L24+Q24</f>
        <v>39290262.079999998</v>
      </c>
      <c r="U24" s="78">
        <f t="shared" ref="U24:W24" si="5">O24+R24</f>
        <v>65925894.159999996</v>
      </c>
      <c r="V24" s="78">
        <f t="shared" si="5"/>
        <v>97371278.719999999</v>
      </c>
      <c r="W24" s="78">
        <f t="shared" si="5"/>
        <v>65757152.159999996</v>
      </c>
    </row>
    <row r="25" spans="1:23" s="11" customFormat="1" ht="34.5" customHeight="1" x14ac:dyDescent="0.25">
      <c r="A25" s="76" t="s">
        <v>105</v>
      </c>
      <c r="B25" s="77" t="s">
        <v>106</v>
      </c>
      <c r="C25" s="60">
        <v>138941971.34999999</v>
      </c>
      <c r="D25" s="86">
        <v>144571363.55000001</v>
      </c>
      <c r="E25" s="86">
        <v>154685451.09999999</v>
      </c>
      <c r="F25" s="86">
        <v>157652311.09999999</v>
      </c>
      <c r="G25" s="86">
        <v>160270720.09999999</v>
      </c>
      <c r="H25" s="86">
        <f>754818.2+503078.8</f>
        <v>1257897</v>
      </c>
      <c r="I25" s="86">
        <v>1149500</v>
      </c>
      <c r="J25" s="86">
        <f>200</f>
        <v>200</v>
      </c>
      <c r="K25" s="86">
        <f>200</f>
        <v>200</v>
      </c>
      <c r="L25" s="86">
        <f>200</f>
        <v>200</v>
      </c>
      <c r="M25" s="60">
        <v>138941971.34999999</v>
      </c>
      <c r="N25" s="78">
        <f>D25</f>
        <v>144571363.55000001</v>
      </c>
      <c r="O25" s="78">
        <f>E25+J25</f>
        <v>154685651.09999999</v>
      </c>
      <c r="P25" s="78">
        <f>F25+K25</f>
        <v>157652511.09999999</v>
      </c>
      <c r="Q25" s="78">
        <f>G25+L25</f>
        <v>160270920.09999999</v>
      </c>
      <c r="R25" s="78"/>
      <c r="S25" s="78"/>
      <c r="T25" s="78"/>
      <c r="U25" s="78">
        <f t="shared" ref="U25:W25" si="6">O25</f>
        <v>154685651.09999999</v>
      </c>
      <c r="V25" s="78">
        <f t="shared" si="6"/>
        <v>157652511.09999999</v>
      </c>
      <c r="W25" s="78">
        <f t="shared" si="6"/>
        <v>160270920.09999999</v>
      </c>
    </row>
    <row r="26" spans="1:23" s="11" customFormat="1" ht="31.5" x14ac:dyDescent="0.25">
      <c r="A26" s="76" t="s">
        <v>107</v>
      </c>
      <c r="B26" s="77" t="s">
        <v>108</v>
      </c>
      <c r="C26" s="60">
        <v>14930335.18</v>
      </c>
      <c r="D26" s="86">
        <v>15637927.99</v>
      </c>
      <c r="E26" s="86">
        <v>14360266.34</v>
      </c>
      <c r="F26" s="86">
        <v>14282146.34</v>
      </c>
      <c r="G26" s="86">
        <v>14503032.789999999</v>
      </c>
      <c r="H26" s="86">
        <v>8971702.7799999993</v>
      </c>
      <c r="I26" s="86">
        <v>9187300</v>
      </c>
      <c r="J26" s="86">
        <f>8989551+4300000</f>
        <v>13289551</v>
      </c>
      <c r="K26" s="86">
        <f>9174451+3000000</f>
        <v>12174451</v>
      </c>
      <c r="L26" s="86">
        <f>9226751+3000000</f>
        <v>12226751</v>
      </c>
      <c r="M26" s="60">
        <v>8420798.5800000001</v>
      </c>
      <c r="N26" s="78">
        <v>9169158.7899999991</v>
      </c>
      <c r="O26" s="78">
        <f>E26+J26-R26</f>
        <v>8465266.3399999999</v>
      </c>
      <c r="P26" s="78">
        <f>F26+K26-S26</f>
        <v>8387146.3399999999</v>
      </c>
      <c r="Q26" s="78">
        <f>G26+L26-T26</f>
        <v>8608032.7899999991</v>
      </c>
      <c r="R26" s="31">
        <f>5895000+8989551+4300000</f>
        <v>19184551</v>
      </c>
      <c r="S26" s="31">
        <f>5895000+9174451+3000000</f>
        <v>18069451</v>
      </c>
      <c r="T26" s="31">
        <f>5895000+9226751+3000000</f>
        <v>18121751</v>
      </c>
    </row>
    <row r="27" spans="1:23" s="11" customFormat="1" ht="63" customHeight="1" x14ac:dyDescent="0.25">
      <c r="A27" s="76" t="s">
        <v>113</v>
      </c>
      <c r="B27" s="77" t="s">
        <v>114</v>
      </c>
      <c r="C27" s="60">
        <v>0</v>
      </c>
      <c r="D27" s="86">
        <v>-355136.4</v>
      </c>
      <c r="E27" s="86">
        <v>0</v>
      </c>
      <c r="F27" s="86">
        <v>0</v>
      </c>
      <c r="G27" s="86">
        <v>0</v>
      </c>
      <c r="H27" s="86"/>
      <c r="I27" s="86"/>
      <c r="J27" s="86"/>
      <c r="K27" s="86"/>
      <c r="L27" s="86"/>
      <c r="M27" s="60">
        <f>C27+H27</f>
        <v>0</v>
      </c>
      <c r="N27" s="60">
        <v>-355136.4</v>
      </c>
      <c r="O27" s="78"/>
      <c r="P27" s="78"/>
      <c r="Q27" s="78"/>
      <c r="R27" s="31"/>
      <c r="S27" s="19"/>
      <c r="T27" s="1"/>
    </row>
    <row r="28" spans="1:23" s="11" customFormat="1" ht="24" customHeight="1" x14ac:dyDescent="0.25">
      <c r="A28" s="94" t="s">
        <v>30</v>
      </c>
      <c r="B28" s="94"/>
      <c r="C28" s="89">
        <f>C7+C22</f>
        <v>381556205.65999997</v>
      </c>
      <c r="D28" s="89">
        <f>D7+D22</f>
        <v>358539359.23000002</v>
      </c>
      <c r="E28" s="89">
        <f t="shared" ref="E28:W28" si="7">E7+E22</f>
        <v>358533413.89999998</v>
      </c>
      <c r="F28" s="89">
        <f t="shared" si="7"/>
        <v>332397838.79999995</v>
      </c>
      <c r="G28" s="89">
        <f t="shared" si="7"/>
        <v>335960570.97000003</v>
      </c>
      <c r="H28" s="89">
        <f t="shared" si="7"/>
        <v>74503808.870000005</v>
      </c>
      <c r="I28" s="89">
        <f t="shared" si="7"/>
        <v>102266200</v>
      </c>
      <c r="J28" s="89">
        <f t="shared" si="7"/>
        <v>60106518.079999998</v>
      </c>
      <c r="K28" s="89">
        <f t="shared" si="7"/>
        <v>72668523</v>
      </c>
      <c r="L28" s="89">
        <f t="shared" si="7"/>
        <v>64020323</v>
      </c>
      <c r="M28" s="89">
        <f t="shared" si="7"/>
        <v>436602878.14999998</v>
      </c>
      <c r="N28" s="89">
        <f t="shared" si="7"/>
        <v>438875890.03000003</v>
      </c>
      <c r="O28" s="89">
        <f t="shared" si="7"/>
        <v>398527380.98000002</v>
      </c>
      <c r="P28" s="89">
        <f t="shared" si="7"/>
        <v>386068910.79999995</v>
      </c>
      <c r="Q28" s="89">
        <f t="shared" si="7"/>
        <v>380931142.97000003</v>
      </c>
      <c r="R28" s="89">
        <f t="shared" si="7"/>
        <v>0</v>
      </c>
      <c r="S28" s="89">
        <f t="shared" si="7"/>
        <v>0</v>
      </c>
      <c r="T28" s="89">
        <f t="shared" si="7"/>
        <v>0</v>
      </c>
      <c r="U28" s="89">
        <f t="shared" si="7"/>
        <v>0</v>
      </c>
      <c r="V28" s="89">
        <f t="shared" si="7"/>
        <v>0</v>
      </c>
      <c r="W28" s="89">
        <f t="shared" si="7"/>
        <v>0</v>
      </c>
    </row>
    <row r="29" spans="1:23" s="11" customFormat="1" ht="30" customHeight="1" x14ac:dyDescent="0.25">
      <c r="B29" s="70"/>
      <c r="C29" s="70"/>
      <c r="D29" s="70"/>
      <c r="E29" s="70"/>
      <c r="F29" s="70"/>
      <c r="G29" s="70"/>
      <c r="H29" s="91" t="s">
        <v>31</v>
      </c>
      <c r="I29" s="92"/>
      <c r="J29" s="92"/>
      <c r="K29" s="92"/>
      <c r="L29" s="92"/>
      <c r="M29" s="70"/>
      <c r="N29" s="70"/>
      <c r="O29" s="70"/>
      <c r="P29" s="70"/>
      <c r="Q29" s="71"/>
      <c r="R29" s="31"/>
      <c r="S29" s="1"/>
      <c r="T29" s="1"/>
    </row>
    <row r="30" spans="1:23" s="2" customFormat="1" ht="36" customHeight="1" x14ac:dyDescent="0.25">
      <c r="A30" s="20" t="s">
        <v>32</v>
      </c>
      <c r="B30" s="13" t="s">
        <v>33</v>
      </c>
      <c r="C30" s="61">
        <v>36313354.460000001</v>
      </c>
      <c r="D30" s="61">
        <v>41680240</v>
      </c>
      <c r="E30" s="61">
        <v>40860914</v>
      </c>
      <c r="F30" s="61">
        <f>42872243.11-F44</f>
        <v>38911374.109999999</v>
      </c>
      <c r="G30" s="61">
        <f>46707594.84-G44</f>
        <v>38945783</v>
      </c>
      <c r="H30" s="61">
        <f>186229.63+9022870.5</f>
        <v>9209100.1300000008</v>
      </c>
      <c r="I30" s="61">
        <f>332078+9369820</f>
        <v>9701898</v>
      </c>
      <c r="J30" s="46">
        <v>8780071</v>
      </c>
      <c r="K30" s="46">
        <v>7229473</v>
      </c>
      <c r="L30" s="46">
        <v>7228224</v>
      </c>
      <c r="M30" s="46">
        <v>45499154.590000004</v>
      </c>
      <c r="N30" s="46">
        <f>D30+I30-26225</f>
        <v>51355913</v>
      </c>
      <c r="O30" s="10">
        <f>E30+J30-R30</f>
        <v>49613985</v>
      </c>
      <c r="P30" s="10">
        <f>F30+K30-S30</f>
        <v>46113847.109999999</v>
      </c>
      <c r="Q30" s="10">
        <f>G30+L30-T30</f>
        <v>46147007</v>
      </c>
      <c r="R30" s="31">
        <f>6600+2400+18000</f>
        <v>27000</v>
      </c>
      <c r="S30" s="31">
        <f t="shared" ref="S30:T30" si="8">6600+2400+18000</f>
        <v>27000</v>
      </c>
      <c r="T30" s="31">
        <f t="shared" si="8"/>
        <v>27000</v>
      </c>
      <c r="U30" s="11"/>
    </row>
    <row r="31" spans="1:23" s="11" customFormat="1" ht="19.5" customHeight="1" x14ac:dyDescent="0.25">
      <c r="A31" s="20" t="s">
        <v>34</v>
      </c>
      <c r="B31" s="13" t="s">
        <v>35</v>
      </c>
      <c r="C31" s="61">
        <v>2012315.2</v>
      </c>
      <c r="D31" s="61">
        <v>1724233.2</v>
      </c>
      <c r="E31" s="61"/>
      <c r="F31" s="61"/>
      <c r="G31" s="61"/>
      <c r="H31" s="61">
        <v>1257697</v>
      </c>
      <c r="I31" s="61">
        <f>574744.2+574744.8</f>
        <v>1149489</v>
      </c>
      <c r="J31" s="46"/>
      <c r="K31" s="46"/>
      <c r="L31" s="46"/>
      <c r="M31" s="46">
        <v>1257697</v>
      </c>
      <c r="N31" s="46">
        <f>D31+I31-D31</f>
        <v>1149489.0000000002</v>
      </c>
      <c r="O31" s="46">
        <f>E31+J31-E31</f>
        <v>0</v>
      </c>
      <c r="P31" s="46">
        <f>F31+K31-F31</f>
        <v>0</v>
      </c>
      <c r="Q31" s="46">
        <f>G31+L31-G31</f>
        <v>0</v>
      </c>
      <c r="R31" s="31"/>
      <c r="S31" s="19"/>
      <c r="T31" s="1"/>
    </row>
    <row r="32" spans="1:23" ht="54" customHeight="1" x14ac:dyDescent="0.25">
      <c r="A32" s="20" t="s">
        <v>36</v>
      </c>
      <c r="B32" s="13" t="s">
        <v>37</v>
      </c>
      <c r="C32" s="61">
        <v>4721546.3</v>
      </c>
      <c r="D32" s="61">
        <v>3810800</v>
      </c>
      <c r="E32" s="61">
        <v>4415600</v>
      </c>
      <c r="F32" s="61">
        <v>4415600</v>
      </c>
      <c r="G32" s="61">
        <v>4415600</v>
      </c>
      <c r="H32" s="61">
        <f>25861.84+633632.73</f>
        <v>659494.56999999995</v>
      </c>
      <c r="I32" s="61">
        <f>76700+674400</f>
        <v>751100</v>
      </c>
      <c r="J32" s="46">
        <v>525300</v>
      </c>
      <c r="K32" s="46">
        <v>396000</v>
      </c>
      <c r="L32" s="46">
        <v>396000</v>
      </c>
      <c r="M32" s="46">
        <v>5381040.8700000001</v>
      </c>
      <c r="N32" s="46">
        <f>D32+I32</f>
        <v>4561900</v>
      </c>
      <c r="O32" s="10">
        <f t="shared" ref="O32:Q35" si="9">E32+J32-R32</f>
        <v>4940900</v>
      </c>
      <c r="P32" s="10">
        <f t="shared" si="9"/>
        <v>4811600</v>
      </c>
      <c r="Q32" s="10">
        <f t="shared" si="9"/>
        <v>4811600</v>
      </c>
      <c r="R32" s="31"/>
      <c r="S32" s="31"/>
      <c r="U32" s="11"/>
    </row>
    <row r="33" spans="1:21" s="11" customFormat="1" ht="21" customHeight="1" x14ac:dyDescent="0.25">
      <c r="A33" s="20" t="s">
        <v>38</v>
      </c>
      <c r="B33" s="13" t="s">
        <v>39</v>
      </c>
      <c r="C33" s="61">
        <v>12701122.25</v>
      </c>
      <c r="D33" s="61">
        <v>13167503</v>
      </c>
      <c r="E33" s="61">
        <v>13871228.5</v>
      </c>
      <c r="F33" s="61">
        <v>16108927.68</v>
      </c>
      <c r="G33" s="61">
        <v>15149091.060000001</v>
      </c>
      <c r="H33" s="61">
        <f>19257765.9+9021190.05</f>
        <v>28278955.949999999</v>
      </c>
      <c r="I33" s="61">
        <f>15435000+9233200</f>
        <v>24668200</v>
      </c>
      <c r="J33" s="46">
        <v>21473386</v>
      </c>
      <c r="K33" s="46">
        <v>28228572</v>
      </c>
      <c r="L33" s="46">
        <v>28288572</v>
      </c>
      <c r="M33" s="46">
        <v>32149363.149999999</v>
      </c>
      <c r="N33" s="46">
        <f>D33+I33-9114800</f>
        <v>28720903</v>
      </c>
      <c r="O33" s="10">
        <f t="shared" si="9"/>
        <v>26427614.5</v>
      </c>
      <c r="P33" s="10">
        <f t="shared" si="9"/>
        <v>35235599.68</v>
      </c>
      <c r="Q33" s="10">
        <f t="shared" si="9"/>
        <v>34283463.060000002</v>
      </c>
      <c r="R33" s="31">
        <v>8917000</v>
      </c>
      <c r="S33" s="19">
        <v>9101900</v>
      </c>
      <c r="T33" s="1">
        <v>9154200</v>
      </c>
    </row>
    <row r="34" spans="1:21" s="14" customFormat="1" ht="31.5" customHeight="1" x14ac:dyDescent="0.25">
      <c r="A34" s="20" t="s">
        <v>40</v>
      </c>
      <c r="B34" s="13" t="s">
        <v>41</v>
      </c>
      <c r="C34" s="61">
        <v>8876535.0700000003</v>
      </c>
      <c r="D34" s="61">
        <v>22986136</v>
      </c>
      <c r="E34" s="61">
        <v>1214012.78</v>
      </c>
      <c r="F34" s="61">
        <v>72551</v>
      </c>
      <c r="G34" s="61">
        <v>72551</v>
      </c>
      <c r="H34" s="61">
        <f>25544591.23+1837194.55</f>
        <v>27381785.780000001</v>
      </c>
      <c r="I34" s="61">
        <f>66497000+1357100</f>
        <v>67854100</v>
      </c>
      <c r="J34" s="46">
        <v>22510552.359999999</v>
      </c>
      <c r="K34" s="46">
        <v>29271971</v>
      </c>
      <c r="L34" s="46">
        <v>19518333</v>
      </c>
      <c r="M34" s="46">
        <v>36189488.119999997</v>
      </c>
      <c r="N34" s="46">
        <f>D34+I34-72550</f>
        <v>90767686</v>
      </c>
      <c r="O34" s="10">
        <f t="shared" si="9"/>
        <v>23652014.140000001</v>
      </c>
      <c r="P34" s="10">
        <f t="shared" si="9"/>
        <v>29271971</v>
      </c>
      <c r="Q34" s="10">
        <f t="shared" si="9"/>
        <v>19518333</v>
      </c>
      <c r="R34" s="31">
        <v>72551</v>
      </c>
      <c r="S34" s="31">
        <v>72551</v>
      </c>
      <c r="T34" s="31">
        <v>72551</v>
      </c>
      <c r="U34" s="11"/>
    </row>
    <row r="35" spans="1:21" s="11" customFormat="1" ht="22.5" customHeight="1" x14ac:dyDescent="0.25">
      <c r="A35" s="20" t="s">
        <v>42</v>
      </c>
      <c r="B35" s="13" t="s">
        <v>43</v>
      </c>
      <c r="C35" s="74"/>
      <c r="D35" s="74">
        <v>0</v>
      </c>
      <c r="E35" s="74">
        <v>68533</v>
      </c>
      <c r="F35" s="74">
        <v>68533</v>
      </c>
      <c r="G35" s="74">
        <v>68533</v>
      </c>
      <c r="H35" s="74"/>
      <c r="I35" s="74"/>
      <c r="J35" s="46"/>
      <c r="K35" s="46"/>
      <c r="L35" s="46"/>
      <c r="M35" s="46"/>
      <c r="N35" s="46">
        <f>D35+I35</f>
        <v>0</v>
      </c>
      <c r="O35" s="10">
        <f t="shared" si="9"/>
        <v>68533</v>
      </c>
      <c r="P35" s="10">
        <f t="shared" si="9"/>
        <v>68533</v>
      </c>
      <c r="Q35" s="10">
        <f t="shared" si="9"/>
        <v>68533</v>
      </c>
      <c r="R35" s="31"/>
      <c r="S35" s="31"/>
      <c r="T35" s="1"/>
    </row>
    <row r="36" spans="1:21" ht="22.5" customHeight="1" x14ac:dyDescent="0.25">
      <c r="A36" s="20" t="s">
        <v>44</v>
      </c>
      <c r="B36" s="13" t="s">
        <v>45</v>
      </c>
      <c r="C36" s="61">
        <v>263641727.16999999</v>
      </c>
      <c r="D36" s="61">
        <v>212629366</v>
      </c>
      <c r="E36" s="61">
        <v>217092450.47999999</v>
      </c>
      <c r="F36" s="61">
        <v>196629092.81</v>
      </c>
      <c r="G36" s="61">
        <v>194930692.87</v>
      </c>
      <c r="H36" s="61"/>
      <c r="I36" s="61"/>
      <c r="J36" s="46"/>
      <c r="K36" s="46"/>
      <c r="L36" s="46"/>
      <c r="M36" s="46">
        <f>C36</f>
        <v>263641727.16999999</v>
      </c>
      <c r="N36" s="46">
        <f>D36</f>
        <v>212629366</v>
      </c>
      <c r="O36" s="46">
        <f>E36</f>
        <v>217092450.47999999</v>
      </c>
      <c r="P36" s="46">
        <f>F36</f>
        <v>196629092.81</v>
      </c>
      <c r="Q36" s="46">
        <f>G36</f>
        <v>194930692.87</v>
      </c>
      <c r="R36" s="31"/>
      <c r="S36" s="31"/>
      <c r="U36" s="11"/>
    </row>
    <row r="37" spans="1:21" ht="22.5" customHeight="1" x14ac:dyDescent="0.25">
      <c r="A37" s="20" t="s">
        <v>46</v>
      </c>
      <c r="B37" s="13" t="s">
        <v>47</v>
      </c>
      <c r="C37" s="61">
        <v>25506214.699999999</v>
      </c>
      <c r="D37" s="61">
        <v>26678933</v>
      </c>
      <c r="E37" s="61">
        <v>34621215.939999998</v>
      </c>
      <c r="F37" s="61">
        <v>25350842</v>
      </c>
      <c r="G37" s="61">
        <v>25352559</v>
      </c>
      <c r="H37" s="61">
        <f>5575489+377409.53</f>
        <v>5952898.5300000003</v>
      </c>
      <c r="I37" s="61">
        <f>5600000+50900</f>
        <v>5650900</v>
      </c>
      <c r="J37" s="46">
        <v>5647820</v>
      </c>
      <c r="K37" s="46">
        <v>5633098</v>
      </c>
      <c r="L37" s="46">
        <v>5633478</v>
      </c>
      <c r="M37" s="46">
        <v>25883624.23</v>
      </c>
      <c r="N37" s="46">
        <f>D37+I37-5600000</f>
        <v>26729833</v>
      </c>
      <c r="O37" s="10">
        <f t="shared" ref="O37:Q40" si="10">E37+J37-R37</f>
        <v>34669035.939999998</v>
      </c>
      <c r="P37" s="10">
        <f t="shared" si="10"/>
        <v>25383940</v>
      </c>
      <c r="Q37" s="10">
        <f t="shared" si="10"/>
        <v>25386037</v>
      </c>
      <c r="R37" s="31">
        <v>5600000</v>
      </c>
      <c r="S37" s="31">
        <v>5600000</v>
      </c>
      <c r="T37" s="31">
        <v>5600000</v>
      </c>
      <c r="U37" s="11"/>
    </row>
    <row r="38" spans="1:21" ht="18.75" customHeight="1" x14ac:dyDescent="0.25">
      <c r="A38" s="20" t="s">
        <v>48</v>
      </c>
      <c r="B38" s="13" t="s">
        <v>49</v>
      </c>
      <c r="C38" s="74"/>
      <c r="D38" s="74"/>
      <c r="E38" s="74"/>
      <c r="F38" s="74"/>
      <c r="G38" s="74"/>
      <c r="H38" s="74"/>
      <c r="I38" s="74"/>
      <c r="J38" s="46"/>
      <c r="K38" s="46"/>
      <c r="L38" s="46"/>
      <c r="M38" s="46">
        <f>C38</f>
        <v>0</v>
      </c>
      <c r="N38" s="46">
        <f>D38+I38</f>
        <v>0</v>
      </c>
      <c r="O38" s="10">
        <f t="shared" si="10"/>
        <v>0</v>
      </c>
      <c r="P38" s="10">
        <f t="shared" si="10"/>
        <v>0</v>
      </c>
      <c r="Q38" s="10">
        <f t="shared" si="10"/>
        <v>0</v>
      </c>
      <c r="R38" s="31"/>
      <c r="S38" s="31"/>
      <c r="U38" s="11"/>
    </row>
    <row r="39" spans="1:21" ht="18.75" customHeight="1" x14ac:dyDescent="0.25">
      <c r="A39" s="20" t="s">
        <v>50</v>
      </c>
      <c r="B39" s="13" t="s">
        <v>51</v>
      </c>
      <c r="C39" s="61">
        <v>21754472.309999999</v>
      </c>
      <c r="D39" s="61">
        <v>22092741</v>
      </c>
      <c r="E39" s="61">
        <v>32904649.199999999</v>
      </c>
      <c r="F39" s="61">
        <v>35871349.200000003</v>
      </c>
      <c r="G39" s="61">
        <v>38455249.200000003</v>
      </c>
      <c r="H39" s="61">
        <f>94086.72+794789.04</f>
        <v>888875.76</v>
      </c>
      <c r="I39" s="61">
        <f>100800+794800</f>
        <v>895600</v>
      </c>
      <c r="J39" s="46">
        <v>901388.72</v>
      </c>
      <c r="K39" s="46">
        <v>592248</v>
      </c>
      <c r="L39" s="46">
        <v>547948</v>
      </c>
      <c r="M39" s="46">
        <v>22643348.07</v>
      </c>
      <c r="N39" s="46">
        <f>D39+I39</f>
        <v>22988341</v>
      </c>
      <c r="O39" s="10">
        <f t="shared" si="10"/>
        <v>33806037.920000002</v>
      </c>
      <c r="P39" s="10">
        <f t="shared" si="10"/>
        <v>36463597.200000003</v>
      </c>
      <c r="Q39" s="10">
        <f t="shared" si="10"/>
        <v>39003197.200000003</v>
      </c>
      <c r="R39" s="31"/>
      <c r="S39" s="31"/>
      <c r="U39" s="11"/>
    </row>
    <row r="40" spans="1:21" ht="36" customHeight="1" x14ac:dyDescent="0.25">
      <c r="A40" s="20" t="s">
        <v>52</v>
      </c>
      <c r="B40" s="13" t="s">
        <v>53</v>
      </c>
      <c r="C40" s="61">
        <v>706784.4</v>
      </c>
      <c r="D40" s="61">
        <f>5334453</f>
        <v>5334453</v>
      </c>
      <c r="E40" s="61">
        <v>8256810</v>
      </c>
      <c r="F40" s="61">
        <v>7080700</v>
      </c>
      <c r="G40" s="61">
        <v>6880700</v>
      </c>
      <c r="H40" s="61">
        <f>210484.4+18000</f>
        <v>228484.4</v>
      </c>
      <c r="I40" s="61">
        <f>268000</f>
        <v>268000</v>
      </c>
      <c r="J40" s="46">
        <v>268000</v>
      </c>
      <c r="K40" s="46">
        <v>268000</v>
      </c>
      <c r="L40" s="46">
        <v>268000</v>
      </c>
      <c r="M40" s="46">
        <v>706784.4</v>
      </c>
      <c r="N40" s="46">
        <f>D40+I40-268000</f>
        <v>5334453</v>
      </c>
      <c r="O40" s="10">
        <f t="shared" si="10"/>
        <v>8256810</v>
      </c>
      <c r="P40" s="10">
        <f t="shared" si="10"/>
        <v>7080700</v>
      </c>
      <c r="Q40" s="10">
        <f t="shared" si="10"/>
        <v>6880700</v>
      </c>
      <c r="R40" s="31">
        <v>268000</v>
      </c>
      <c r="S40" s="31">
        <v>268000</v>
      </c>
      <c r="T40" s="31">
        <v>268000</v>
      </c>
      <c r="U40" s="11"/>
    </row>
    <row r="41" spans="1:21" ht="35.25" hidden="1" customHeight="1" x14ac:dyDescent="0.25">
      <c r="A41" s="20" t="s">
        <v>54</v>
      </c>
      <c r="B41" s="13" t="s">
        <v>55</v>
      </c>
      <c r="C41" s="74"/>
      <c r="D41" s="74"/>
      <c r="E41" s="74"/>
      <c r="F41" s="74"/>
      <c r="G41" s="74"/>
      <c r="H41" s="74"/>
      <c r="I41" s="74"/>
      <c r="J41" s="46"/>
      <c r="K41" s="46"/>
      <c r="L41" s="46"/>
      <c r="M41" s="46"/>
      <c r="N41" s="46">
        <f t="shared" ref="N41:Q42" si="11">D41+I41</f>
        <v>0</v>
      </c>
      <c r="O41" s="10">
        <f t="shared" si="11"/>
        <v>0</v>
      </c>
      <c r="P41" s="10">
        <f t="shared" si="11"/>
        <v>0</v>
      </c>
      <c r="Q41" s="10">
        <f t="shared" si="11"/>
        <v>0</v>
      </c>
      <c r="R41" s="31"/>
      <c r="S41" s="31"/>
    </row>
    <row r="42" spans="1:21" ht="52.5" hidden="1" customHeight="1" x14ac:dyDescent="0.25">
      <c r="A42" s="20" t="s">
        <v>56</v>
      </c>
      <c r="B42" s="13" t="s">
        <v>57</v>
      </c>
      <c r="C42" s="74"/>
      <c r="D42" s="74"/>
      <c r="E42" s="74"/>
      <c r="F42" s="74"/>
      <c r="G42" s="74"/>
      <c r="H42" s="74"/>
      <c r="I42" s="74"/>
      <c r="J42" s="46"/>
      <c r="K42" s="46"/>
      <c r="L42" s="46"/>
      <c r="M42" s="46"/>
      <c r="N42" s="46">
        <f t="shared" si="11"/>
        <v>0</v>
      </c>
      <c r="O42" s="10">
        <f t="shared" si="11"/>
        <v>0</v>
      </c>
      <c r="P42" s="10">
        <f t="shared" si="11"/>
        <v>0</v>
      </c>
      <c r="Q42" s="10">
        <f t="shared" si="11"/>
        <v>0</v>
      </c>
      <c r="R42" s="31"/>
      <c r="S42" s="31"/>
    </row>
    <row r="43" spans="1:21" ht="78.75" customHeight="1" x14ac:dyDescent="0.25">
      <c r="A43" s="20" t="s">
        <v>58</v>
      </c>
      <c r="B43" s="82" t="s">
        <v>59</v>
      </c>
      <c r="C43" s="61">
        <v>2718000</v>
      </c>
      <c r="D43" s="61">
        <v>5124300</v>
      </c>
      <c r="E43" s="61">
        <v>5228000</v>
      </c>
      <c r="F43" s="61">
        <v>3928000</v>
      </c>
      <c r="G43" s="61">
        <v>3928000</v>
      </c>
      <c r="H43" s="61"/>
      <c r="I43" s="61"/>
      <c r="J43" s="46"/>
      <c r="K43" s="46"/>
      <c r="L43" s="46"/>
      <c r="M43" s="46"/>
      <c r="N43" s="46"/>
      <c r="O43" s="10">
        <v>0</v>
      </c>
      <c r="P43" s="10">
        <v>0</v>
      </c>
      <c r="Q43" s="10">
        <v>0</v>
      </c>
      <c r="R43" s="31"/>
      <c r="S43" s="31"/>
    </row>
    <row r="44" spans="1:21" ht="33" customHeight="1" x14ac:dyDescent="0.25">
      <c r="A44" s="20" t="s">
        <v>67</v>
      </c>
      <c r="B44" s="13" t="s">
        <v>68</v>
      </c>
      <c r="C44" s="61"/>
      <c r="D44" s="61"/>
      <c r="E44" s="61"/>
      <c r="F44" s="61">
        <v>3960869</v>
      </c>
      <c r="G44" s="61">
        <v>7761811.8399999999</v>
      </c>
      <c r="H44" s="61"/>
      <c r="I44" s="61"/>
      <c r="J44" s="46"/>
      <c r="K44" s="46">
        <v>1049161</v>
      </c>
      <c r="L44" s="46">
        <v>2139768</v>
      </c>
      <c r="M44" s="46"/>
      <c r="N44" s="46">
        <f>D44+I44</f>
        <v>0</v>
      </c>
      <c r="O44" s="10">
        <f>E44+J44</f>
        <v>0</v>
      </c>
      <c r="P44" s="10">
        <f>F44+K44</f>
        <v>5010030</v>
      </c>
      <c r="Q44" s="10">
        <f>G44+L44</f>
        <v>9901579.8399999999</v>
      </c>
      <c r="R44" s="31"/>
      <c r="S44" s="31"/>
    </row>
    <row r="45" spans="1:21" ht="23.25" customHeight="1" x14ac:dyDescent="0.25">
      <c r="A45" s="94" t="s">
        <v>60</v>
      </c>
      <c r="B45" s="94"/>
      <c r="C45" s="17">
        <f t="shared" ref="C45:D45" si="12">SUM(C30:C44)</f>
        <v>378952071.85999995</v>
      </c>
      <c r="D45" s="17">
        <f t="shared" si="12"/>
        <v>355228705.19999999</v>
      </c>
      <c r="E45" s="17">
        <f>SUM(E30:E44)</f>
        <v>358533413.89999998</v>
      </c>
      <c r="F45" s="17">
        <f>SUM(F30:F44)</f>
        <v>332397838.80000001</v>
      </c>
      <c r="G45" s="17">
        <f t="shared" ref="G45:T45" si="13">SUM(G30:G44)</f>
        <v>335960570.96999997</v>
      </c>
      <c r="H45" s="17">
        <f t="shared" ref="H45:I45" si="14">SUM(H30:H44)</f>
        <v>73857292.120000005</v>
      </c>
      <c r="I45" s="17">
        <f t="shared" si="14"/>
        <v>110939287</v>
      </c>
      <c r="J45" s="17">
        <f>SUM(J30:J44)</f>
        <v>60106518.079999998</v>
      </c>
      <c r="K45" s="17">
        <f t="shared" ref="K45:N45" si="15">SUM(K30:K44)</f>
        <v>72668523</v>
      </c>
      <c r="L45" s="17">
        <f t="shared" si="15"/>
        <v>64020323</v>
      </c>
      <c r="M45" s="17">
        <f t="shared" si="15"/>
        <v>433352227.59999996</v>
      </c>
      <c r="N45" s="17">
        <f t="shared" si="15"/>
        <v>444237884</v>
      </c>
      <c r="O45" s="17">
        <f>SUM(O30:O44)</f>
        <v>398527380.98000002</v>
      </c>
      <c r="P45" s="17">
        <f>SUM(P30:P44)</f>
        <v>386068910.80000001</v>
      </c>
      <c r="Q45" s="17">
        <f t="shared" si="13"/>
        <v>380931142.96999997</v>
      </c>
      <c r="R45" s="17">
        <f t="shared" si="13"/>
        <v>14884551</v>
      </c>
      <c r="S45" s="17">
        <f t="shared" si="13"/>
        <v>15069451</v>
      </c>
      <c r="T45" s="17">
        <f t="shared" si="13"/>
        <v>15121751</v>
      </c>
    </row>
    <row r="46" spans="1:21" ht="32.25" customHeight="1" x14ac:dyDescent="0.25">
      <c r="A46" s="95" t="s">
        <v>61</v>
      </c>
      <c r="B46" s="95"/>
      <c r="C46" s="105">
        <f t="shared" ref="C46:D46" si="16">C28-C45</f>
        <v>2604133.8000000119</v>
      </c>
      <c r="D46" s="15">
        <f t="shared" si="16"/>
        <v>3310654.030000031</v>
      </c>
      <c r="E46" s="15">
        <f t="shared" ref="E46:Q46" si="17">E28-E45</f>
        <v>0</v>
      </c>
      <c r="F46" s="15">
        <f t="shared" si="17"/>
        <v>0</v>
      </c>
      <c r="G46" s="15">
        <f t="shared" si="17"/>
        <v>0</v>
      </c>
      <c r="H46" s="105">
        <f t="shared" ref="H46:I46" si="18">H28-H45</f>
        <v>646516.75</v>
      </c>
      <c r="I46" s="15">
        <f t="shared" si="18"/>
        <v>-8673087</v>
      </c>
      <c r="J46" s="15">
        <f t="shared" si="17"/>
        <v>0</v>
      </c>
      <c r="K46" s="15">
        <f t="shared" si="17"/>
        <v>0</v>
      </c>
      <c r="L46" s="15">
        <f t="shared" si="17"/>
        <v>0</v>
      </c>
      <c r="M46" s="105">
        <f t="shared" si="17"/>
        <v>3250650.5500000119</v>
      </c>
      <c r="N46" s="15">
        <f t="shared" si="17"/>
        <v>-5361993.969999969</v>
      </c>
      <c r="O46" s="15">
        <f t="shared" si="17"/>
        <v>0</v>
      </c>
      <c r="P46" s="15">
        <f t="shared" si="17"/>
        <v>0</v>
      </c>
      <c r="Q46" s="15">
        <f t="shared" si="17"/>
        <v>0</v>
      </c>
      <c r="R46" s="31"/>
    </row>
    <row r="48" spans="1:21" x14ac:dyDescent="0.25">
      <c r="A48" s="66"/>
    </row>
    <row r="49" spans="1:7" x14ac:dyDescent="0.25">
      <c r="A49" s="66"/>
      <c r="E49" s="19"/>
      <c r="F49" s="19"/>
      <c r="G49" s="19"/>
    </row>
    <row r="50" spans="1:7" x14ac:dyDescent="0.25">
      <c r="A50" s="66"/>
      <c r="F50" s="19"/>
    </row>
    <row r="51" spans="1:7" x14ac:dyDescent="0.25">
      <c r="A51" s="66"/>
    </row>
    <row r="52" spans="1:7" x14ac:dyDescent="0.25">
      <c r="A52" s="66"/>
    </row>
    <row r="53" spans="1:7" x14ac:dyDescent="0.25">
      <c r="A53" s="66"/>
      <c r="B53" s="84"/>
    </row>
    <row r="54" spans="1:7" x14ac:dyDescent="0.25">
      <c r="A54" s="66"/>
    </row>
    <row r="55" spans="1:7" x14ac:dyDescent="0.25">
      <c r="A55" s="66"/>
      <c r="B55" s="84"/>
    </row>
    <row r="56" spans="1:7" x14ac:dyDescent="0.25">
      <c r="A56" s="66"/>
    </row>
    <row r="57" spans="1:7" x14ac:dyDescent="0.25">
      <c r="A57" s="66"/>
    </row>
    <row r="58" spans="1:7" x14ac:dyDescent="0.25">
      <c r="A58" s="66"/>
    </row>
    <row r="59" spans="1:7" x14ac:dyDescent="0.25">
      <c r="A59" s="66"/>
    </row>
    <row r="60" spans="1:7" x14ac:dyDescent="0.25">
      <c r="A60" s="66"/>
    </row>
    <row r="61" spans="1:7" x14ac:dyDescent="0.25">
      <c r="A61" s="66"/>
    </row>
    <row r="62" spans="1:7" x14ac:dyDescent="0.25">
      <c r="A62" s="66"/>
    </row>
    <row r="63" spans="1:7" x14ac:dyDescent="0.25">
      <c r="A63" s="66"/>
    </row>
    <row r="64" spans="1:7" x14ac:dyDescent="0.25">
      <c r="A64" s="66"/>
    </row>
  </sheetData>
  <mergeCells count="11">
    <mergeCell ref="P2:Q2"/>
    <mergeCell ref="A3:A4"/>
    <mergeCell ref="B3:B4"/>
    <mergeCell ref="C3:G3"/>
    <mergeCell ref="H3:L3"/>
    <mergeCell ref="M3:Q3"/>
    <mergeCell ref="H29:L29"/>
    <mergeCell ref="C1:L1"/>
    <mergeCell ref="A28:B28"/>
    <mergeCell ref="A45:B45"/>
    <mergeCell ref="A46:B46"/>
  </mergeCells>
  <pageMargins left="0.11811023622047245" right="0.11811023622047245" top="0.74803149606299213" bottom="0.35433070866141736" header="0.31496062992125984" footer="0.31496062992125984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opLeftCell="A4" zoomScale="75" zoomScaleNormal="75" workbookViewId="0">
      <pane xSplit="2" ySplit="5" topLeftCell="C9" activePane="bottomRight" state="frozen"/>
      <selection activeCell="A23" sqref="A23:XFD24"/>
      <selection pane="topRight" activeCell="A23" sqref="A23:XFD24"/>
      <selection pane="bottomLeft" activeCell="A23" sqref="A23:XFD24"/>
      <selection pane="bottomRight" activeCell="F18" sqref="F18"/>
    </sheetView>
  </sheetViews>
  <sheetFormatPr defaultRowHeight="15.75" x14ac:dyDescent="0.25"/>
  <cols>
    <col min="1" max="1" width="16.5703125" style="1" customWidth="1"/>
    <col min="2" max="2" width="36.7109375" style="1" customWidth="1"/>
    <col min="3" max="3" width="18.5703125" style="16" hidden="1" customWidth="1"/>
    <col min="4" max="4" width="16.7109375" style="16" hidden="1" customWidth="1"/>
    <col min="5" max="5" width="16.140625" style="16" hidden="1" customWidth="1"/>
    <col min="6" max="8" width="16.42578125" style="16" customWidth="1"/>
    <col min="9" max="14" width="16.7109375" style="16" customWidth="1"/>
    <col min="15" max="17" width="15.28515625" style="16" customWidth="1"/>
    <col min="18" max="29" width="16.7109375" style="16" customWidth="1"/>
    <col min="30" max="259" width="9.140625" style="1"/>
    <col min="260" max="260" width="25.7109375" style="1" customWidth="1"/>
    <col min="261" max="261" width="36.7109375" style="1" customWidth="1"/>
    <col min="262" max="262" width="20.140625" style="1" customWidth="1"/>
    <col min="263" max="263" width="20" style="1" customWidth="1"/>
    <col min="264" max="264" width="21.28515625" style="1" customWidth="1"/>
    <col min="265" max="267" width="19" style="1" bestFit="1" customWidth="1"/>
    <col min="268" max="270" width="20.7109375" style="1" bestFit="1" customWidth="1"/>
    <col min="271" max="272" width="14.42578125" style="1" customWidth="1"/>
    <col min="273" max="273" width="14" style="1" customWidth="1"/>
    <col min="274" max="515" width="9.140625" style="1"/>
    <col min="516" max="516" width="25.7109375" style="1" customWidth="1"/>
    <col min="517" max="517" width="36.7109375" style="1" customWidth="1"/>
    <col min="518" max="518" width="20.140625" style="1" customWidth="1"/>
    <col min="519" max="519" width="20" style="1" customWidth="1"/>
    <col min="520" max="520" width="21.28515625" style="1" customWidth="1"/>
    <col min="521" max="523" width="19" style="1" bestFit="1" customWidth="1"/>
    <col min="524" max="526" width="20.7109375" style="1" bestFit="1" customWidth="1"/>
    <col min="527" max="528" width="14.42578125" style="1" customWidth="1"/>
    <col min="529" max="529" width="14" style="1" customWidth="1"/>
    <col min="530" max="771" width="9.140625" style="1"/>
    <col min="772" max="772" width="25.7109375" style="1" customWidth="1"/>
    <col min="773" max="773" width="36.7109375" style="1" customWidth="1"/>
    <col min="774" max="774" width="20.140625" style="1" customWidth="1"/>
    <col min="775" max="775" width="20" style="1" customWidth="1"/>
    <col min="776" max="776" width="21.28515625" style="1" customWidth="1"/>
    <col min="777" max="779" width="19" style="1" bestFit="1" customWidth="1"/>
    <col min="780" max="782" width="20.7109375" style="1" bestFit="1" customWidth="1"/>
    <col min="783" max="784" width="14.42578125" style="1" customWidth="1"/>
    <col min="785" max="785" width="14" style="1" customWidth="1"/>
    <col min="786" max="1027" width="9.140625" style="1"/>
    <col min="1028" max="1028" width="25.7109375" style="1" customWidth="1"/>
    <col min="1029" max="1029" width="36.7109375" style="1" customWidth="1"/>
    <col min="1030" max="1030" width="20.140625" style="1" customWidth="1"/>
    <col min="1031" max="1031" width="20" style="1" customWidth="1"/>
    <col min="1032" max="1032" width="21.28515625" style="1" customWidth="1"/>
    <col min="1033" max="1035" width="19" style="1" bestFit="1" customWidth="1"/>
    <col min="1036" max="1038" width="20.7109375" style="1" bestFit="1" customWidth="1"/>
    <col min="1039" max="1040" width="14.42578125" style="1" customWidth="1"/>
    <col min="1041" max="1041" width="14" style="1" customWidth="1"/>
    <col min="1042" max="1283" width="9.140625" style="1"/>
    <col min="1284" max="1284" width="25.7109375" style="1" customWidth="1"/>
    <col min="1285" max="1285" width="36.7109375" style="1" customWidth="1"/>
    <col min="1286" max="1286" width="20.140625" style="1" customWidth="1"/>
    <col min="1287" max="1287" width="20" style="1" customWidth="1"/>
    <col min="1288" max="1288" width="21.28515625" style="1" customWidth="1"/>
    <col min="1289" max="1291" width="19" style="1" bestFit="1" customWidth="1"/>
    <col min="1292" max="1294" width="20.7109375" style="1" bestFit="1" customWidth="1"/>
    <col min="1295" max="1296" width="14.42578125" style="1" customWidth="1"/>
    <col min="1297" max="1297" width="14" style="1" customWidth="1"/>
    <col min="1298" max="1539" width="9.140625" style="1"/>
    <col min="1540" max="1540" width="25.7109375" style="1" customWidth="1"/>
    <col min="1541" max="1541" width="36.7109375" style="1" customWidth="1"/>
    <col min="1542" max="1542" width="20.140625" style="1" customWidth="1"/>
    <col min="1543" max="1543" width="20" style="1" customWidth="1"/>
    <col min="1544" max="1544" width="21.28515625" style="1" customWidth="1"/>
    <col min="1545" max="1547" width="19" style="1" bestFit="1" customWidth="1"/>
    <col min="1548" max="1550" width="20.7109375" style="1" bestFit="1" customWidth="1"/>
    <col min="1551" max="1552" width="14.42578125" style="1" customWidth="1"/>
    <col min="1553" max="1553" width="14" style="1" customWidth="1"/>
    <col min="1554" max="1795" width="9.140625" style="1"/>
    <col min="1796" max="1796" width="25.7109375" style="1" customWidth="1"/>
    <col min="1797" max="1797" width="36.7109375" style="1" customWidth="1"/>
    <col min="1798" max="1798" width="20.140625" style="1" customWidth="1"/>
    <col min="1799" max="1799" width="20" style="1" customWidth="1"/>
    <col min="1800" max="1800" width="21.28515625" style="1" customWidth="1"/>
    <col min="1801" max="1803" width="19" style="1" bestFit="1" customWidth="1"/>
    <col min="1804" max="1806" width="20.7109375" style="1" bestFit="1" customWidth="1"/>
    <col min="1807" max="1808" width="14.42578125" style="1" customWidth="1"/>
    <col min="1809" max="1809" width="14" style="1" customWidth="1"/>
    <col min="1810" max="2051" width="9.140625" style="1"/>
    <col min="2052" max="2052" width="25.7109375" style="1" customWidth="1"/>
    <col min="2053" max="2053" width="36.7109375" style="1" customWidth="1"/>
    <col min="2054" max="2054" width="20.140625" style="1" customWidth="1"/>
    <col min="2055" max="2055" width="20" style="1" customWidth="1"/>
    <col min="2056" max="2056" width="21.28515625" style="1" customWidth="1"/>
    <col min="2057" max="2059" width="19" style="1" bestFit="1" customWidth="1"/>
    <col min="2060" max="2062" width="20.7109375" style="1" bestFit="1" customWidth="1"/>
    <col min="2063" max="2064" width="14.42578125" style="1" customWidth="1"/>
    <col min="2065" max="2065" width="14" style="1" customWidth="1"/>
    <col min="2066" max="2307" width="9.140625" style="1"/>
    <col min="2308" max="2308" width="25.7109375" style="1" customWidth="1"/>
    <col min="2309" max="2309" width="36.7109375" style="1" customWidth="1"/>
    <col min="2310" max="2310" width="20.140625" style="1" customWidth="1"/>
    <col min="2311" max="2311" width="20" style="1" customWidth="1"/>
    <col min="2312" max="2312" width="21.28515625" style="1" customWidth="1"/>
    <col min="2313" max="2315" width="19" style="1" bestFit="1" customWidth="1"/>
    <col min="2316" max="2318" width="20.7109375" style="1" bestFit="1" customWidth="1"/>
    <col min="2319" max="2320" width="14.42578125" style="1" customWidth="1"/>
    <col min="2321" max="2321" width="14" style="1" customWidth="1"/>
    <col min="2322" max="2563" width="9.140625" style="1"/>
    <col min="2564" max="2564" width="25.7109375" style="1" customWidth="1"/>
    <col min="2565" max="2565" width="36.7109375" style="1" customWidth="1"/>
    <col min="2566" max="2566" width="20.140625" style="1" customWidth="1"/>
    <col min="2567" max="2567" width="20" style="1" customWidth="1"/>
    <col min="2568" max="2568" width="21.28515625" style="1" customWidth="1"/>
    <col min="2569" max="2571" width="19" style="1" bestFit="1" customWidth="1"/>
    <col min="2572" max="2574" width="20.7109375" style="1" bestFit="1" customWidth="1"/>
    <col min="2575" max="2576" width="14.42578125" style="1" customWidth="1"/>
    <col min="2577" max="2577" width="14" style="1" customWidth="1"/>
    <col min="2578" max="2819" width="9.140625" style="1"/>
    <col min="2820" max="2820" width="25.7109375" style="1" customWidth="1"/>
    <col min="2821" max="2821" width="36.7109375" style="1" customWidth="1"/>
    <col min="2822" max="2822" width="20.140625" style="1" customWidth="1"/>
    <col min="2823" max="2823" width="20" style="1" customWidth="1"/>
    <col min="2824" max="2824" width="21.28515625" style="1" customWidth="1"/>
    <col min="2825" max="2827" width="19" style="1" bestFit="1" customWidth="1"/>
    <col min="2828" max="2830" width="20.7109375" style="1" bestFit="1" customWidth="1"/>
    <col min="2831" max="2832" width="14.42578125" style="1" customWidth="1"/>
    <col min="2833" max="2833" width="14" style="1" customWidth="1"/>
    <col min="2834" max="3075" width="9.140625" style="1"/>
    <col min="3076" max="3076" width="25.7109375" style="1" customWidth="1"/>
    <col min="3077" max="3077" width="36.7109375" style="1" customWidth="1"/>
    <col min="3078" max="3078" width="20.140625" style="1" customWidth="1"/>
    <col min="3079" max="3079" width="20" style="1" customWidth="1"/>
    <col min="3080" max="3080" width="21.28515625" style="1" customWidth="1"/>
    <col min="3081" max="3083" width="19" style="1" bestFit="1" customWidth="1"/>
    <col min="3084" max="3086" width="20.7109375" style="1" bestFit="1" customWidth="1"/>
    <col min="3087" max="3088" width="14.42578125" style="1" customWidth="1"/>
    <col min="3089" max="3089" width="14" style="1" customWidth="1"/>
    <col min="3090" max="3331" width="9.140625" style="1"/>
    <col min="3332" max="3332" width="25.7109375" style="1" customWidth="1"/>
    <col min="3333" max="3333" width="36.7109375" style="1" customWidth="1"/>
    <col min="3334" max="3334" width="20.140625" style="1" customWidth="1"/>
    <col min="3335" max="3335" width="20" style="1" customWidth="1"/>
    <col min="3336" max="3336" width="21.28515625" style="1" customWidth="1"/>
    <col min="3337" max="3339" width="19" style="1" bestFit="1" customWidth="1"/>
    <col min="3340" max="3342" width="20.7109375" style="1" bestFit="1" customWidth="1"/>
    <col min="3343" max="3344" width="14.42578125" style="1" customWidth="1"/>
    <col min="3345" max="3345" width="14" style="1" customWidth="1"/>
    <col min="3346" max="3587" width="9.140625" style="1"/>
    <col min="3588" max="3588" width="25.7109375" style="1" customWidth="1"/>
    <col min="3589" max="3589" width="36.7109375" style="1" customWidth="1"/>
    <col min="3590" max="3590" width="20.140625" style="1" customWidth="1"/>
    <col min="3591" max="3591" width="20" style="1" customWidth="1"/>
    <col min="3592" max="3592" width="21.28515625" style="1" customWidth="1"/>
    <col min="3593" max="3595" width="19" style="1" bestFit="1" customWidth="1"/>
    <col min="3596" max="3598" width="20.7109375" style="1" bestFit="1" customWidth="1"/>
    <col min="3599" max="3600" width="14.42578125" style="1" customWidth="1"/>
    <col min="3601" max="3601" width="14" style="1" customWidth="1"/>
    <col min="3602" max="3843" width="9.140625" style="1"/>
    <col min="3844" max="3844" width="25.7109375" style="1" customWidth="1"/>
    <col min="3845" max="3845" width="36.7109375" style="1" customWidth="1"/>
    <col min="3846" max="3846" width="20.140625" style="1" customWidth="1"/>
    <col min="3847" max="3847" width="20" style="1" customWidth="1"/>
    <col min="3848" max="3848" width="21.28515625" style="1" customWidth="1"/>
    <col min="3849" max="3851" width="19" style="1" bestFit="1" customWidth="1"/>
    <col min="3852" max="3854" width="20.7109375" style="1" bestFit="1" customWidth="1"/>
    <col min="3855" max="3856" width="14.42578125" style="1" customWidth="1"/>
    <col min="3857" max="3857" width="14" style="1" customWidth="1"/>
    <col min="3858" max="4099" width="9.140625" style="1"/>
    <col min="4100" max="4100" width="25.7109375" style="1" customWidth="1"/>
    <col min="4101" max="4101" width="36.7109375" style="1" customWidth="1"/>
    <col min="4102" max="4102" width="20.140625" style="1" customWidth="1"/>
    <col min="4103" max="4103" width="20" style="1" customWidth="1"/>
    <col min="4104" max="4104" width="21.28515625" style="1" customWidth="1"/>
    <col min="4105" max="4107" width="19" style="1" bestFit="1" customWidth="1"/>
    <col min="4108" max="4110" width="20.7109375" style="1" bestFit="1" customWidth="1"/>
    <col min="4111" max="4112" width="14.42578125" style="1" customWidth="1"/>
    <col min="4113" max="4113" width="14" style="1" customWidth="1"/>
    <col min="4114" max="4355" width="9.140625" style="1"/>
    <col min="4356" max="4356" width="25.7109375" style="1" customWidth="1"/>
    <col min="4357" max="4357" width="36.7109375" style="1" customWidth="1"/>
    <col min="4358" max="4358" width="20.140625" style="1" customWidth="1"/>
    <col min="4359" max="4359" width="20" style="1" customWidth="1"/>
    <col min="4360" max="4360" width="21.28515625" style="1" customWidth="1"/>
    <col min="4361" max="4363" width="19" style="1" bestFit="1" customWidth="1"/>
    <col min="4364" max="4366" width="20.7109375" style="1" bestFit="1" customWidth="1"/>
    <col min="4367" max="4368" width="14.42578125" style="1" customWidth="1"/>
    <col min="4369" max="4369" width="14" style="1" customWidth="1"/>
    <col min="4370" max="4611" width="9.140625" style="1"/>
    <col min="4612" max="4612" width="25.7109375" style="1" customWidth="1"/>
    <col min="4613" max="4613" width="36.7109375" style="1" customWidth="1"/>
    <col min="4614" max="4614" width="20.140625" style="1" customWidth="1"/>
    <col min="4615" max="4615" width="20" style="1" customWidth="1"/>
    <col min="4616" max="4616" width="21.28515625" style="1" customWidth="1"/>
    <col min="4617" max="4619" width="19" style="1" bestFit="1" customWidth="1"/>
    <col min="4620" max="4622" width="20.7109375" style="1" bestFit="1" customWidth="1"/>
    <col min="4623" max="4624" width="14.42578125" style="1" customWidth="1"/>
    <col min="4625" max="4625" width="14" style="1" customWidth="1"/>
    <col min="4626" max="4867" width="9.140625" style="1"/>
    <col min="4868" max="4868" width="25.7109375" style="1" customWidth="1"/>
    <col min="4869" max="4869" width="36.7109375" style="1" customWidth="1"/>
    <col min="4870" max="4870" width="20.140625" style="1" customWidth="1"/>
    <col min="4871" max="4871" width="20" style="1" customWidth="1"/>
    <col min="4872" max="4872" width="21.28515625" style="1" customWidth="1"/>
    <col min="4873" max="4875" width="19" style="1" bestFit="1" customWidth="1"/>
    <col min="4876" max="4878" width="20.7109375" style="1" bestFit="1" customWidth="1"/>
    <col min="4879" max="4880" width="14.42578125" style="1" customWidth="1"/>
    <col min="4881" max="4881" width="14" style="1" customWidth="1"/>
    <col min="4882" max="5123" width="9.140625" style="1"/>
    <col min="5124" max="5124" width="25.7109375" style="1" customWidth="1"/>
    <col min="5125" max="5125" width="36.7109375" style="1" customWidth="1"/>
    <col min="5126" max="5126" width="20.140625" style="1" customWidth="1"/>
    <col min="5127" max="5127" width="20" style="1" customWidth="1"/>
    <col min="5128" max="5128" width="21.28515625" style="1" customWidth="1"/>
    <col min="5129" max="5131" width="19" style="1" bestFit="1" customWidth="1"/>
    <col min="5132" max="5134" width="20.7109375" style="1" bestFit="1" customWidth="1"/>
    <col min="5135" max="5136" width="14.42578125" style="1" customWidth="1"/>
    <col min="5137" max="5137" width="14" style="1" customWidth="1"/>
    <col min="5138" max="5379" width="9.140625" style="1"/>
    <col min="5380" max="5380" width="25.7109375" style="1" customWidth="1"/>
    <col min="5381" max="5381" width="36.7109375" style="1" customWidth="1"/>
    <col min="5382" max="5382" width="20.140625" style="1" customWidth="1"/>
    <col min="5383" max="5383" width="20" style="1" customWidth="1"/>
    <col min="5384" max="5384" width="21.28515625" style="1" customWidth="1"/>
    <col min="5385" max="5387" width="19" style="1" bestFit="1" customWidth="1"/>
    <col min="5388" max="5390" width="20.7109375" style="1" bestFit="1" customWidth="1"/>
    <col min="5391" max="5392" width="14.42578125" style="1" customWidth="1"/>
    <col min="5393" max="5393" width="14" style="1" customWidth="1"/>
    <col min="5394" max="5635" width="9.140625" style="1"/>
    <col min="5636" max="5636" width="25.7109375" style="1" customWidth="1"/>
    <col min="5637" max="5637" width="36.7109375" style="1" customWidth="1"/>
    <col min="5638" max="5638" width="20.140625" style="1" customWidth="1"/>
    <col min="5639" max="5639" width="20" style="1" customWidth="1"/>
    <col min="5640" max="5640" width="21.28515625" style="1" customWidth="1"/>
    <col min="5641" max="5643" width="19" style="1" bestFit="1" customWidth="1"/>
    <col min="5644" max="5646" width="20.7109375" style="1" bestFit="1" customWidth="1"/>
    <col min="5647" max="5648" width="14.42578125" style="1" customWidth="1"/>
    <col min="5649" max="5649" width="14" style="1" customWidth="1"/>
    <col min="5650" max="5891" width="9.140625" style="1"/>
    <col min="5892" max="5892" width="25.7109375" style="1" customWidth="1"/>
    <col min="5893" max="5893" width="36.7109375" style="1" customWidth="1"/>
    <col min="5894" max="5894" width="20.140625" style="1" customWidth="1"/>
    <col min="5895" max="5895" width="20" style="1" customWidth="1"/>
    <col min="5896" max="5896" width="21.28515625" style="1" customWidth="1"/>
    <col min="5897" max="5899" width="19" style="1" bestFit="1" customWidth="1"/>
    <col min="5900" max="5902" width="20.7109375" style="1" bestFit="1" customWidth="1"/>
    <col min="5903" max="5904" width="14.42578125" style="1" customWidth="1"/>
    <col min="5905" max="5905" width="14" style="1" customWidth="1"/>
    <col min="5906" max="6147" width="9.140625" style="1"/>
    <col min="6148" max="6148" width="25.7109375" style="1" customWidth="1"/>
    <col min="6149" max="6149" width="36.7109375" style="1" customWidth="1"/>
    <col min="6150" max="6150" width="20.140625" style="1" customWidth="1"/>
    <col min="6151" max="6151" width="20" style="1" customWidth="1"/>
    <col min="6152" max="6152" width="21.28515625" style="1" customWidth="1"/>
    <col min="6153" max="6155" width="19" style="1" bestFit="1" customWidth="1"/>
    <col min="6156" max="6158" width="20.7109375" style="1" bestFit="1" customWidth="1"/>
    <col min="6159" max="6160" width="14.42578125" style="1" customWidth="1"/>
    <col min="6161" max="6161" width="14" style="1" customWidth="1"/>
    <col min="6162" max="6403" width="9.140625" style="1"/>
    <col min="6404" max="6404" width="25.7109375" style="1" customWidth="1"/>
    <col min="6405" max="6405" width="36.7109375" style="1" customWidth="1"/>
    <col min="6406" max="6406" width="20.140625" style="1" customWidth="1"/>
    <col min="6407" max="6407" width="20" style="1" customWidth="1"/>
    <col min="6408" max="6408" width="21.28515625" style="1" customWidth="1"/>
    <col min="6409" max="6411" width="19" style="1" bestFit="1" customWidth="1"/>
    <col min="6412" max="6414" width="20.7109375" style="1" bestFit="1" customWidth="1"/>
    <col min="6415" max="6416" width="14.42578125" style="1" customWidth="1"/>
    <col min="6417" max="6417" width="14" style="1" customWidth="1"/>
    <col min="6418" max="6659" width="9.140625" style="1"/>
    <col min="6660" max="6660" width="25.7109375" style="1" customWidth="1"/>
    <col min="6661" max="6661" width="36.7109375" style="1" customWidth="1"/>
    <col min="6662" max="6662" width="20.140625" style="1" customWidth="1"/>
    <col min="6663" max="6663" width="20" style="1" customWidth="1"/>
    <col min="6664" max="6664" width="21.28515625" style="1" customWidth="1"/>
    <col min="6665" max="6667" width="19" style="1" bestFit="1" customWidth="1"/>
    <col min="6668" max="6670" width="20.7109375" style="1" bestFit="1" customWidth="1"/>
    <col min="6671" max="6672" width="14.42578125" style="1" customWidth="1"/>
    <col min="6673" max="6673" width="14" style="1" customWidth="1"/>
    <col min="6674" max="6915" width="9.140625" style="1"/>
    <col min="6916" max="6916" width="25.7109375" style="1" customWidth="1"/>
    <col min="6917" max="6917" width="36.7109375" style="1" customWidth="1"/>
    <col min="6918" max="6918" width="20.140625" style="1" customWidth="1"/>
    <col min="6919" max="6919" width="20" style="1" customWidth="1"/>
    <col min="6920" max="6920" width="21.28515625" style="1" customWidth="1"/>
    <col min="6921" max="6923" width="19" style="1" bestFit="1" customWidth="1"/>
    <col min="6924" max="6926" width="20.7109375" style="1" bestFit="1" customWidth="1"/>
    <col min="6927" max="6928" width="14.42578125" style="1" customWidth="1"/>
    <col min="6929" max="6929" width="14" style="1" customWidth="1"/>
    <col min="6930" max="7171" width="9.140625" style="1"/>
    <col min="7172" max="7172" width="25.7109375" style="1" customWidth="1"/>
    <col min="7173" max="7173" width="36.7109375" style="1" customWidth="1"/>
    <col min="7174" max="7174" width="20.140625" style="1" customWidth="1"/>
    <col min="7175" max="7175" width="20" style="1" customWidth="1"/>
    <col min="7176" max="7176" width="21.28515625" style="1" customWidth="1"/>
    <col min="7177" max="7179" width="19" style="1" bestFit="1" customWidth="1"/>
    <col min="7180" max="7182" width="20.7109375" style="1" bestFit="1" customWidth="1"/>
    <col min="7183" max="7184" width="14.42578125" style="1" customWidth="1"/>
    <col min="7185" max="7185" width="14" style="1" customWidth="1"/>
    <col min="7186" max="7427" width="9.140625" style="1"/>
    <col min="7428" max="7428" width="25.7109375" style="1" customWidth="1"/>
    <col min="7429" max="7429" width="36.7109375" style="1" customWidth="1"/>
    <col min="7430" max="7430" width="20.140625" style="1" customWidth="1"/>
    <col min="7431" max="7431" width="20" style="1" customWidth="1"/>
    <col min="7432" max="7432" width="21.28515625" style="1" customWidth="1"/>
    <col min="7433" max="7435" width="19" style="1" bestFit="1" customWidth="1"/>
    <col min="7436" max="7438" width="20.7109375" style="1" bestFit="1" customWidth="1"/>
    <col min="7439" max="7440" width="14.42578125" style="1" customWidth="1"/>
    <col min="7441" max="7441" width="14" style="1" customWidth="1"/>
    <col min="7442" max="7683" width="9.140625" style="1"/>
    <col min="7684" max="7684" width="25.7109375" style="1" customWidth="1"/>
    <col min="7685" max="7685" width="36.7109375" style="1" customWidth="1"/>
    <col min="7686" max="7686" width="20.140625" style="1" customWidth="1"/>
    <col min="7687" max="7687" width="20" style="1" customWidth="1"/>
    <col min="7688" max="7688" width="21.28515625" style="1" customWidth="1"/>
    <col min="7689" max="7691" width="19" style="1" bestFit="1" customWidth="1"/>
    <col min="7692" max="7694" width="20.7109375" style="1" bestFit="1" customWidth="1"/>
    <col min="7695" max="7696" width="14.42578125" style="1" customWidth="1"/>
    <col min="7697" max="7697" width="14" style="1" customWidth="1"/>
    <col min="7698" max="7939" width="9.140625" style="1"/>
    <col min="7940" max="7940" width="25.7109375" style="1" customWidth="1"/>
    <col min="7941" max="7941" width="36.7109375" style="1" customWidth="1"/>
    <col min="7942" max="7942" width="20.140625" style="1" customWidth="1"/>
    <col min="7943" max="7943" width="20" style="1" customWidth="1"/>
    <col min="7944" max="7944" width="21.28515625" style="1" customWidth="1"/>
    <col min="7945" max="7947" width="19" style="1" bestFit="1" customWidth="1"/>
    <col min="7948" max="7950" width="20.7109375" style="1" bestFit="1" customWidth="1"/>
    <col min="7951" max="7952" width="14.42578125" style="1" customWidth="1"/>
    <col min="7953" max="7953" width="14" style="1" customWidth="1"/>
    <col min="7954" max="8195" width="9.140625" style="1"/>
    <col min="8196" max="8196" width="25.7109375" style="1" customWidth="1"/>
    <col min="8197" max="8197" width="36.7109375" style="1" customWidth="1"/>
    <col min="8198" max="8198" width="20.140625" style="1" customWidth="1"/>
    <col min="8199" max="8199" width="20" style="1" customWidth="1"/>
    <col min="8200" max="8200" width="21.28515625" style="1" customWidth="1"/>
    <col min="8201" max="8203" width="19" style="1" bestFit="1" customWidth="1"/>
    <col min="8204" max="8206" width="20.7109375" style="1" bestFit="1" customWidth="1"/>
    <col min="8207" max="8208" width="14.42578125" style="1" customWidth="1"/>
    <col min="8209" max="8209" width="14" style="1" customWidth="1"/>
    <col min="8210" max="8451" width="9.140625" style="1"/>
    <col min="8452" max="8452" width="25.7109375" style="1" customWidth="1"/>
    <col min="8453" max="8453" width="36.7109375" style="1" customWidth="1"/>
    <col min="8454" max="8454" width="20.140625" style="1" customWidth="1"/>
    <col min="8455" max="8455" width="20" style="1" customWidth="1"/>
    <col min="8456" max="8456" width="21.28515625" style="1" customWidth="1"/>
    <col min="8457" max="8459" width="19" style="1" bestFit="1" customWidth="1"/>
    <col min="8460" max="8462" width="20.7109375" style="1" bestFit="1" customWidth="1"/>
    <col min="8463" max="8464" width="14.42578125" style="1" customWidth="1"/>
    <col min="8465" max="8465" width="14" style="1" customWidth="1"/>
    <col min="8466" max="8707" width="9.140625" style="1"/>
    <col min="8708" max="8708" width="25.7109375" style="1" customWidth="1"/>
    <col min="8709" max="8709" width="36.7109375" style="1" customWidth="1"/>
    <col min="8710" max="8710" width="20.140625" style="1" customWidth="1"/>
    <col min="8711" max="8711" width="20" style="1" customWidth="1"/>
    <col min="8712" max="8712" width="21.28515625" style="1" customWidth="1"/>
    <col min="8713" max="8715" width="19" style="1" bestFit="1" customWidth="1"/>
    <col min="8716" max="8718" width="20.7109375" style="1" bestFit="1" customWidth="1"/>
    <col min="8719" max="8720" width="14.42578125" style="1" customWidth="1"/>
    <col min="8721" max="8721" width="14" style="1" customWidth="1"/>
    <col min="8722" max="8963" width="9.140625" style="1"/>
    <col min="8964" max="8964" width="25.7109375" style="1" customWidth="1"/>
    <col min="8965" max="8965" width="36.7109375" style="1" customWidth="1"/>
    <col min="8966" max="8966" width="20.140625" style="1" customWidth="1"/>
    <col min="8967" max="8967" width="20" style="1" customWidth="1"/>
    <col min="8968" max="8968" width="21.28515625" style="1" customWidth="1"/>
    <col min="8969" max="8971" width="19" style="1" bestFit="1" customWidth="1"/>
    <col min="8972" max="8974" width="20.7109375" style="1" bestFit="1" customWidth="1"/>
    <col min="8975" max="8976" width="14.42578125" style="1" customWidth="1"/>
    <col min="8977" max="8977" width="14" style="1" customWidth="1"/>
    <col min="8978" max="9219" width="9.140625" style="1"/>
    <col min="9220" max="9220" width="25.7109375" style="1" customWidth="1"/>
    <col min="9221" max="9221" width="36.7109375" style="1" customWidth="1"/>
    <col min="9222" max="9222" width="20.140625" style="1" customWidth="1"/>
    <col min="9223" max="9223" width="20" style="1" customWidth="1"/>
    <col min="9224" max="9224" width="21.28515625" style="1" customWidth="1"/>
    <col min="9225" max="9227" width="19" style="1" bestFit="1" customWidth="1"/>
    <col min="9228" max="9230" width="20.7109375" style="1" bestFit="1" customWidth="1"/>
    <col min="9231" max="9232" width="14.42578125" style="1" customWidth="1"/>
    <col min="9233" max="9233" width="14" style="1" customWidth="1"/>
    <col min="9234" max="9475" width="9.140625" style="1"/>
    <col min="9476" max="9476" width="25.7109375" style="1" customWidth="1"/>
    <col min="9477" max="9477" width="36.7109375" style="1" customWidth="1"/>
    <col min="9478" max="9478" width="20.140625" style="1" customWidth="1"/>
    <col min="9479" max="9479" width="20" style="1" customWidth="1"/>
    <col min="9480" max="9480" width="21.28515625" style="1" customWidth="1"/>
    <col min="9481" max="9483" width="19" style="1" bestFit="1" customWidth="1"/>
    <col min="9484" max="9486" width="20.7109375" style="1" bestFit="1" customWidth="1"/>
    <col min="9487" max="9488" width="14.42578125" style="1" customWidth="1"/>
    <col min="9489" max="9489" width="14" style="1" customWidth="1"/>
    <col min="9490" max="9731" width="9.140625" style="1"/>
    <col min="9732" max="9732" width="25.7109375" style="1" customWidth="1"/>
    <col min="9733" max="9733" width="36.7109375" style="1" customWidth="1"/>
    <col min="9734" max="9734" width="20.140625" style="1" customWidth="1"/>
    <col min="9735" max="9735" width="20" style="1" customWidth="1"/>
    <col min="9736" max="9736" width="21.28515625" style="1" customWidth="1"/>
    <col min="9737" max="9739" width="19" style="1" bestFit="1" customWidth="1"/>
    <col min="9740" max="9742" width="20.7109375" style="1" bestFit="1" customWidth="1"/>
    <col min="9743" max="9744" width="14.42578125" style="1" customWidth="1"/>
    <col min="9745" max="9745" width="14" style="1" customWidth="1"/>
    <col min="9746" max="9987" width="9.140625" style="1"/>
    <col min="9988" max="9988" width="25.7109375" style="1" customWidth="1"/>
    <col min="9989" max="9989" width="36.7109375" style="1" customWidth="1"/>
    <col min="9990" max="9990" width="20.140625" style="1" customWidth="1"/>
    <col min="9991" max="9991" width="20" style="1" customWidth="1"/>
    <col min="9992" max="9992" width="21.28515625" style="1" customWidth="1"/>
    <col min="9993" max="9995" width="19" style="1" bestFit="1" customWidth="1"/>
    <col min="9996" max="9998" width="20.7109375" style="1" bestFit="1" customWidth="1"/>
    <col min="9999" max="10000" width="14.42578125" style="1" customWidth="1"/>
    <col min="10001" max="10001" width="14" style="1" customWidth="1"/>
    <col min="10002" max="10243" width="9.140625" style="1"/>
    <col min="10244" max="10244" width="25.7109375" style="1" customWidth="1"/>
    <col min="10245" max="10245" width="36.7109375" style="1" customWidth="1"/>
    <col min="10246" max="10246" width="20.140625" style="1" customWidth="1"/>
    <col min="10247" max="10247" width="20" style="1" customWidth="1"/>
    <col min="10248" max="10248" width="21.28515625" style="1" customWidth="1"/>
    <col min="10249" max="10251" width="19" style="1" bestFit="1" customWidth="1"/>
    <col min="10252" max="10254" width="20.7109375" style="1" bestFit="1" customWidth="1"/>
    <col min="10255" max="10256" width="14.42578125" style="1" customWidth="1"/>
    <col min="10257" max="10257" width="14" style="1" customWidth="1"/>
    <col min="10258" max="10499" width="9.140625" style="1"/>
    <col min="10500" max="10500" width="25.7109375" style="1" customWidth="1"/>
    <col min="10501" max="10501" width="36.7109375" style="1" customWidth="1"/>
    <col min="10502" max="10502" width="20.140625" style="1" customWidth="1"/>
    <col min="10503" max="10503" width="20" style="1" customWidth="1"/>
    <col min="10504" max="10504" width="21.28515625" style="1" customWidth="1"/>
    <col min="10505" max="10507" width="19" style="1" bestFit="1" customWidth="1"/>
    <col min="10508" max="10510" width="20.7109375" style="1" bestFit="1" customWidth="1"/>
    <col min="10511" max="10512" width="14.42578125" style="1" customWidth="1"/>
    <col min="10513" max="10513" width="14" style="1" customWidth="1"/>
    <col min="10514" max="10755" width="9.140625" style="1"/>
    <col min="10756" max="10756" width="25.7109375" style="1" customWidth="1"/>
    <col min="10757" max="10757" width="36.7109375" style="1" customWidth="1"/>
    <col min="10758" max="10758" width="20.140625" style="1" customWidth="1"/>
    <col min="10759" max="10759" width="20" style="1" customWidth="1"/>
    <col min="10760" max="10760" width="21.28515625" style="1" customWidth="1"/>
    <col min="10761" max="10763" width="19" style="1" bestFit="1" customWidth="1"/>
    <col min="10764" max="10766" width="20.7109375" style="1" bestFit="1" customWidth="1"/>
    <col min="10767" max="10768" width="14.42578125" style="1" customWidth="1"/>
    <col min="10769" max="10769" width="14" style="1" customWidth="1"/>
    <col min="10770" max="11011" width="9.140625" style="1"/>
    <col min="11012" max="11012" width="25.7109375" style="1" customWidth="1"/>
    <col min="11013" max="11013" width="36.7109375" style="1" customWidth="1"/>
    <col min="11014" max="11014" width="20.140625" style="1" customWidth="1"/>
    <col min="11015" max="11015" width="20" style="1" customWidth="1"/>
    <col min="11016" max="11016" width="21.28515625" style="1" customWidth="1"/>
    <col min="11017" max="11019" width="19" style="1" bestFit="1" customWidth="1"/>
    <col min="11020" max="11022" width="20.7109375" style="1" bestFit="1" customWidth="1"/>
    <col min="11023" max="11024" width="14.42578125" style="1" customWidth="1"/>
    <col min="11025" max="11025" width="14" style="1" customWidth="1"/>
    <col min="11026" max="11267" width="9.140625" style="1"/>
    <col min="11268" max="11268" width="25.7109375" style="1" customWidth="1"/>
    <col min="11269" max="11269" width="36.7109375" style="1" customWidth="1"/>
    <col min="11270" max="11270" width="20.140625" style="1" customWidth="1"/>
    <col min="11271" max="11271" width="20" style="1" customWidth="1"/>
    <col min="11272" max="11272" width="21.28515625" style="1" customWidth="1"/>
    <col min="11273" max="11275" width="19" style="1" bestFit="1" customWidth="1"/>
    <col min="11276" max="11278" width="20.7109375" style="1" bestFit="1" customWidth="1"/>
    <col min="11279" max="11280" width="14.42578125" style="1" customWidth="1"/>
    <col min="11281" max="11281" width="14" style="1" customWidth="1"/>
    <col min="11282" max="11523" width="9.140625" style="1"/>
    <col min="11524" max="11524" width="25.7109375" style="1" customWidth="1"/>
    <col min="11525" max="11525" width="36.7109375" style="1" customWidth="1"/>
    <col min="11526" max="11526" width="20.140625" style="1" customWidth="1"/>
    <col min="11527" max="11527" width="20" style="1" customWidth="1"/>
    <col min="11528" max="11528" width="21.28515625" style="1" customWidth="1"/>
    <col min="11529" max="11531" width="19" style="1" bestFit="1" customWidth="1"/>
    <col min="11532" max="11534" width="20.7109375" style="1" bestFit="1" customWidth="1"/>
    <col min="11535" max="11536" width="14.42578125" style="1" customWidth="1"/>
    <col min="11537" max="11537" width="14" style="1" customWidth="1"/>
    <col min="11538" max="11779" width="9.140625" style="1"/>
    <col min="11780" max="11780" width="25.7109375" style="1" customWidth="1"/>
    <col min="11781" max="11781" width="36.7109375" style="1" customWidth="1"/>
    <col min="11782" max="11782" width="20.140625" style="1" customWidth="1"/>
    <col min="11783" max="11783" width="20" style="1" customWidth="1"/>
    <col min="11784" max="11784" width="21.28515625" style="1" customWidth="1"/>
    <col min="11785" max="11787" width="19" style="1" bestFit="1" customWidth="1"/>
    <col min="11788" max="11790" width="20.7109375" style="1" bestFit="1" customWidth="1"/>
    <col min="11791" max="11792" width="14.42578125" style="1" customWidth="1"/>
    <col min="11793" max="11793" width="14" style="1" customWidth="1"/>
    <col min="11794" max="12035" width="9.140625" style="1"/>
    <col min="12036" max="12036" width="25.7109375" style="1" customWidth="1"/>
    <col min="12037" max="12037" width="36.7109375" style="1" customWidth="1"/>
    <col min="12038" max="12038" width="20.140625" style="1" customWidth="1"/>
    <col min="12039" max="12039" width="20" style="1" customWidth="1"/>
    <col min="12040" max="12040" width="21.28515625" style="1" customWidth="1"/>
    <col min="12041" max="12043" width="19" style="1" bestFit="1" customWidth="1"/>
    <col min="12044" max="12046" width="20.7109375" style="1" bestFit="1" customWidth="1"/>
    <col min="12047" max="12048" width="14.42578125" style="1" customWidth="1"/>
    <col min="12049" max="12049" width="14" style="1" customWidth="1"/>
    <col min="12050" max="12291" width="9.140625" style="1"/>
    <col min="12292" max="12292" width="25.7109375" style="1" customWidth="1"/>
    <col min="12293" max="12293" width="36.7109375" style="1" customWidth="1"/>
    <col min="12294" max="12294" width="20.140625" style="1" customWidth="1"/>
    <col min="12295" max="12295" width="20" style="1" customWidth="1"/>
    <col min="12296" max="12296" width="21.28515625" style="1" customWidth="1"/>
    <col min="12297" max="12299" width="19" style="1" bestFit="1" customWidth="1"/>
    <col min="12300" max="12302" width="20.7109375" style="1" bestFit="1" customWidth="1"/>
    <col min="12303" max="12304" width="14.42578125" style="1" customWidth="1"/>
    <col min="12305" max="12305" width="14" style="1" customWidth="1"/>
    <col min="12306" max="12547" width="9.140625" style="1"/>
    <col min="12548" max="12548" width="25.7109375" style="1" customWidth="1"/>
    <col min="12549" max="12549" width="36.7109375" style="1" customWidth="1"/>
    <col min="12550" max="12550" width="20.140625" style="1" customWidth="1"/>
    <col min="12551" max="12551" width="20" style="1" customWidth="1"/>
    <col min="12552" max="12552" width="21.28515625" style="1" customWidth="1"/>
    <col min="12553" max="12555" width="19" style="1" bestFit="1" customWidth="1"/>
    <col min="12556" max="12558" width="20.7109375" style="1" bestFit="1" customWidth="1"/>
    <col min="12559" max="12560" width="14.42578125" style="1" customWidth="1"/>
    <col min="12561" max="12561" width="14" style="1" customWidth="1"/>
    <col min="12562" max="12803" width="9.140625" style="1"/>
    <col min="12804" max="12804" width="25.7109375" style="1" customWidth="1"/>
    <col min="12805" max="12805" width="36.7109375" style="1" customWidth="1"/>
    <col min="12806" max="12806" width="20.140625" style="1" customWidth="1"/>
    <col min="12807" max="12807" width="20" style="1" customWidth="1"/>
    <col min="12808" max="12808" width="21.28515625" style="1" customWidth="1"/>
    <col min="12809" max="12811" width="19" style="1" bestFit="1" customWidth="1"/>
    <col min="12812" max="12814" width="20.7109375" style="1" bestFit="1" customWidth="1"/>
    <col min="12815" max="12816" width="14.42578125" style="1" customWidth="1"/>
    <col min="12817" max="12817" width="14" style="1" customWidth="1"/>
    <col min="12818" max="13059" width="9.140625" style="1"/>
    <col min="13060" max="13060" width="25.7109375" style="1" customWidth="1"/>
    <col min="13061" max="13061" width="36.7109375" style="1" customWidth="1"/>
    <col min="13062" max="13062" width="20.140625" style="1" customWidth="1"/>
    <col min="13063" max="13063" width="20" style="1" customWidth="1"/>
    <col min="13064" max="13064" width="21.28515625" style="1" customWidth="1"/>
    <col min="13065" max="13067" width="19" style="1" bestFit="1" customWidth="1"/>
    <col min="13068" max="13070" width="20.7109375" style="1" bestFit="1" customWidth="1"/>
    <col min="13071" max="13072" width="14.42578125" style="1" customWidth="1"/>
    <col min="13073" max="13073" width="14" style="1" customWidth="1"/>
    <col min="13074" max="13315" width="9.140625" style="1"/>
    <col min="13316" max="13316" width="25.7109375" style="1" customWidth="1"/>
    <col min="13317" max="13317" width="36.7109375" style="1" customWidth="1"/>
    <col min="13318" max="13318" width="20.140625" style="1" customWidth="1"/>
    <col min="13319" max="13319" width="20" style="1" customWidth="1"/>
    <col min="13320" max="13320" width="21.28515625" style="1" customWidth="1"/>
    <col min="13321" max="13323" width="19" style="1" bestFit="1" customWidth="1"/>
    <col min="13324" max="13326" width="20.7109375" style="1" bestFit="1" customWidth="1"/>
    <col min="13327" max="13328" width="14.42578125" style="1" customWidth="1"/>
    <col min="13329" max="13329" width="14" style="1" customWidth="1"/>
    <col min="13330" max="13571" width="9.140625" style="1"/>
    <col min="13572" max="13572" width="25.7109375" style="1" customWidth="1"/>
    <col min="13573" max="13573" width="36.7109375" style="1" customWidth="1"/>
    <col min="13574" max="13574" width="20.140625" style="1" customWidth="1"/>
    <col min="13575" max="13575" width="20" style="1" customWidth="1"/>
    <col min="13576" max="13576" width="21.28515625" style="1" customWidth="1"/>
    <col min="13577" max="13579" width="19" style="1" bestFit="1" customWidth="1"/>
    <col min="13580" max="13582" width="20.7109375" style="1" bestFit="1" customWidth="1"/>
    <col min="13583" max="13584" width="14.42578125" style="1" customWidth="1"/>
    <col min="13585" max="13585" width="14" style="1" customWidth="1"/>
    <col min="13586" max="13827" width="9.140625" style="1"/>
    <col min="13828" max="13828" width="25.7109375" style="1" customWidth="1"/>
    <col min="13829" max="13829" width="36.7109375" style="1" customWidth="1"/>
    <col min="13830" max="13830" width="20.140625" style="1" customWidth="1"/>
    <col min="13831" max="13831" width="20" style="1" customWidth="1"/>
    <col min="13832" max="13832" width="21.28515625" style="1" customWidth="1"/>
    <col min="13833" max="13835" width="19" style="1" bestFit="1" customWidth="1"/>
    <col min="13836" max="13838" width="20.7109375" style="1" bestFit="1" customWidth="1"/>
    <col min="13839" max="13840" width="14.42578125" style="1" customWidth="1"/>
    <col min="13841" max="13841" width="14" style="1" customWidth="1"/>
    <col min="13842" max="14083" width="9.140625" style="1"/>
    <col min="14084" max="14084" width="25.7109375" style="1" customWidth="1"/>
    <col min="14085" max="14085" width="36.7109375" style="1" customWidth="1"/>
    <col min="14086" max="14086" width="20.140625" style="1" customWidth="1"/>
    <col min="14087" max="14087" width="20" style="1" customWidth="1"/>
    <col min="14088" max="14088" width="21.28515625" style="1" customWidth="1"/>
    <col min="14089" max="14091" width="19" style="1" bestFit="1" customWidth="1"/>
    <col min="14092" max="14094" width="20.7109375" style="1" bestFit="1" customWidth="1"/>
    <col min="14095" max="14096" width="14.42578125" style="1" customWidth="1"/>
    <col min="14097" max="14097" width="14" style="1" customWidth="1"/>
    <col min="14098" max="14339" width="9.140625" style="1"/>
    <col min="14340" max="14340" width="25.7109375" style="1" customWidth="1"/>
    <col min="14341" max="14341" width="36.7109375" style="1" customWidth="1"/>
    <col min="14342" max="14342" width="20.140625" style="1" customWidth="1"/>
    <col min="14343" max="14343" width="20" style="1" customWidth="1"/>
    <col min="14344" max="14344" width="21.28515625" style="1" customWidth="1"/>
    <col min="14345" max="14347" width="19" style="1" bestFit="1" customWidth="1"/>
    <col min="14348" max="14350" width="20.7109375" style="1" bestFit="1" customWidth="1"/>
    <col min="14351" max="14352" width="14.42578125" style="1" customWidth="1"/>
    <col min="14353" max="14353" width="14" style="1" customWidth="1"/>
    <col min="14354" max="14595" width="9.140625" style="1"/>
    <col min="14596" max="14596" width="25.7109375" style="1" customWidth="1"/>
    <col min="14597" max="14597" width="36.7109375" style="1" customWidth="1"/>
    <col min="14598" max="14598" width="20.140625" style="1" customWidth="1"/>
    <col min="14599" max="14599" width="20" style="1" customWidth="1"/>
    <col min="14600" max="14600" width="21.28515625" style="1" customWidth="1"/>
    <col min="14601" max="14603" width="19" style="1" bestFit="1" customWidth="1"/>
    <col min="14604" max="14606" width="20.7109375" style="1" bestFit="1" customWidth="1"/>
    <col min="14607" max="14608" width="14.42578125" style="1" customWidth="1"/>
    <col min="14609" max="14609" width="14" style="1" customWidth="1"/>
    <col min="14610" max="14851" width="9.140625" style="1"/>
    <col min="14852" max="14852" width="25.7109375" style="1" customWidth="1"/>
    <col min="14853" max="14853" width="36.7109375" style="1" customWidth="1"/>
    <col min="14854" max="14854" width="20.140625" style="1" customWidth="1"/>
    <col min="14855" max="14855" width="20" style="1" customWidth="1"/>
    <col min="14856" max="14856" width="21.28515625" style="1" customWidth="1"/>
    <col min="14857" max="14859" width="19" style="1" bestFit="1" customWidth="1"/>
    <col min="14860" max="14862" width="20.7109375" style="1" bestFit="1" customWidth="1"/>
    <col min="14863" max="14864" width="14.42578125" style="1" customWidth="1"/>
    <col min="14865" max="14865" width="14" style="1" customWidth="1"/>
    <col min="14866" max="15107" width="9.140625" style="1"/>
    <col min="15108" max="15108" width="25.7109375" style="1" customWidth="1"/>
    <col min="15109" max="15109" width="36.7109375" style="1" customWidth="1"/>
    <col min="15110" max="15110" width="20.140625" style="1" customWidth="1"/>
    <col min="15111" max="15111" width="20" style="1" customWidth="1"/>
    <col min="15112" max="15112" width="21.28515625" style="1" customWidth="1"/>
    <col min="15113" max="15115" width="19" style="1" bestFit="1" customWidth="1"/>
    <col min="15116" max="15118" width="20.7109375" style="1" bestFit="1" customWidth="1"/>
    <col min="15119" max="15120" width="14.42578125" style="1" customWidth="1"/>
    <col min="15121" max="15121" width="14" style="1" customWidth="1"/>
    <col min="15122" max="15363" width="9.140625" style="1"/>
    <col min="15364" max="15364" width="25.7109375" style="1" customWidth="1"/>
    <col min="15365" max="15365" width="36.7109375" style="1" customWidth="1"/>
    <col min="15366" max="15366" width="20.140625" style="1" customWidth="1"/>
    <col min="15367" max="15367" width="20" style="1" customWidth="1"/>
    <col min="15368" max="15368" width="21.28515625" style="1" customWidth="1"/>
    <col min="15369" max="15371" width="19" style="1" bestFit="1" customWidth="1"/>
    <col min="15372" max="15374" width="20.7109375" style="1" bestFit="1" customWidth="1"/>
    <col min="15375" max="15376" width="14.42578125" style="1" customWidth="1"/>
    <col min="15377" max="15377" width="14" style="1" customWidth="1"/>
    <col min="15378" max="15619" width="9.140625" style="1"/>
    <col min="15620" max="15620" width="25.7109375" style="1" customWidth="1"/>
    <col min="15621" max="15621" width="36.7109375" style="1" customWidth="1"/>
    <col min="15622" max="15622" width="20.140625" style="1" customWidth="1"/>
    <col min="15623" max="15623" width="20" style="1" customWidth="1"/>
    <col min="15624" max="15624" width="21.28515625" style="1" customWidth="1"/>
    <col min="15625" max="15627" width="19" style="1" bestFit="1" customWidth="1"/>
    <col min="15628" max="15630" width="20.7109375" style="1" bestFit="1" customWidth="1"/>
    <col min="15631" max="15632" width="14.42578125" style="1" customWidth="1"/>
    <col min="15633" max="15633" width="14" style="1" customWidth="1"/>
    <col min="15634" max="15875" width="9.140625" style="1"/>
    <col min="15876" max="15876" width="25.7109375" style="1" customWidth="1"/>
    <col min="15877" max="15877" width="36.7109375" style="1" customWidth="1"/>
    <col min="15878" max="15878" width="20.140625" style="1" customWidth="1"/>
    <col min="15879" max="15879" width="20" style="1" customWidth="1"/>
    <col min="15880" max="15880" width="21.28515625" style="1" customWidth="1"/>
    <col min="15881" max="15883" width="19" style="1" bestFit="1" customWidth="1"/>
    <col min="15884" max="15886" width="20.7109375" style="1" bestFit="1" customWidth="1"/>
    <col min="15887" max="15888" width="14.42578125" style="1" customWidth="1"/>
    <col min="15889" max="15889" width="14" style="1" customWidth="1"/>
    <col min="15890" max="16131" width="9.140625" style="1"/>
    <col min="16132" max="16132" width="25.7109375" style="1" customWidth="1"/>
    <col min="16133" max="16133" width="36.7109375" style="1" customWidth="1"/>
    <col min="16134" max="16134" width="20.140625" style="1" customWidth="1"/>
    <col min="16135" max="16135" width="20" style="1" customWidth="1"/>
    <col min="16136" max="16136" width="21.28515625" style="1" customWidth="1"/>
    <col min="16137" max="16139" width="19" style="1" bestFit="1" customWidth="1"/>
    <col min="16140" max="16142" width="20.7109375" style="1" bestFit="1" customWidth="1"/>
    <col min="16143" max="16144" width="14.42578125" style="1" customWidth="1"/>
    <col min="16145" max="16145" width="14" style="1" customWidth="1"/>
    <col min="16146" max="16384" width="9.140625" style="1"/>
  </cols>
  <sheetData>
    <row r="1" spans="1:29" x14ac:dyDescent="0.25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.2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.7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5" customHeight="1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33" customHeight="1" x14ac:dyDescent="0.25">
      <c r="A5" s="98" t="s">
        <v>0</v>
      </c>
      <c r="B5" s="98" t="s">
        <v>1</v>
      </c>
      <c r="C5" s="98" t="s">
        <v>75</v>
      </c>
      <c r="D5" s="98"/>
      <c r="E5" s="98"/>
      <c r="F5" s="45"/>
      <c r="G5" s="45"/>
      <c r="H5" s="45"/>
      <c r="I5" s="98" t="s">
        <v>76</v>
      </c>
      <c r="J5" s="98"/>
      <c r="K5" s="98"/>
      <c r="L5" s="32"/>
      <c r="M5" s="32"/>
      <c r="N5" s="32"/>
      <c r="O5" s="98" t="s">
        <v>72</v>
      </c>
      <c r="P5" s="98"/>
      <c r="Q5" s="98"/>
      <c r="R5" s="98" t="s">
        <v>77</v>
      </c>
      <c r="S5" s="98"/>
      <c r="T5" s="98"/>
      <c r="U5" s="98" t="s">
        <v>78</v>
      </c>
      <c r="V5" s="98"/>
      <c r="W5" s="98"/>
      <c r="X5" s="98" t="s">
        <v>79</v>
      </c>
      <c r="Y5" s="98"/>
      <c r="Z5" s="98"/>
      <c r="AA5" s="98" t="s">
        <v>80</v>
      </c>
      <c r="AB5" s="98"/>
      <c r="AC5" s="98"/>
    </row>
    <row r="6" spans="1:29" ht="16.5" customHeight="1" x14ac:dyDescent="0.25">
      <c r="A6" s="98"/>
      <c r="B6" s="98"/>
      <c r="C6" s="5" t="s">
        <v>65</v>
      </c>
      <c r="D6" s="5" t="s">
        <v>69</v>
      </c>
      <c r="E6" s="5" t="s">
        <v>71</v>
      </c>
      <c r="F6" s="5" t="s">
        <v>86</v>
      </c>
      <c r="G6" s="5" t="s">
        <v>96</v>
      </c>
      <c r="H6" s="5" t="s">
        <v>118</v>
      </c>
      <c r="I6" s="5" t="s">
        <v>86</v>
      </c>
      <c r="J6" s="5" t="s">
        <v>96</v>
      </c>
      <c r="K6" s="5" t="s">
        <v>118</v>
      </c>
      <c r="L6" s="5" t="s">
        <v>86</v>
      </c>
      <c r="M6" s="5" t="s">
        <v>96</v>
      </c>
      <c r="N6" s="5" t="s">
        <v>118</v>
      </c>
      <c r="O6" s="5" t="s">
        <v>86</v>
      </c>
      <c r="P6" s="5" t="s">
        <v>96</v>
      </c>
      <c r="Q6" s="5" t="s">
        <v>118</v>
      </c>
      <c r="R6" s="5" t="s">
        <v>86</v>
      </c>
      <c r="S6" s="5" t="s">
        <v>96</v>
      </c>
      <c r="T6" s="5" t="s">
        <v>118</v>
      </c>
      <c r="U6" s="5" t="s">
        <v>86</v>
      </c>
      <c r="V6" s="5" t="s">
        <v>96</v>
      </c>
      <c r="W6" s="5" t="s">
        <v>118</v>
      </c>
      <c r="X6" s="5" t="s">
        <v>86</v>
      </c>
      <c r="Y6" s="5" t="s">
        <v>96</v>
      </c>
      <c r="Z6" s="5" t="s">
        <v>118</v>
      </c>
      <c r="AA6" s="5" t="s">
        <v>86</v>
      </c>
      <c r="AB6" s="5" t="s">
        <v>96</v>
      </c>
      <c r="AC6" s="5" t="s">
        <v>118</v>
      </c>
    </row>
    <row r="7" spans="1:29" ht="15.75" customHeight="1" x14ac:dyDescent="0.25">
      <c r="A7" s="6">
        <v>1</v>
      </c>
      <c r="B7" s="6">
        <v>2</v>
      </c>
      <c r="C7" s="7">
        <v>3</v>
      </c>
      <c r="D7" s="6">
        <v>4</v>
      </c>
      <c r="E7" s="7">
        <v>5</v>
      </c>
      <c r="F7" s="7"/>
      <c r="G7" s="7"/>
      <c r="H7" s="7"/>
      <c r="I7" s="7"/>
      <c r="J7" s="7"/>
      <c r="K7" s="7"/>
      <c r="L7" s="7"/>
      <c r="M7" s="7"/>
      <c r="N7" s="7"/>
      <c r="O7" s="7">
        <v>3</v>
      </c>
      <c r="P7" s="6">
        <v>4</v>
      </c>
      <c r="Q7" s="7">
        <v>5</v>
      </c>
      <c r="R7" s="7">
        <v>3</v>
      </c>
      <c r="S7" s="6">
        <v>4</v>
      </c>
      <c r="T7" s="7">
        <v>5</v>
      </c>
      <c r="U7" s="7">
        <v>3</v>
      </c>
      <c r="V7" s="6">
        <v>4</v>
      </c>
      <c r="W7" s="7">
        <v>5</v>
      </c>
      <c r="X7" s="7">
        <v>3</v>
      </c>
      <c r="Y7" s="6">
        <v>4</v>
      </c>
      <c r="Z7" s="7">
        <v>5</v>
      </c>
      <c r="AA7" s="7">
        <v>3</v>
      </c>
      <c r="AB7" s="6">
        <v>4</v>
      </c>
      <c r="AC7" s="7">
        <v>5</v>
      </c>
    </row>
    <row r="8" spans="1:29" s="2" customFormat="1" ht="33" customHeight="1" x14ac:dyDescent="0.25">
      <c r="A8" s="28" t="s">
        <v>2</v>
      </c>
      <c r="B8" s="8" t="s">
        <v>3</v>
      </c>
      <c r="C8" s="23">
        <f>SUM(C9:C20)</f>
        <v>35958400</v>
      </c>
      <c r="D8" s="23">
        <f t="shared" ref="D8:E8" si="0">SUM(D9:D20)</f>
        <v>36942500</v>
      </c>
      <c r="E8" s="23">
        <f t="shared" si="0"/>
        <v>38042000</v>
      </c>
      <c r="F8" s="23">
        <f t="shared" ref="F8:N8" si="1">SUM(F9:F20)</f>
        <v>35958400</v>
      </c>
      <c r="G8" s="23">
        <f t="shared" si="1"/>
        <v>36942500</v>
      </c>
      <c r="H8" s="23">
        <f t="shared" si="1"/>
        <v>38042000</v>
      </c>
      <c r="I8" s="23">
        <f t="shared" si="1"/>
        <v>30740600</v>
      </c>
      <c r="J8" s="23">
        <f t="shared" si="1"/>
        <v>32217400</v>
      </c>
      <c r="K8" s="23">
        <f t="shared" si="1"/>
        <v>33248100</v>
      </c>
      <c r="L8" s="23">
        <f t="shared" si="1"/>
        <v>5217800</v>
      </c>
      <c r="M8" s="23">
        <f t="shared" si="1"/>
        <v>4725100</v>
      </c>
      <c r="N8" s="23">
        <f t="shared" si="1"/>
        <v>4793900</v>
      </c>
      <c r="O8" s="23">
        <f>SUM(O9:O20)</f>
        <v>1063200</v>
      </c>
      <c r="P8" s="23">
        <f t="shared" ref="P8:Q8" si="2">SUM(P9:P20)</f>
        <v>1113300</v>
      </c>
      <c r="Q8" s="23">
        <f t="shared" si="2"/>
        <v>1130900</v>
      </c>
      <c r="R8" s="23">
        <f>SUM(R9:R20)</f>
        <v>802900</v>
      </c>
      <c r="S8" s="23">
        <f t="shared" ref="S8:T8" si="3">SUM(S9:S20)</f>
        <v>834500</v>
      </c>
      <c r="T8" s="23">
        <f t="shared" si="3"/>
        <v>846200</v>
      </c>
      <c r="U8" s="23">
        <f>SUM(U9:U20)</f>
        <v>1155000</v>
      </c>
      <c r="V8" s="23">
        <f t="shared" ref="V8:W8" si="4">SUM(V9:V20)</f>
        <v>1196200</v>
      </c>
      <c r="W8" s="23">
        <f t="shared" si="4"/>
        <v>1211800</v>
      </c>
      <c r="X8" s="23">
        <f>SUM(X9:X20)</f>
        <v>1484500</v>
      </c>
      <c r="Y8" s="23">
        <f t="shared" ref="Y8:Z8" si="5">SUM(Y9:Y20)</f>
        <v>848700</v>
      </c>
      <c r="Z8" s="23">
        <f t="shared" si="5"/>
        <v>859000</v>
      </c>
      <c r="AA8" s="23">
        <f>SUM(AA9:AA20)</f>
        <v>712200</v>
      </c>
      <c r="AB8" s="23">
        <f t="shared" ref="AB8:AC8" si="6">SUM(AB9:AB20)</f>
        <v>732400</v>
      </c>
      <c r="AC8" s="23">
        <f t="shared" si="6"/>
        <v>746000</v>
      </c>
    </row>
    <row r="9" spans="1:29" ht="45.75" customHeight="1" x14ac:dyDescent="0.25">
      <c r="A9" s="21" t="s">
        <v>4</v>
      </c>
      <c r="B9" s="9" t="s">
        <v>5</v>
      </c>
      <c r="C9" s="24">
        <f>I9+O9+R9+U9+X9+AA9</f>
        <v>10724400</v>
      </c>
      <c r="D9" s="24">
        <f>J9+P9+S9+V9+Y9+AB9</f>
        <v>11522400</v>
      </c>
      <c r="E9" s="24">
        <f>K9+Q9+T9+W9+Z9+AC9</f>
        <v>12350200</v>
      </c>
      <c r="F9" s="24">
        <f>I9+L9</f>
        <v>10724400</v>
      </c>
      <c r="G9" s="24">
        <f t="shared" ref="G9:H9" si="7">J9+M9</f>
        <v>11522400</v>
      </c>
      <c r="H9" s="24">
        <f t="shared" si="7"/>
        <v>12350200</v>
      </c>
      <c r="I9" s="24">
        <v>9366700</v>
      </c>
      <c r="J9" s="24">
        <v>10107300</v>
      </c>
      <c r="K9" s="24">
        <v>10902300</v>
      </c>
      <c r="L9" s="24">
        <f t="shared" ref="L9" si="8">O9+R9+U9+X9+AA9</f>
        <v>1357700</v>
      </c>
      <c r="M9" s="24">
        <f t="shared" ref="M9" si="9">P9+S9+V9+Y9+AB9</f>
        <v>1415100</v>
      </c>
      <c r="N9" s="24">
        <f t="shared" ref="N9" si="10">Q9+T9+W9+Z9+AC9</f>
        <v>1447900</v>
      </c>
      <c r="O9" s="24">
        <v>77200</v>
      </c>
      <c r="P9" s="24">
        <v>83300</v>
      </c>
      <c r="Q9" s="24">
        <v>89900</v>
      </c>
      <c r="R9" s="24">
        <v>31900</v>
      </c>
      <c r="S9" s="24">
        <v>34500</v>
      </c>
      <c r="T9" s="24">
        <v>37200</v>
      </c>
      <c r="U9" s="24">
        <v>1155000</v>
      </c>
      <c r="V9" s="24">
        <v>1196200</v>
      </c>
      <c r="W9" s="24">
        <v>1211800</v>
      </c>
      <c r="X9" s="24">
        <v>27900</v>
      </c>
      <c r="Y9" s="24">
        <v>30200</v>
      </c>
      <c r="Z9" s="24">
        <v>32500</v>
      </c>
      <c r="AA9" s="24">
        <v>65700</v>
      </c>
      <c r="AB9" s="24">
        <v>70900</v>
      </c>
      <c r="AC9" s="24">
        <v>76500</v>
      </c>
    </row>
    <row r="10" spans="1:29" ht="64.5" customHeight="1" x14ac:dyDescent="0.25">
      <c r="A10" s="21" t="s">
        <v>6</v>
      </c>
      <c r="B10" s="9" t="s">
        <v>7</v>
      </c>
      <c r="C10" s="24">
        <f t="shared" ref="C10:C21" si="11">I10+O10+R10+U10+X10+AA10</f>
        <v>6102900</v>
      </c>
      <c r="D10" s="24">
        <f t="shared" ref="D10:D21" si="12">J10+P10+S10+V10+Y10+AB10</f>
        <v>6229500</v>
      </c>
      <c r="E10" s="24">
        <f t="shared" ref="E10:E21" si="13">K10+Q10+T10+W10+Z10+AC10</f>
        <v>6265200</v>
      </c>
      <c r="F10" s="24">
        <f t="shared" ref="F10:F20" si="14">I10+L10</f>
        <v>6102900</v>
      </c>
      <c r="G10" s="24">
        <f t="shared" ref="G10:G21" si="15">J10+M10</f>
        <v>6229500</v>
      </c>
      <c r="H10" s="24">
        <f t="shared" ref="H10:H21" si="16">K10+N10</f>
        <v>6265200</v>
      </c>
      <c r="I10" s="24">
        <v>6102900</v>
      </c>
      <c r="J10" s="24">
        <v>6229500</v>
      </c>
      <c r="K10" s="24">
        <v>6265200</v>
      </c>
      <c r="L10" s="24">
        <f t="shared" ref="L10:L20" si="17">O10+R10+U10+X10+AA10</f>
        <v>0</v>
      </c>
      <c r="M10" s="24">
        <f t="shared" ref="M10:M20" si="18">P10+S10+V10+Y10+AB10</f>
        <v>0</v>
      </c>
      <c r="N10" s="24">
        <f t="shared" ref="N10:N20" si="19">Q10+T10+W10+Z10+AC10</f>
        <v>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s="11" customFormat="1" ht="39" customHeight="1" x14ac:dyDescent="0.25">
      <c r="A11" s="21" t="s">
        <v>8</v>
      </c>
      <c r="B11" s="9" t="s">
        <v>9</v>
      </c>
      <c r="C11" s="24">
        <f t="shared" si="11"/>
        <v>84000</v>
      </c>
      <c r="D11" s="24">
        <f t="shared" si="12"/>
        <v>90000</v>
      </c>
      <c r="E11" s="24">
        <f t="shared" si="13"/>
        <v>96000</v>
      </c>
      <c r="F11" s="24">
        <f t="shared" si="14"/>
        <v>84000</v>
      </c>
      <c r="G11" s="24">
        <f t="shared" si="15"/>
        <v>90000</v>
      </c>
      <c r="H11" s="24">
        <f t="shared" si="16"/>
        <v>96000</v>
      </c>
      <c r="I11" s="24">
        <v>29000</v>
      </c>
      <c r="J11" s="24">
        <v>32000</v>
      </c>
      <c r="K11" s="24">
        <v>33000</v>
      </c>
      <c r="L11" s="24">
        <f t="shared" si="17"/>
        <v>55000</v>
      </c>
      <c r="M11" s="24">
        <f t="shared" si="18"/>
        <v>58000</v>
      </c>
      <c r="N11" s="24">
        <f t="shared" si="19"/>
        <v>63000</v>
      </c>
      <c r="O11" s="24">
        <v>12000</v>
      </c>
      <c r="P11" s="24">
        <v>13000</v>
      </c>
      <c r="Q11" s="24">
        <v>14000</v>
      </c>
      <c r="R11" s="24">
        <v>3000</v>
      </c>
      <c r="S11" s="24">
        <v>3000</v>
      </c>
      <c r="T11" s="24">
        <v>4000</v>
      </c>
      <c r="U11" s="24"/>
      <c r="V11" s="24"/>
      <c r="W11" s="24"/>
      <c r="X11" s="24">
        <v>2000</v>
      </c>
      <c r="Y11" s="24">
        <v>2000</v>
      </c>
      <c r="Z11" s="24">
        <v>2000</v>
      </c>
      <c r="AA11" s="24">
        <v>38000</v>
      </c>
      <c r="AB11" s="24">
        <v>40000</v>
      </c>
      <c r="AC11" s="24">
        <v>43000</v>
      </c>
    </row>
    <row r="12" spans="1:29" ht="27" customHeight="1" x14ac:dyDescent="0.25">
      <c r="A12" s="21" t="s">
        <v>10</v>
      </c>
      <c r="B12" s="9" t="s">
        <v>11</v>
      </c>
      <c r="C12" s="24">
        <f t="shared" si="11"/>
        <v>16670000</v>
      </c>
      <c r="D12" s="24">
        <f t="shared" si="12"/>
        <v>17360000</v>
      </c>
      <c r="E12" s="24">
        <f t="shared" si="13"/>
        <v>17590000</v>
      </c>
      <c r="F12" s="24">
        <f t="shared" si="14"/>
        <v>16670000</v>
      </c>
      <c r="G12" s="24">
        <f t="shared" si="15"/>
        <v>17360000</v>
      </c>
      <c r="H12" s="24">
        <f t="shared" si="16"/>
        <v>17590000</v>
      </c>
      <c r="I12" s="24">
        <v>13732000</v>
      </c>
      <c r="J12" s="24">
        <v>14312000</v>
      </c>
      <c r="K12" s="24">
        <v>14511000</v>
      </c>
      <c r="L12" s="24">
        <f t="shared" si="17"/>
        <v>2938000</v>
      </c>
      <c r="M12" s="24">
        <f t="shared" si="18"/>
        <v>3048000</v>
      </c>
      <c r="N12" s="24">
        <f t="shared" si="19"/>
        <v>3079000</v>
      </c>
      <c r="O12" s="24">
        <v>915000</v>
      </c>
      <c r="P12" s="24">
        <v>958000</v>
      </c>
      <c r="Q12" s="24">
        <v>968000</v>
      </c>
      <c r="R12" s="24">
        <v>768000</v>
      </c>
      <c r="S12" s="24">
        <v>797000</v>
      </c>
      <c r="T12" s="24">
        <v>805000</v>
      </c>
      <c r="U12" s="24"/>
      <c r="V12" s="24"/>
      <c r="W12" s="24"/>
      <c r="X12" s="24">
        <v>784000</v>
      </c>
      <c r="Y12" s="24">
        <v>809000</v>
      </c>
      <c r="Z12" s="24">
        <v>817000</v>
      </c>
      <c r="AA12" s="24">
        <v>471000</v>
      </c>
      <c r="AB12" s="24">
        <v>484000</v>
      </c>
      <c r="AC12" s="24">
        <v>489000</v>
      </c>
    </row>
    <row r="13" spans="1:29" ht="52.5" customHeight="1" x14ac:dyDescent="0.25">
      <c r="A13" s="21" t="s">
        <v>12</v>
      </c>
      <c r="B13" s="9" t="s">
        <v>13</v>
      </c>
      <c r="C13" s="24">
        <f t="shared" si="11"/>
        <v>0</v>
      </c>
      <c r="D13" s="24">
        <f t="shared" si="12"/>
        <v>0</v>
      </c>
      <c r="E13" s="24"/>
      <c r="F13" s="24">
        <f t="shared" si="14"/>
        <v>0</v>
      </c>
      <c r="G13" s="24">
        <f t="shared" si="15"/>
        <v>0</v>
      </c>
      <c r="H13" s="24">
        <f t="shared" si="16"/>
        <v>0</v>
      </c>
      <c r="I13" s="24"/>
      <c r="J13" s="24"/>
      <c r="K13" s="24"/>
      <c r="L13" s="24">
        <f t="shared" si="17"/>
        <v>0</v>
      </c>
      <c r="M13" s="24">
        <f t="shared" si="18"/>
        <v>0</v>
      </c>
      <c r="N13" s="24">
        <f t="shared" si="19"/>
        <v>0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2.5" customHeight="1" x14ac:dyDescent="0.25">
      <c r="A14" s="21" t="s">
        <v>14</v>
      </c>
      <c r="B14" s="9" t="s">
        <v>15</v>
      </c>
      <c r="C14" s="24">
        <f t="shared" si="11"/>
        <v>0</v>
      </c>
      <c r="D14" s="24">
        <f t="shared" si="12"/>
        <v>0</v>
      </c>
      <c r="E14" s="24">
        <f t="shared" si="13"/>
        <v>0</v>
      </c>
      <c r="F14" s="24">
        <f t="shared" si="14"/>
        <v>0</v>
      </c>
      <c r="G14" s="24">
        <f t="shared" si="15"/>
        <v>0</v>
      </c>
      <c r="H14" s="24">
        <f t="shared" si="16"/>
        <v>0</v>
      </c>
      <c r="I14" s="24"/>
      <c r="J14" s="24"/>
      <c r="K14" s="24"/>
      <c r="L14" s="24">
        <f t="shared" si="17"/>
        <v>0</v>
      </c>
      <c r="M14" s="24">
        <f t="shared" si="18"/>
        <v>0</v>
      </c>
      <c r="N14" s="24">
        <f t="shared" si="19"/>
        <v>0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85.5" customHeight="1" x14ac:dyDescent="0.25">
      <c r="A15" s="21" t="s">
        <v>16</v>
      </c>
      <c r="B15" s="9" t="s">
        <v>17</v>
      </c>
      <c r="C15" s="24">
        <f t="shared" si="11"/>
        <v>1643500</v>
      </c>
      <c r="D15" s="24">
        <f t="shared" si="12"/>
        <v>1670100</v>
      </c>
      <c r="E15" s="24">
        <f t="shared" si="13"/>
        <v>1670100</v>
      </c>
      <c r="F15" s="24">
        <f t="shared" si="14"/>
        <v>1643500</v>
      </c>
      <c r="G15" s="24">
        <f t="shared" si="15"/>
        <v>1670100</v>
      </c>
      <c r="H15" s="24">
        <f t="shared" si="16"/>
        <v>1670100</v>
      </c>
      <c r="I15" s="24">
        <v>1460000</v>
      </c>
      <c r="J15" s="24">
        <v>1486600</v>
      </c>
      <c r="K15" s="24">
        <v>1486600</v>
      </c>
      <c r="L15" s="24">
        <f t="shared" si="17"/>
        <v>183500</v>
      </c>
      <c r="M15" s="24">
        <f t="shared" si="18"/>
        <v>183500</v>
      </c>
      <c r="N15" s="24">
        <f t="shared" si="19"/>
        <v>183500</v>
      </c>
      <c r="O15" s="24">
        <v>59000</v>
      </c>
      <c r="P15" s="24">
        <v>59000</v>
      </c>
      <c r="Q15" s="24">
        <v>59000</v>
      </c>
      <c r="R15" s="24"/>
      <c r="S15" s="24"/>
      <c r="T15" s="24"/>
      <c r="U15" s="24"/>
      <c r="V15" s="24"/>
      <c r="W15" s="24"/>
      <c r="X15" s="24"/>
      <c r="Y15" s="24"/>
      <c r="Z15" s="24"/>
      <c r="AA15" s="24">
        <v>124500</v>
      </c>
      <c r="AB15" s="24">
        <v>124500</v>
      </c>
      <c r="AC15" s="24">
        <v>124500</v>
      </c>
    </row>
    <row r="16" spans="1:29" ht="36" customHeight="1" x14ac:dyDescent="0.25">
      <c r="A16" s="21" t="s">
        <v>18</v>
      </c>
      <c r="B16" s="9" t="s">
        <v>19</v>
      </c>
      <c r="C16" s="24">
        <f t="shared" si="11"/>
        <v>0</v>
      </c>
      <c r="D16" s="24">
        <f t="shared" si="12"/>
        <v>0</v>
      </c>
      <c r="E16" s="24">
        <f t="shared" si="13"/>
        <v>0</v>
      </c>
      <c r="F16" s="24">
        <f t="shared" si="14"/>
        <v>0</v>
      </c>
      <c r="G16" s="24">
        <f t="shared" si="15"/>
        <v>0</v>
      </c>
      <c r="H16" s="24">
        <f t="shared" si="16"/>
        <v>0</v>
      </c>
      <c r="I16" s="24"/>
      <c r="J16" s="24"/>
      <c r="K16" s="24"/>
      <c r="L16" s="24">
        <f t="shared" si="17"/>
        <v>0</v>
      </c>
      <c r="M16" s="24">
        <f t="shared" si="18"/>
        <v>0</v>
      </c>
      <c r="N16" s="24">
        <f t="shared" si="19"/>
        <v>0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11" customFormat="1" ht="66.75" customHeight="1" x14ac:dyDescent="0.25">
      <c r="A17" s="21" t="s">
        <v>20</v>
      </c>
      <c r="B17" s="9" t="s">
        <v>21</v>
      </c>
      <c r="C17" s="24">
        <f t="shared" si="11"/>
        <v>20500</v>
      </c>
      <c r="D17" s="24">
        <f t="shared" si="12"/>
        <v>20500</v>
      </c>
      <c r="E17" s="24">
        <f t="shared" si="13"/>
        <v>20500</v>
      </c>
      <c r="F17" s="24">
        <f t="shared" si="14"/>
        <v>20500</v>
      </c>
      <c r="G17" s="24">
        <f t="shared" si="15"/>
        <v>20500</v>
      </c>
      <c r="H17" s="24">
        <f t="shared" si="16"/>
        <v>20500</v>
      </c>
      <c r="I17" s="24"/>
      <c r="J17" s="24"/>
      <c r="K17" s="24"/>
      <c r="L17" s="24">
        <f t="shared" si="17"/>
        <v>20500</v>
      </c>
      <c r="M17" s="24">
        <f t="shared" si="18"/>
        <v>20500</v>
      </c>
      <c r="N17" s="24">
        <f t="shared" si="19"/>
        <v>20500</v>
      </c>
      <c r="O17" s="24"/>
      <c r="P17" s="24"/>
      <c r="Q17" s="24"/>
      <c r="R17" s="24"/>
      <c r="S17" s="24"/>
      <c r="T17" s="24"/>
      <c r="U17" s="24"/>
      <c r="V17" s="24"/>
      <c r="W17" s="24"/>
      <c r="X17" s="24">
        <v>7500</v>
      </c>
      <c r="Y17" s="24">
        <v>7500</v>
      </c>
      <c r="Z17" s="24">
        <v>7500</v>
      </c>
      <c r="AA17" s="24">
        <v>13000</v>
      </c>
      <c r="AB17" s="24">
        <v>13000</v>
      </c>
      <c r="AC17" s="24">
        <v>13000</v>
      </c>
    </row>
    <row r="18" spans="1:29" s="11" customFormat="1" ht="54.75" customHeight="1" x14ac:dyDescent="0.25">
      <c r="A18" s="21" t="s">
        <v>22</v>
      </c>
      <c r="B18" s="9" t="s">
        <v>23</v>
      </c>
      <c r="C18" s="24">
        <f t="shared" si="11"/>
        <v>713100</v>
      </c>
      <c r="D18" s="24">
        <f t="shared" si="12"/>
        <v>50000</v>
      </c>
      <c r="E18" s="24">
        <f t="shared" si="13"/>
        <v>50000</v>
      </c>
      <c r="F18" s="24">
        <f t="shared" si="14"/>
        <v>713100</v>
      </c>
      <c r="G18" s="24">
        <f t="shared" si="15"/>
        <v>50000</v>
      </c>
      <c r="H18" s="24">
        <f t="shared" si="16"/>
        <v>50000</v>
      </c>
      <c r="I18" s="24">
        <v>50000</v>
      </c>
      <c r="J18" s="24">
        <v>50000</v>
      </c>
      <c r="K18" s="24">
        <v>50000</v>
      </c>
      <c r="L18" s="24">
        <f t="shared" si="17"/>
        <v>663100</v>
      </c>
      <c r="M18" s="24">
        <f t="shared" si="18"/>
        <v>0</v>
      </c>
      <c r="N18" s="24">
        <f t="shared" si="19"/>
        <v>0</v>
      </c>
      <c r="O18" s="24"/>
      <c r="P18" s="24"/>
      <c r="Q18" s="24"/>
      <c r="R18" s="24"/>
      <c r="S18" s="24"/>
      <c r="T18" s="24"/>
      <c r="U18" s="24"/>
      <c r="V18" s="24"/>
      <c r="W18" s="24"/>
      <c r="X18" s="24">
        <v>663100</v>
      </c>
      <c r="Y18" s="24"/>
      <c r="Z18" s="24"/>
      <c r="AA18" s="24"/>
      <c r="AB18" s="24"/>
      <c r="AC18" s="24"/>
    </row>
    <row r="19" spans="1:29" ht="31.5" x14ac:dyDescent="0.25">
      <c r="A19" s="21" t="s">
        <v>24</v>
      </c>
      <c r="B19" s="9" t="s">
        <v>25</v>
      </c>
      <c r="C19" s="24">
        <f t="shared" si="11"/>
        <v>0</v>
      </c>
      <c r="D19" s="24">
        <f t="shared" si="12"/>
        <v>0</v>
      </c>
      <c r="E19" s="24">
        <f t="shared" si="13"/>
        <v>0</v>
      </c>
      <c r="F19" s="24">
        <f t="shared" si="14"/>
        <v>0</v>
      </c>
      <c r="G19" s="24">
        <f t="shared" si="15"/>
        <v>0</v>
      </c>
      <c r="H19" s="24">
        <f t="shared" si="16"/>
        <v>0</v>
      </c>
      <c r="I19" s="24"/>
      <c r="J19" s="24"/>
      <c r="K19" s="24"/>
      <c r="L19" s="24">
        <f t="shared" si="17"/>
        <v>0</v>
      </c>
      <c r="M19" s="24">
        <f t="shared" si="18"/>
        <v>0</v>
      </c>
      <c r="N19" s="24">
        <f t="shared" si="19"/>
        <v>0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32.25" thickBot="1" x14ac:dyDescent="0.3">
      <c r="A20" s="22" t="s">
        <v>26</v>
      </c>
      <c r="B20" s="12" t="s">
        <v>27</v>
      </c>
      <c r="C20" s="24">
        <f t="shared" si="11"/>
        <v>0</v>
      </c>
      <c r="D20" s="24">
        <f t="shared" si="12"/>
        <v>0</v>
      </c>
      <c r="E20" s="24">
        <f t="shared" si="13"/>
        <v>0</v>
      </c>
      <c r="F20" s="24">
        <f t="shared" si="14"/>
        <v>0</v>
      </c>
      <c r="G20" s="24">
        <f t="shared" si="15"/>
        <v>0</v>
      </c>
      <c r="H20" s="24">
        <f t="shared" si="16"/>
        <v>0</v>
      </c>
      <c r="I20" s="24"/>
      <c r="J20" s="24"/>
      <c r="K20" s="24"/>
      <c r="L20" s="24">
        <f t="shared" si="17"/>
        <v>0</v>
      </c>
      <c r="M20" s="24">
        <f t="shared" si="18"/>
        <v>0</v>
      </c>
      <c r="N20" s="24">
        <f t="shared" si="19"/>
        <v>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s="11" customFormat="1" ht="31.5" x14ac:dyDescent="0.25">
      <c r="A21" s="27" t="s">
        <v>28</v>
      </c>
      <c r="B21" s="28" t="s">
        <v>29</v>
      </c>
      <c r="C21" s="24">
        <f t="shared" si="11"/>
        <v>24148118.079999998</v>
      </c>
      <c r="D21" s="24">
        <f t="shared" si="12"/>
        <v>35726023</v>
      </c>
      <c r="E21" s="24">
        <f t="shared" si="13"/>
        <v>25978323</v>
      </c>
      <c r="F21" s="24">
        <f>I21+L21</f>
        <v>24148118.079999998</v>
      </c>
      <c r="G21" s="24">
        <f t="shared" si="15"/>
        <v>35726023</v>
      </c>
      <c r="H21" s="24">
        <f t="shared" si="16"/>
        <v>25978323</v>
      </c>
      <c r="I21" s="24">
        <v>9930567.0800000001</v>
      </c>
      <c r="J21" s="24">
        <v>22623572</v>
      </c>
      <c r="K21" s="24">
        <v>12823572</v>
      </c>
      <c r="L21" s="24">
        <f t="shared" ref="L21" si="20">O21+R21+U21+X21+AA21</f>
        <v>14217551</v>
      </c>
      <c r="M21" s="24">
        <f t="shared" ref="M21" si="21">P21+S21+V21+Y21+AB21</f>
        <v>13102451</v>
      </c>
      <c r="N21" s="24">
        <f t="shared" ref="N21" si="22">Q21+T21+W21+Z21+AC21</f>
        <v>13154751</v>
      </c>
      <c r="O21" s="29">
        <v>1862773</v>
      </c>
      <c r="P21" s="29">
        <v>1661134</v>
      </c>
      <c r="Q21" s="29">
        <v>1643775</v>
      </c>
      <c r="R21" s="29">
        <v>3491224</v>
      </c>
      <c r="S21" s="29">
        <v>3139307</v>
      </c>
      <c r="T21" s="29">
        <v>3109375</v>
      </c>
      <c r="U21" s="29">
        <v>3688249</v>
      </c>
      <c r="V21" s="29">
        <v>3214132</v>
      </c>
      <c r="W21" s="29">
        <v>3197762</v>
      </c>
      <c r="X21" s="29">
        <v>1986368</v>
      </c>
      <c r="Y21" s="29">
        <v>2116557</v>
      </c>
      <c r="Z21" s="29">
        <v>2189660</v>
      </c>
      <c r="AA21" s="29">
        <v>3188937</v>
      </c>
      <c r="AB21" s="29">
        <v>2971321</v>
      </c>
      <c r="AC21" s="29">
        <v>3014179</v>
      </c>
    </row>
    <row r="22" spans="1:29" s="11" customFormat="1" x14ac:dyDescent="0.25">
      <c r="A22" s="27"/>
      <c r="B22" s="28" t="s">
        <v>73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1153645</v>
      </c>
      <c r="P22" s="29">
        <v>1177567</v>
      </c>
      <c r="Q22" s="29">
        <v>1184333</v>
      </c>
      <c r="R22" s="29">
        <v>2304626</v>
      </c>
      <c r="S22" s="29">
        <v>2351156</v>
      </c>
      <c r="T22" s="29">
        <v>2364317</v>
      </c>
      <c r="U22" s="29">
        <v>1921048</v>
      </c>
      <c r="V22" s="29">
        <v>1960636</v>
      </c>
      <c r="W22" s="29">
        <v>1971834</v>
      </c>
      <c r="X22" s="29">
        <v>1443188</v>
      </c>
      <c r="Y22" s="29">
        <v>1473113</v>
      </c>
      <c r="Z22" s="29">
        <v>1481578</v>
      </c>
      <c r="AA22" s="29">
        <v>2167044</v>
      </c>
      <c r="AB22" s="29">
        <v>2211979</v>
      </c>
      <c r="AC22" s="29">
        <v>22224689</v>
      </c>
    </row>
    <row r="23" spans="1:29" s="11" customFormat="1" ht="24" customHeight="1" x14ac:dyDescent="0.25">
      <c r="A23" s="94" t="s">
        <v>30</v>
      </c>
      <c r="B23" s="94"/>
      <c r="C23" s="26">
        <f t="shared" ref="C23:N23" si="23">C8+C21</f>
        <v>60106518.079999998</v>
      </c>
      <c r="D23" s="26">
        <f t="shared" si="23"/>
        <v>72668523</v>
      </c>
      <c r="E23" s="26">
        <f t="shared" si="23"/>
        <v>64020323</v>
      </c>
      <c r="F23" s="26">
        <f t="shared" si="23"/>
        <v>60106518.079999998</v>
      </c>
      <c r="G23" s="26">
        <f t="shared" si="23"/>
        <v>72668523</v>
      </c>
      <c r="H23" s="26">
        <f t="shared" si="23"/>
        <v>64020323</v>
      </c>
      <c r="I23" s="26">
        <f t="shared" si="23"/>
        <v>40671167.079999998</v>
      </c>
      <c r="J23" s="26">
        <f t="shared" si="23"/>
        <v>54840972</v>
      </c>
      <c r="K23" s="26">
        <f t="shared" si="23"/>
        <v>46071672</v>
      </c>
      <c r="L23" s="26">
        <f t="shared" si="23"/>
        <v>19435351</v>
      </c>
      <c r="M23" s="26">
        <f t="shared" si="23"/>
        <v>17827551</v>
      </c>
      <c r="N23" s="26">
        <f t="shared" si="23"/>
        <v>17948651</v>
      </c>
      <c r="O23" s="26">
        <f t="shared" ref="O23:AC23" si="24">O8+O21</f>
        <v>2925973</v>
      </c>
      <c r="P23" s="26">
        <f t="shared" si="24"/>
        <v>2774434</v>
      </c>
      <c r="Q23" s="26">
        <f t="shared" si="24"/>
        <v>2774675</v>
      </c>
      <c r="R23" s="26">
        <f t="shared" si="24"/>
        <v>4294124</v>
      </c>
      <c r="S23" s="26">
        <f t="shared" si="24"/>
        <v>3973807</v>
      </c>
      <c r="T23" s="26">
        <f t="shared" si="24"/>
        <v>3955575</v>
      </c>
      <c r="U23" s="26">
        <f t="shared" si="24"/>
        <v>4843249</v>
      </c>
      <c r="V23" s="26">
        <f t="shared" si="24"/>
        <v>4410332</v>
      </c>
      <c r="W23" s="26">
        <f t="shared" si="24"/>
        <v>4409562</v>
      </c>
      <c r="X23" s="26">
        <f t="shared" si="24"/>
        <v>3470868</v>
      </c>
      <c r="Y23" s="26">
        <f t="shared" si="24"/>
        <v>2965257</v>
      </c>
      <c r="Z23" s="26">
        <f t="shared" si="24"/>
        <v>3048660</v>
      </c>
      <c r="AA23" s="26">
        <f t="shared" si="24"/>
        <v>3901137</v>
      </c>
      <c r="AB23" s="26">
        <f t="shared" si="24"/>
        <v>3703721</v>
      </c>
      <c r="AC23" s="26">
        <f t="shared" si="24"/>
        <v>3760179</v>
      </c>
    </row>
    <row r="24" spans="1:29" s="11" customFormat="1" ht="30" customHeight="1" x14ac:dyDescent="0.25">
      <c r="A24" s="69" t="s">
        <v>31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</row>
    <row r="25" spans="1:29" s="2" customFormat="1" ht="36" customHeight="1" x14ac:dyDescent="0.25">
      <c r="A25" s="20" t="s">
        <v>32</v>
      </c>
      <c r="B25" s="13" t="s">
        <v>33</v>
      </c>
      <c r="C25" s="24">
        <f>I25+O25+R25+U25+X25+AA25</f>
        <v>8780071</v>
      </c>
      <c r="D25" s="24">
        <f t="shared" ref="D25" si="25">J25+P25+S25+V25+Y25+AB25</f>
        <v>7229473</v>
      </c>
      <c r="E25" s="24">
        <f t="shared" ref="E25" si="26">K25+Q25+T25+W25+Z25+AC25</f>
        <v>7228224</v>
      </c>
      <c r="F25" s="24">
        <f t="shared" ref="F25" si="27">I25+L25</f>
        <v>8780071</v>
      </c>
      <c r="G25" s="24">
        <f t="shared" ref="G25" si="28">J25+M25</f>
        <v>7229473</v>
      </c>
      <c r="H25" s="24">
        <f t="shared" ref="H25" si="29">K25+N25</f>
        <v>7228224</v>
      </c>
      <c r="I25" s="24">
        <v>237701</v>
      </c>
      <c r="J25" s="24">
        <f>1071504-J47</f>
        <v>241504</v>
      </c>
      <c r="K25" s="24">
        <f>1945480-K47</f>
        <v>245480</v>
      </c>
      <c r="L25" s="24">
        <f>O25+R25+U25+X25+AA25</f>
        <v>8542370</v>
      </c>
      <c r="M25" s="24">
        <f t="shared" ref="M25:N25" si="30">P25+S25+V25+Y25+AB25</f>
        <v>6987969</v>
      </c>
      <c r="N25" s="24">
        <f t="shared" si="30"/>
        <v>6982744</v>
      </c>
      <c r="O25" s="18">
        <v>1535110</v>
      </c>
      <c r="P25" s="18">
        <f>1433867-P47</f>
        <v>1393867</v>
      </c>
      <c r="Q25" s="18">
        <f>1431342-Q47</f>
        <v>1351342</v>
      </c>
      <c r="R25" s="18">
        <v>1670400</v>
      </c>
      <c r="S25" s="18">
        <f>1370203-S47</f>
        <v>1329042</v>
      </c>
      <c r="T25" s="18">
        <f>1408810-T47</f>
        <v>1329042</v>
      </c>
      <c r="U25" s="18">
        <v>2211400</v>
      </c>
      <c r="V25" s="18">
        <f>1702500</f>
        <v>1702500</v>
      </c>
      <c r="W25" s="18">
        <f>1702000</f>
        <v>1702000</v>
      </c>
      <c r="X25" s="18">
        <v>1615820</v>
      </c>
      <c r="Y25" s="18">
        <f>1312520-Y47</f>
        <v>1274520</v>
      </c>
      <c r="Z25" s="18">
        <f>1388720-Z47</f>
        <v>1307720</v>
      </c>
      <c r="AA25" s="18">
        <v>1509640</v>
      </c>
      <c r="AB25" s="18">
        <f>1326040-AB47</f>
        <v>1288040</v>
      </c>
      <c r="AC25" s="18">
        <f>1369640-AC47</f>
        <v>1292640</v>
      </c>
    </row>
    <row r="26" spans="1:29" s="37" customFormat="1" ht="15" customHeight="1" x14ac:dyDescent="0.25">
      <c r="A26" s="33"/>
      <c r="B26" s="34"/>
      <c r="C26" s="35"/>
      <c r="D26" s="35"/>
      <c r="E26" s="35"/>
      <c r="F26" s="24">
        <f t="shared" ref="F26:F30" si="31">I26+L26</f>
        <v>27000</v>
      </c>
      <c r="G26" s="24">
        <f t="shared" ref="G26:G30" si="32">J26+M26</f>
        <v>27000</v>
      </c>
      <c r="H26" s="24">
        <f t="shared" ref="H26:H30" si="33">K26+N26</f>
        <v>27000</v>
      </c>
      <c r="I26" s="35">
        <f>5900+200+2400</f>
        <v>8500</v>
      </c>
      <c r="J26" s="35">
        <f t="shared" ref="J26:K26" si="34">5900+200+2400</f>
        <v>8500</v>
      </c>
      <c r="K26" s="35">
        <f t="shared" si="34"/>
        <v>8500</v>
      </c>
      <c r="L26" s="24">
        <f t="shared" ref="L26:L49" si="35">O26+R26+U26+X26+AA26</f>
        <v>18500</v>
      </c>
      <c r="M26" s="24">
        <f t="shared" ref="M26:M49" si="36">P26+S26+V26+Y26+AB26</f>
        <v>18500</v>
      </c>
      <c r="N26" s="24">
        <f t="shared" ref="N26:N49" si="37">Q26+T26+W26+Z26+AC26</f>
        <v>18500</v>
      </c>
      <c r="O26" s="36">
        <f t="shared" ref="O26:Q26" si="38">3300+800</f>
        <v>4100</v>
      </c>
      <c r="P26" s="36">
        <f t="shared" si="38"/>
        <v>4100</v>
      </c>
      <c r="Q26" s="36">
        <f t="shared" si="38"/>
        <v>4100</v>
      </c>
      <c r="R26" s="36">
        <f>3300+800</f>
        <v>4100</v>
      </c>
      <c r="S26" s="36">
        <f t="shared" ref="S26:T26" si="39">3300+800</f>
        <v>4100</v>
      </c>
      <c r="T26" s="36">
        <f t="shared" si="39"/>
        <v>4100</v>
      </c>
      <c r="U26" s="36">
        <f>3300+800</f>
        <v>4100</v>
      </c>
      <c r="V26" s="36">
        <f t="shared" ref="V26:W26" si="40">3300+800</f>
        <v>4100</v>
      </c>
      <c r="W26" s="36">
        <f t="shared" si="40"/>
        <v>4100</v>
      </c>
      <c r="X26" s="36">
        <f>2300+800</f>
        <v>3100</v>
      </c>
      <c r="Y26" s="36">
        <f t="shared" ref="Y26:AC26" si="41">2300+800</f>
        <v>3100</v>
      </c>
      <c r="Z26" s="36">
        <f t="shared" si="41"/>
        <v>3100</v>
      </c>
      <c r="AA26" s="36">
        <f t="shared" si="41"/>
        <v>3100</v>
      </c>
      <c r="AB26" s="36">
        <f t="shared" si="41"/>
        <v>3100</v>
      </c>
      <c r="AC26" s="36">
        <f t="shared" si="41"/>
        <v>3100</v>
      </c>
    </row>
    <row r="27" spans="1:29" s="11" customFormat="1" ht="19.5" customHeight="1" x14ac:dyDescent="0.25">
      <c r="A27" s="20" t="s">
        <v>34</v>
      </c>
      <c r="B27" s="13" t="s">
        <v>35</v>
      </c>
      <c r="C27" s="24">
        <f t="shared" ref="C27:C47" si="42">I27+O27+R27+U27+X27+AA27</f>
        <v>0</v>
      </c>
      <c r="D27" s="24">
        <f t="shared" ref="D27:D47" si="43">J27+P27+S27+V27+Y27+AB27</f>
        <v>0</v>
      </c>
      <c r="E27" s="24">
        <f t="shared" ref="E27:E47" si="44">K27+Q27+T27+W27+Z27+AC27</f>
        <v>0</v>
      </c>
      <c r="F27" s="24">
        <f t="shared" si="31"/>
        <v>0</v>
      </c>
      <c r="G27" s="24">
        <f t="shared" si="32"/>
        <v>0</v>
      </c>
      <c r="H27" s="24">
        <f t="shared" si="33"/>
        <v>0</v>
      </c>
      <c r="I27" s="24"/>
      <c r="J27" s="24"/>
      <c r="K27" s="24"/>
      <c r="L27" s="24">
        <f t="shared" si="35"/>
        <v>0</v>
      </c>
      <c r="M27" s="24">
        <f t="shared" si="36"/>
        <v>0</v>
      </c>
      <c r="N27" s="24">
        <f t="shared" si="37"/>
        <v>0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s="59" customFormat="1" ht="19.5" customHeight="1" x14ac:dyDescent="0.25">
      <c r="A28" s="56"/>
      <c r="B28" s="57"/>
      <c r="C28" s="58"/>
      <c r="D28" s="58"/>
      <c r="E28" s="58"/>
      <c r="F28" s="58">
        <f t="shared" si="31"/>
        <v>0</v>
      </c>
      <c r="G28" s="58">
        <f t="shared" si="32"/>
        <v>0</v>
      </c>
      <c r="H28" s="58">
        <f t="shared" si="33"/>
        <v>0</v>
      </c>
      <c r="I28" s="58">
        <f>I27</f>
        <v>0</v>
      </c>
      <c r="J28" s="58">
        <f t="shared" ref="J28:K28" si="45">J27</f>
        <v>0</v>
      </c>
      <c r="K28" s="58">
        <f t="shared" si="45"/>
        <v>0</v>
      </c>
      <c r="L28" s="58">
        <f t="shared" si="35"/>
        <v>0</v>
      </c>
      <c r="M28" s="58">
        <f t="shared" si="36"/>
        <v>0</v>
      </c>
      <c r="N28" s="58">
        <f t="shared" si="37"/>
        <v>0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71.25" customHeight="1" x14ac:dyDescent="0.25">
      <c r="A29" s="20" t="s">
        <v>36</v>
      </c>
      <c r="B29" s="13" t="s">
        <v>37</v>
      </c>
      <c r="C29" s="24">
        <f t="shared" si="42"/>
        <v>525300</v>
      </c>
      <c r="D29" s="24">
        <f t="shared" si="43"/>
        <v>396000</v>
      </c>
      <c r="E29" s="24">
        <f t="shared" si="44"/>
        <v>396000</v>
      </c>
      <c r="F29" s="24">
        <f t="shared" si="31"/>
        <v>525300</v>
      </c>
      <c r="G29" s="24">
        <f t="shared" si="32"/>
        <v>396000</v>
      </c>
      <c r="H29" s="24">
        <f t="shared" si="33"/>
        <v>396000</v>
      </c>
      <c r="I29" s="24">
        <v>30000</v>
      </c>
      <c r="J29" s="24">
        <v>35000</v>
      </c>
      <c r="K29" s="24">
        <v>40000</v>
      </c>
      <c r="L29" s="24">
        <f t="shared" si="35"/>
        <v>495300</v>
      </c>
      <c r="M29" s="24">
        <f t="shared" si="36"/>
        <v>361000</v>
      </c>
      <c r="N29" s="24">
        <f t="shared" si="37"/>
        <v>356000</v>
      </c>
      <c r="O29" s="18">
        <v>21000</v>
      </c>
      <c r="P29" s="18"/>
      <c r="Q29" s="18"/>
      <c r="R29" s="18">
        <v>171600</v>
      </c>
      <c r="S29" s="18">
        <v>130000</v>
      </c>
      <c r="T29" s="18">
        <v>115000</v>
      </c>
      <c r="U29" s="18">
        <v>290700</v>
      </c>
      <c r="V29" s="18">
        <v>219000</v>
      </c>
      <c r="W29" s="18">
        <v>229000</v>
      </c>
      <c r="X29" s="18">
        <v>12000</v>
      </c>
      <c r="Y29" s="18">
        <v>12000</v>
      </c>
      <c r="Z29" s="18">
        <v>12000</v>
      </c>
      <c r="AA29" s="18"/>
      <c r="AB29" s="18"/>
      <c r="AC29" s="18"/>
    </row>
    <row r="30" spans="1:29" s="11" customFormat="1" ht="21" customHeight="1" x14ac:dyDescent="0.25">
      <c r="A30" s="20" t="s">
        <v>38</v>
      </c>
      <c r="B30" s="13" t="s">
        <v>39</v>
      </c>
      <c r="C30" s="24">
        <f t="shared" si="42"/>
        <v>21473386</v>
      </c>
      <c r="D30" s="24">
        <f t="shared" si="43"/>
        <v>28228572</v>
      </c>
      <c r="E30" s="24">
        <f t="shared" si="44"/>
        <v>28288572</v>
      </c>
      <c r="F30" s="24">
        <f t="shared" si="31"/>
        <v>21473386</v>
      </c>
      <c r="G30" s="24">
        <f t="shared" si="32"/>
        <v>28228572</v>
      </c>
      <c r="H30" s="24">
        <f t="shared" si="33"/>
        <v>28288572</v>
      </c>
      <c r="I30" s="60">
        <v>12556386</v>
      </c>
      <c r="J30" s="60">
        <v>19096672</v>
      </c>
      <c r="K30" s="60">
        <v>19134372</v>
      </c>
      <c r="L30" s="60">
        <f t="shared" si="35"/>
        <v>8917000</v>
      </c>
      <c r="M30" s="60">
        <f t="shared" si="36"/>
        <v>9131900</v>
      </c>
      <c r="N30" s="60">
        <f t="shared" si="37"/>
        <v>9154200</v>
      </c>
      <c r="O30" s="61">
        <v>1153645</v>
      </c>
      <c r="P30" s="61">
        <v>1177567</v>
      </c>
      <c r="Q30" s="61">
        <v>1184333</v>
      </c>
      <c r="R30" s="61">
        <v>2243953</v>
      </c>
      <c r="S30" s="61">
        <v>2290483</v>
      </c>
      <c r="T30" s="61">
        <v>2303644</v>
      </c>
      <c r="U30" s="61">
        <v>1909170</v>
      </c>
      <c r="V30" s="61">
        <v>1978758</v>
      </c>
      <c r="W30" s="61">
        <v>1959956</v>
      </c>
      <c r="X30" s="61">
        <v>1443188</v>
      </c>
      <c r="Y30" s="61">
        <v>1473113</v>
      </c>
      <c r="Z30" s="61">
        <v>1481578</v>
      </c>
      <c r="AA30" s="18">
        <v>2167044</v>
      </c>
      <c r="AB30" s="18">
        <v>2211979</v>
      </c>
      <c r="AC30" s="18">
        <v>2224689</v>
      </c>
    </row>
    <row r="31" spans="1:29" s="59" customFormat="1" ht="21" customHeight="1" x14ac:dyDescent="0.25">
      <c r="A31" s="56"/>
      <c r="B31" s="57" t="s">
        <v>95</v>
      </c>
      <c r="C31" s="58"/>
      <c r="D31" s="58"/>
      <c r="E31" s="58"/>
      <c r="F31" s="24">
        <f t="shared" ref="F31:F47" si="46">I31+L31</f>
        <v>8917000</v>
      </c>
      <c r="G31" s="24">
        <f t="shared" ref="G31:G47" si="47">J31+M31</f>
        <v>9131900</v>
      </c>
      <c r="H31" s="60">
        <f t="shared" ref="H31:H47" si="48">K31+N31</f>
        <v>9154200</v>
      </c>
      <c r="I31" s="58"/>
      <c r="J31" s="58"/>
      <c r="K31" s="58"/>
      <c r="L31" s="58">
        <f t="shared" ref="L31:L32" si="49">O31+R31+U31+X31+AA31</f>
        <v>8917000</v>
      </c>
      <c r="M31" s="58">
        <f t="shared" ref="M31:M32" si="50">P31+S31+V31+Y31+AB31</f>
        <v>9131900</v>
      </c>
      <c r="N31" s="58">
        <f t="shared" ref="N31:N32" si="51">Q31+T31+W31+Z31+AC31</f>
        <v>9154200</v>
      </c>
      <c r="O31" s="55">
        <f>O30</f>
        <v>1153645</v>
      </c>
      <c r="P31" s="55">
        <f t="shared" ref="P31:AC31" si="52">P30</f>
        <v>1177567</v>
      </c>
      <c r="Q31" s="55">
        <f t="shared" si="52"/>
        <v>1184333</v>
      </c>
      <c r="R31" s="55">
        <f t="shared" si="52"/>
        <v>2243953</v>
      </c>
      <c r="S31" s="55">
        <f t="shared" si="52"/>
        <v>2290483</v>
      </c>
      <c r="T31" s="55">
        <f t="shared" si="52"/>
        <v>2303644</v>
      </c>
      <c r="U31" s="55">
        <f t="shared" si="52"/>
        <v>1909170</v>
      </c>
      <c r="V31" s="55">
        <f t="shared" si="52"/>
        <v>1978758</v>
      </c>
      <c r="W31" s="55">
        <f t="shared" si="52"/>
        <v>1959956</v>
      </c>
      <c r="X31" s="55">
        <f t="shared" si="52"/>
        <v>1443188</v>
      </c>
      <c r="Y31" s="55">
        <f t="shared" si="52"/>
        <v>1473113</v>
      </c>
      <c r="Z31" s="55">
        <f t="shared" si="52"/>
        <v>1481578</v>
      </c>
      <c r="AA31" s="55">
        <f t="shared" si="52"/>
        <v>2167044</v>
      </c>
      <c r="AB31" s="55">
        <f t="shared" si="52"/>
        <v>2211979</v>
      </c>
      <c r="AC31" s="55">
        <f t="shared" si="52"/>
        <v>2224689</v>
      </c>
    </row>
    <row r="32" spans="1:29" s="38" customFormat="1" ht="21" customHeight="1" x14ac:dyDescent="0.25">
      <c r="A32" s="33"/>
      <c r="B32" s="34"/>
      <c r="C32" s="35"/>
      <c r="D32" s="35"/>
      <c r="E32" s="35"/>
      <c r="F32" s="24">
        <f t="shared" si="46"/>
        <v>0</v>
      </c>
      <c r="G32" s="24">
        <f t="shared" si="47"/>
        <v>0</v>
      </c>
      <c r="H32" s="60">
        <f t="shared" si="48"/>
        <v>0</v>
      </c>
      <c r="I32" s="35"/>
      <c r="J32" s="35"/>
      <c r="K32" s="35"/>
      <c r="L32" s="60">
        <f t="shared" si="49"/>
        <v>0</v>
      </c>
      <c r="M32" s="60">
        <f t="shared" si="50"/>
        <v>0</v>
      </c>
      <c r="N32" s="60">
        <f t="shared" si="51"/>
        <v>0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s="14" customFormat="1" ht="37.5" customHeight="1" x14ac:dyDescent="0.25">
      <c r="A33" s="20" t="s">
        <v>40</v>
      </c>
      <c r="B33" s="13" t="s">
        <v>41</v>
      </c>
      <c r="C33" s="24">
        <f t="shared" si="42"/>
        <v>22510552.359999999</v>
      </c>
      <c r="D33" s="24">
        <f t="shared" si="43"/>
        <v>29271971</v>
      </c>
      <c r="E33" s="24">
        <f t="shared" si="44"/>
        <v>19518333</v>
      </c>
      <c r="F33" s="24">
        <f t="shared" si="46"/>
        <v>22510552.359999999</v>
      </c>
      <c r="G33" s="24">
        <f t="shared" si="47"/>
        <v>29271971</v>
      </c>
      <c r="H33" s="60">
        <f t="shared" si="48"/>
        <v>19518333</v>
      </c>
      <c r="I33" s="24">
        <v>21890480.079999998</v>
      </c>
      <c r="J33" s="24">
        <v>28681196</v>
      </c>
      <c r="K33" s="24">
        <v>18995220</v>
      </c>
      <c r="L33" s="24">
        <f t="shared" si="35"/>
        <v>620072.28</v>
      </c>
      <c r="M33" s="24">
        <f t="shared" si="36"/>
        <v>590775</v>
      </c>
      <c r="N33" s="24">
        <f t="shared" si="37"/>
        <v>523113</v>
      </c>
      <c r="O33" s="18">
        <v>152218</v>
      </c>
      <c r="P33" s="18">
        <v>119000</v>
      </c>
      <c r="Q33" s="18">
        <v>115000</v>
      </c>
      <c r="R33" s="18">
        <v>158723</v>
      </c>
      <c r="S33" s="18">
        <v>140673</v>
      </c>
      <c r="T33" s="18">
        <v>85673</v>
      </c>
      <c r="U33" s="18">
        <v>119978</v>
      </c>
      <c r="V33" s="18">
        <v>207978</v>
      </c>
      <c r="W33" s="18">
        <v>200578</v>
      </c>
      <c r="X33" s="18">
        <v>111053.28</v>
      </c>
      <c r="Y33" s="18">
        <v>43124</v>
      </c>
      <c r="Z33" s="18">
        <v>41862</v>
      </c>
      <c r="AA33" s="18">
        <v>78100</v>
      </c>
      <c r="AB33" s="18">
        <v>80000</v>
      </c>
      <c r="AC33" s="18">
        <v>80000</v>
      </c>
    </row>
    <row r="34" spans="1:29" s="62" customFormat="1" ht="17.25" customHeight="1" x14ac:dyDescent="0.25">
      <c r="A34" s="56"/>
      <c r="B34" s="57"/>
      <c r="C34" s="58"/>
      <c r="D34" s="58"/>
      <c r="E34" s="58"/>
      <c r="F34" s="24">
        <f t="shared" si="46"/>
        <v>72551</v>
      </c>
      <c r="G34" s="24">
        <f t="shared" si="47"/>
        <v>72551</v>
      </c>
      <c r="H34" s="60">
        <f t="shared" si="48"/>
        <v>72551</v>
      </c>
      <c r="I34" s="58"/>
      <c r="J34" s="58"/>
      <c r="K34" s="58"/>
      <c r="L34" s="58">
        <f t="shared" si="35"/>
        <v>72551</v>
      </c>
      <c r="M34" s="58">
        <f t="shared" si="36"/>
        <v>72551</v>
      </c>
      <c r="N34" s="58">
        <f t="shared" si="37"/>
        <v>72551</v>
      </c>
      <c r="O34" s="55"/>
      <c r="P34" s="55"/>
      <c r="Q34" s="55"/>
      <c r="R34" s="55">
        <v>60673</v>
      </c>
      <c r="S34" s="55">
        <v>60673</v>
      </c>
      <c r="T34" s="55">
        <v>60673</v>
      </c>
      <c r="U34" s="55">
        <v>11878</v>
      </c>
      <c r="V34" s="55">
        <v>11878</v>
      </c>
      <c r="W34" s="55">
        <v>11878</v>
      </c>
      <c r="X34" s="55"/>
      <c r="Y34" s="55"/>
      <c r="Z34" s="55"/>
      <c r="AA34" s="55"/>
      <c r="AB34" s="55"/>
      <c r="AC34" s="55"/>
    </row>
    <row r="35" spans="1:29" s="44" customFormat="1" ht="20.25" customHeight="1" x14ac:dyDescent="0.25">
      <c r="A35" s="33"/>
      <c r="B35" s="34"/>
      <c r="C35" s="35"/>
      <c r="D35" s="35"/>
      <c r="E35" s="35"/>
      <c r="F35" s="24">
        <f t="shared" si="46"/>
        <v>0</v>
      </c>
      <c r="G35" s="24">
        <f t="shared" si="47"/>
        <v>0</v>
      </c>
      <c r="H35" s="60">
        <f t="shared" si="48"/>
        <v>0</v>
      </c>
      <c r="I35" s="35"/>
      <c r="J35" s="35"/>
      <c r="K35" s="35"/>
      <c r="L35" s="24">
        <f t="shared" si="35"/>
        <v>0</v>
      </c>
      <c r="M35" s="24">
        <f t="shared" si="36"/>
        <v>0</v>
      </c>
      <c r="N35" s="24">
        <f t="shared" si="37"/>
        <v>0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s="11" customFormat="1" ht="31.5" x14ac:dyDescent="0.25">
      <c r="A36" s="20" t="s">
        <v>42</v>
      </c>
      <c r="B36" s="13" t="s">
        <v>43</v>
      </c>
      <c r="C36" s="24">
        <f t="shared" si="42"/>
        <v>0</v>
      </c>
      <c r="D36" s="24">
        <f t="shared" si="43"/>
        <v>0</v>
      </c>
      <c r="E36" s="24">
        <f t="shared" si="44"/>
        <v>0</v>
      </c>
      <c r="F36" s="24">
        <f t="shared" si="46"/>
        <v>0</v>
      </c>
      <c r="G36" s="24">
        <f t="shared" si="47"/>
        <v>0</v>
      </c>
      <c r="H36" s="60">
        <f t="shared" si="48"/>
        <v>0</v>
      </c>
      <c r="I36" s="24"/>
      <c r="J36" s="24"/>
      <c r="K36" s="24"/>
      <c r="L36" s="24">
        <f t="shared" si="35"/>
        <v>0</v>
      </c>
      <c r="M36" s="24">
        <f t="shared" si="36"/>
        <v>0</v>
      </c>
      <c r="N36" s="24">
        <f t="shared" si="37"/>
        <v>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3.25" customHeight="1" x14ac:dyDescent="0.25">
      <c r="A37" s="20" t="s">
        <v>44</v>
      </c>
      <c r="B37" s="13" t="s">
        <v>45</v>
      </c>
      <c r="C37" s="24">
        <f t="shared" si="42"/>
        <v>0</v>
      </c>
      <c r="D37" s="24">
        <f t="shared" si="43"/>
        <v>0</v>
      </c>
      <c r="E37" s="24">
        <f t="shared" si="44"/>
        <v>0</v>
      </c>
      <c r="F37" s="24">
        <f t="shared" si="46"/>
        <v>0</v>
      </c>
      <c r="G37" s="24">
        <f t="shared" si="47"/>
        <v>0</v>
      </c>
      <c r="H37" s="60">
        <f t="shared" si="48"/>
        <v>0</v>
      </c>
      <c r="I37" s="24"/>
      <c r="J37" s="24"/>
      <c r="K37" s="24"/>
      <c r="L37" s="24">
        <f t="shared" si="35"/>
        <v>0</v>
      </c>
      <c r="M37" s="24">
        <f t="shared" si="36"/>
        <v>0</v>
      </c>
      <c r="N37" s="24">
        <f t="shared" si="37"/>
        <v>0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ht="20.25" customHeight="1" x14ac:dyDescent="0.25">
      <c r="A38" s="20" t="s">
        <v>46</v>
      </c>
      <c r="B38" s="13" t="s">
        <v>47</v>
      </c>
      <c r="C38" s="24">
        <f t="shared" si="42"/>
        <v>5647820</v>
      </c>
      <c r="D38" s="24">
        <f t="shared" si="43"/>
        <v>5633098</v>
      </c>
      <c r="E38" s="24">
        <f t="shared" si="44"/>
        <v>5633478</v>
      </c>
      <c r="F38" s="24">
        <f t="shared" si="46"/>
        <v>5647820</v>
      </c>
      <c r="G38" s="24">
        <f t="shared" si="47"/>
        <v>5633098</v>
      </c>
      <c r="H38" s="60">
        <f t="shared" si="48"/>
        <v>5633478</v>
      </c>
      <c r="I38" s="24">
        <v>5600000</v>
      </c>
      <c r="J38" s="24">
        <v>5600000</v>
      </c>
      <c r="K38" s="24">
        <v>5600000</v>
      </c>
      <c r="L38" s="24">
        <f t="shared" si="35"/>
        <v>47820</v>
      </c>
      <c r="M38" s="24">
        <f t="shared" si="36"/>
        <v>33098</v>
      </c>
      <c r="N38" s="24">
        <f t="shared" si="37"/>
        <v>33478</v>
      </c>
      <c r="O38" s="18"/>
      <c r="P38" s="18"/>
      <c r="Q38" s="18"/>
      <c r="R38" s="18">
        <v>7000</v>
      </c>
      <c r="S38" s="18"/>
      <c r="T38" s="18"/>
      <c r="U38" s="18">
        <v>1881</v>
      </c>
      <c r="V38" s="18">
        <v>1596</v>
      </c>
      <c r="W38" s="18">
        <v>1928</v>
      </c>
      <c r="X38" s="18">
        <v>4000</v>
      </c>
      <c r="Y38" s="18">
        <v>2500</v>
      </c>
      <c r="Z38" s="18">
        <v>2500</v>
      </c>
      <c r="AA38" s="18">
        <v>34939</v>
      </c>
      <c r="AB38" s="18">
        <v>29002</v>
      </c>
      <c r="AC38" s="18">
        <v>29050</v>
      </c>
    </row>
    <row r="39" spans="1:29" s="39" customFormat="1" ht="20.25" customHeight="1" x14ac:dyDescent="0.25">
      <c r="A39" s="33"/>
      <c r="B39" s="34"/>
      <c r="C39" s="35"/>
      <c r="D39" s="35"/>
      <c r="E39" s="35"/>
      <c r="F39" s="24">
        <f t="shared" si="46"/>
        <v>5600000</v>
      </c>
      <c r="G39" s="24">
        <f t="shared" si="47"/>
        <v>5600000</v>
      </c>
      <c r="H39" s="60">
        <f t="shared" si="48"/>
        <v>5600000</v>
      </c>
      <c r="I39" s="35">
        <f>I38</f>
        <v>5600000</v>
      </c>
      <c r="J39" s="35">
        <f t="shared" ref="J39:K39" si="53">J38</f>
        <v>5600000</v>
      </c>
      <c r="K39" s="35">
        <f t="shared" si="53"/>
        <v>5600000</v>
      </c>
      <c r="L39" s="24">
        <f t="shared" si="35"/>
        <v>0</v>
      </c>
      <c r="M39" s="24">
        <f t="shared" si="36"/>
        <v>0</v>
      </c>
      <c r="N39" s="24">
        <f t="shared" si="37"/>
        <v>0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18.75" customHeight="1" x14ac:dyDescent="0.25">
      <c r="A40" s="20" t="s">
        <v>48</v>
      </c>
      <c r="B40" s="13" t="s">
        <v>49</v>
      </c>
      <c r="C40" s="24">
        <f>I40+O40+R40+U40+X40+AA40</f>
        <v>0</v>
      </c>
      <c r="D40" s="24">
        <f t="shared" si="43"/>
        <v>0</v>
      </c>
      <c r="E40" s="24">
        <f t="shared" si="44"/>
        <v>0</v>
      </c>
      <c r="F40" s="24">
        <f>I40+L40</f>
        <v>0</v>
      </c>
      <c r="G40" s="24">
        <f t="shared" si="47"/>
        <v>0</v>
      </c>
      <c r="H40" s="60">
        <f t="shared" si="48"/>
        <v>0</v>
      </c>
      <c r="I40" s="24"/>
      <c r="J40" s="24"/>
      <c r="K40" s="24"/>
      <c r="L40" s="24">
        <f t="shared" si="35"/>
        <v>0</v>
      </c>
      <c r="M40" s="24">
        <f t="shared" si="36"/>
        <v>0</v>
      </c>
      <c r="N40" s="24">
        <f t="shared" si="37"/>
        <v>0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8.75" customHeight="1" x14ac:dyDescent="0.25">
      <c r="A41" s="20" t="s">
        <v>50</v>
      </c>
      <c r="B41" s="13" t="s">
        <v>51</v>
      </c>
      <c r="C41" s="24">
        <f>I41+O41+R41+U41+X41+AA41</f>
        <v>901388.72</v>
      </c>
      <c r="D41" s="24">
        <f t="shared" si="43"/>
        <v>592248</v>
      </c>
      <c r="E41" s="24">
        <f t="shared" si="44"/>
        <v>547948</v>
      </c>
      <c r="F41" s="24">
        <f>I41+L41</f>
        <v>901388.72</v>
      </c>
      <c r="G41" s="24">
        <f t="shared" si="47"/>
        <v>592248</v>
      </c>
      <c r="H41" s="60">
        <f t="shared" si="48"/>
        <v>547948</v>
      </c>
      <c r="I41" s="24">
        <v>106600</v>
      </c>
      <c r="J41" s="24">
        <v>106600</v>
      </c>
      <c r="K41" s="24">
        <v>106600</v>
      </c>
      <c r="L41" s="24">
        <f t="shared" si="35"/>
        <v>794788.72</v>
      </c>
      <c r="M41" s="24">
        <f t="shared" si="36"/>
        <v>485648</v>
      </c>
      <c r="N41" s="24">
        <f t="shared" si="37"/>
        <v>441348</v>
      </c>
      <c r="O41" s="18">
        <v>60000</v>
      </c>
      <c r="P41" s="18">
        <v>40000</v>
      </c>
      <c r="Q41" s="18">
        <v>40000</v>
      </c>
      <c r="R41" s="18">
        <v>38448</v>
      </c>
      <c r="S41" s="18">
        <v>38448</v>
      </c>
      <c r="T41" s="18">
        <v>38448</v>
      </c>
      <c r="U41" s="18">
        <v>306120</v>
      </c>
      <c r="V41" s="18">
        <v>234500</v>
      </c>
      <c r="W41" s="18">
        <v>190100</v>
      </c>
      <c r="X41" s="18">
        <v>280806.71999999997</v>
      </c>
      <c r="Y41" s="18">
        <v>118000</v>
      </c>
      <c r="Z41" s="18">
        <v>118000</v>
      </c>
      <c r="AA41" s="18">
        <v>109414</v>
      </c>
      <c r="AB41" s="18">
        <v>54700</v>
      </c>
      <c r="AC41" s="18">
        <v>54800</v>
      </c>
    </row>
    <row r="42" spans="1:29" ht="21" customHeight="1" x14ac:dyDescent="0.25">
      <c r="A42" s="20" t="s">
        <v>52</v>
      </c>
      <c r="B42" s="13" t="s">
        <v>53</v>
      </c>
      <c r="C42" s="24">
        <f t="shared" si="42"/>
        <v>268000</v>
      </c>
      <c r="D42" s="24">
        <f t="shared" si="43"/>
        <v>268000</v>
      </c>
      <c r="E42" s="24">
        <f t="shared" si="44"/>
        <v>268000</v>
      </c>
      <c r="F42" s="24">
        <f t="shared" si="46"/>
        <v>268000</v>
      </c>
      <c r="G42" s="24">
        <f t="shared" si="47"/>
        <v>268000</v>
      </c>
      <c r="H42" s="60">
        <f t="shared" si="48"/>
        <v>268000</v>
      </c>
      <c r="I42" s="24">
        <v>250000</v>
      </c>
      <c r="J42" s="24">
        <v>250000</v>
      </c>
      <c r="K42" s="24">
        <v>250000</v>
      </c>
      <c r="L42" s="24">
        <f t="shared" si="35"/>
        <v>18000</v>
      </c>
      <c r="M42" s="24">
        <f t="shared" si="36"/>
        <v>18000</v>
      </c>
      <c r="N42" s="24">
        <f t="shared" si="37"/>
        <v>18000</v>
      </c>
      <c r="O42" s="18">
        <v>4000</v>
      </c>
      <c r="P42" s="18">
        <v>4000</v>
      </c>
      <c r="Q42" s="18">
        <v>4000</v>
      </c>
      <c r="R42" s="18">
        <v>4000</v>
      </c>
      <c r="S42" s="18">
        <v>4000</v>
      </c>
      <c r="T42" s="18">
        <v>4000</v>
      </c>
      <c r="U42" s="18">
        <v>4000</v>
      </c>
      <c r="V42" s="18">
        <v>4000</v>
      </c>
      <c r="W42" s="18">
        <v>4000</v>
      </c>
      <c r="X42" s="18">
        <v>4000</v>
      </c>
      <c r="Y42" s="18">
        <v>4000</v>
      </c>
      <c r="Z42" s="18">
        <v>4000</v>
      </c>
      <c r="AA42" s="18">
        <v>2000</v>
      </c>
      <c r="AB42" s="18">
        <v>2000</v>
      </c>
      <c r="AC42" s="18">
        <v>2000</v>
      </c>
    </row>
    <row r="43" spans="1:29" s="39" customFormat="1" ht="16.5" customHeight="1" x14ac:dyDescent="0.25">
      <c r="A43" s="33"/>
      <c r="B43" s="34"/>
      <c r="C43" s="35"/>
      <c r="D43" s="35"/>
      <c r="E43" s="35"/>
      <c r="F43" s="24">
        <f t="shared" si="46"/>
        <v>268000</v>
      </c>
      <c r="G43" s="24">
        <f t="shared" si="47"/>
        <v>268000</v>
      </c>
      <c r="H43" s="60">
        <f t="shared" si="48"/>
        <v>268000</v>
      </c>
      <c r="I43" s="35">
        <f>I42</f>
        <v>250000</v>
      </c>
      <c r="J43" s="35">
        <f t="shared" ref="J43:K43" si="54">J42</f>
        <v>250000</v>
      </c>
      <c r="K43" s="35">
        <f t="shared" si="54"/>
        <v>250000</v>
      </c>
      <c r="L43" s="24">
        <f t="shared" si="35"/>
        <v>18000</v>
      </c>
      <c r="M43" s="24">
        <f t="shared" si="36"/>
        <v>18000</v>
      </c>
      <c r="N43" s="24">
        <f t="shared" si="37"/>
        <v>18000</v>
      </c>
      <c r="O43" s="36">
        <f>O42</f>
        <v>4000</v>
      </c>
      <c r="P43" s="36">
        <f t="shared" ref="P43:Q43" si="55">P42</f>
        <v>4000</v>
      </c>
      <c r="Q43" s="36">
        <f t="shared" si="55"/>
        <v>4000</v>
      </c>
      <c r="R43" s="36">
        <f t="shared" ref="R43" si="56">R42</f>
        <v>4000</v>
      </c>
      <c r="S43" s="36">
        <f t="shared" ref="S43" si="57">S42</f>
        <v>4000</v>
      </c>
      <c r="T43" s="36">
        <f t="shared" ref="T43" si="58">T42</f>
        <v>4000</v>
      </c>
      <c r="U43" s="36">
        <f t="shared" ref="U43" si="59">U42</f>
        <v>4000</v>
      </c>
      <c r="V43" s="36">
        <f t="shared" ref="V43" si="60">V42</f>
        <v>4000</v>
      </c>
      <c r="W43" s="36">
        <f t="shared" ref="W43" si="61">W42</f>
        <v>4000</v>
      </c>
      <c r="X43" s="36">
        <f t="shared" ref="X43" si="62">X42</f>
        <v>4000</v>
      </c>
      <c r="Y43" s="36">
        <f t="shared" ref="Y43" si="63">Y42</f>
        <v>4000</v>
      </c>
      <c r="Z43" s="36">
        <f t="shared" ref="Z43" si="64">Z42</f>
        <v>4000</v>
      </c>
      <c r="AA43" s="36">
        <f t="shared" ref="AA43" si="65">AA42</f>
        <v>2000</v>
      </c>
      <c r="AB43" s="36">
        <f t="shared" ref="AB43" si="66">AB42</f>
        <v>2000</v>
      </c>
      <c r="AC43" s="36">
        <f t="shared" ref="AC43" si="67">AC42</f>
        <v>2000</v>
      </c>
    </row>
    <row r="44" spans="1:29" ht="22.5" customHeight="1" x14ac:dyDescent="0.25">
      <c r="A44" s="20" t="s">
        <v>54</v>
      </c>
      <c r="B44" s="13" t="s">
        <v>55</v>
      </c>
      <c r="C44" s="24">
        <f t="shared" si="42"/>
        <v>0</v>
      </c>
      <c r="D44" s="24">
        <f t="shared" si="43"/>
        <v>0</v>
      </c>
      <c r="E44" s="24">
        <f t="shared" si="44"/>
        <v>0</v>
      </c>
      <c r="F44" s="24">
        <f t="shared" si="46"/>
        <v>0</v>
      </c>
      <c r="G44" s="24">
        <f t="shared" si="47"/>
        <v>0</v>
      </c>
      <c r="H44" s="60">
        <f t="shared" si="48"/>
        <v>0</v>
      </c>
      <c r="I44" s="24"/>
      <c r="J44" s="24"/>
      <c r="K44" s="24"/>
      <c r="L44" s="24">
        <f t="shared" si="35"/>
        <v>0</v>
      </c>
      <c r="M44" s="24">
        <f t="shared" si="36"/>
        <v>0</v>
      </c>
      <c r="N44" s="24">
        <f t="shared" si="37"/>
        <v>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22.5" customHeight="1" x14ac:dyDescent="0.25">
      <c r="A45" s="20" t="s">
        <v>56</v>
      </c>
      <c r="B45" s="13" t="s">
        <v>57</v>
      </c>
      <c r="C45" s="24">
        <f t="shared" si="42"/>
        <v>0</v>
      </c>
      <c r="D45" s="24">
        <f t="shared" si="43"/>
        <v>0</v>
      </c>
      <c r="E45" s="24">
        <f t="shared" si="44"/>
        <v>0</v>
      </c>
      <c r="F45" s="24">
        <f t="shared" si="46"/>
        <v>0</v>
      </c>
      <c r="G45" s="24">
        <f t="shared" si="47"/>
        <v>0</v>
      </c>
      <c r="H45" s="60">
        <f t="shared" si="48"/>
        <v>0</v>
      </c>
      <c r="I45" s="24"/>
      <c r="J45" s="24"/>
      <c r="K45" s="24"/>
      <c r="L45" s="24">
        <f t="shared" si="35"/>
        <v>0</v>
      </c>
      <c r="M45" s="24">
        <f t="shared" si="36"/>
        <v>0</v>
      </c>
      <c r="N45" s="24">
        <f t="shared" si="37"/>
        <v>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22.5" customHeight="1" x14ac:dyDescent="0.25">
      <c r="A46" s="20" t="s">
        <v>58</v>
      </c>
      <c r="B46" s="13" t="s">
        <v>59</v>
      </c>
      <c r="C46" s="24">
        <f>I46+O46+R46+U46+X46+AA46</f>
        <v>0</v>
      </c>
      <c r="D46" s="24">
        <f t="shared" si="43"/>
        <v>0</v>
      </c>
      <c r="E46" s="24">
        <f t="shared" si="44"/>
        <v>0</v>
      </c>
      <c r="F46" s="24">
        <f t="shared" si="46"/>
        <v>0</v>
      </c>
      <c r="G46" s="24">
        <f t="shared" si="47"/>
        <v>0</v>
      </c>
      <c r="H46" s="60">
        <f t="shared" si="48"/>
        <v>0</v>
      </c>
      <c r="I46" s="24"/>
      <c r="J46" s="24"/>
      <c r="K46" s="24"/>
      <c r="L46" s="24">
        <f t="shared" si="35"/>
        <v>0</v>
      </c>
      <c r="M46" s="24">
        <f t="shared" si="36"/>
        <v>0</v>
      </c>
      <c r="N46" s="24">
        <f t="shared" si="37"/>
        <v>0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ht="22.5" customHeight="1" x14ac:dyDescent="0.25">
      <c r="A47" s="20" t="s">
        <v>67</v>
      </c>
      <c r="B47" s="13" t="s">
        <v>68</v>
      </c>
      <c r="C47" s="24">
        <f t="shared" si="42"/>
        <v>0</v>
      </c>
      <c r="D47" s="24">
        <f t="shared" si="43"/>
        <v>1049161</v>
      </c>
      <c r="E47" s="24">
        <f t="shared" si="44"/>
        <v>2139768</v>
      </c>
      <c r="F47" s="24">
        <f t="shared" si="46"/>
        <v>0</v>
      </c>
      <c r="G47" s="24">
        <f t="shared" si="47"/>
        <v>1049161</v>
      </c>
      <c r="H47" s="60">
        <f t="shared" si="48"/>
        <v>2139768</v>
      </c>
      <c r="I47" s="24"/>
      <c r="J47" s="24">
        <v>830000</v>
      </c>
      <c r="K47" s="24">
        <v>1700000</v>
      </c>
      <c r="L47" s="24">
        <f t="shared" si="35"/>
        <v>0</v>
      </c>
      <c r="M47" s="24">
        <f t="shared" si="36"/>
        <v>219161</v>
      </c>
      <c r="N47" s="24">
        <f t="shared" si="37"/>
        <v>439768</v>
      </c>
      <c r="O47" s="18"/>
      <c r="P47" s="18">
        <v>40000</v>
      </c>
      <c r="Q47" s="18">
        <v>80000</v>
      </c>
      <c r="R47" s="18"/>
      <c r="S47" s="18">
        <v>41161</v>
      </c>
      <c r="T47" s="18">
        <v>79768</v>
      </c>
      <c r="U47" s="18"/>
      <c r="V47" s="18">
        <v>62000</v>
      </c>
      <c r="W47" s="18">
        <v>122000</v>
      </c>
      <c r="X47" s="18"/>
      <c r="Y47" s="18">
        <v>38000</v>
      </c>
      <c r="Z47" s="18">
        <v>81000</v>
      </c>
      <c r="AA47" s="18"/>
      <c r="AB47" s="18">
        <v>38000</v>
      </c>
      <c r="AC47" s="18">
        <v>77000</v>
      </c>
    </row>
    <row r="48" spans="1:29" ht="20.25" customHeight="1" x14ac:dyDescent="0.25">
      <c r="A48" s="94" t="s">
        <v>60</v>
      </c>
      <c r="B48" s="94"/>
      <c r="C48" s="17">
        <f t="shared" ref="C48:E48" si="68">SUM(C25:C47)</f>
        <v>60106518.079999998</v>
      </c>
      <c r="D48" s="17">
        <f t="shared" si="68"/>
        <v>72668523</v>
      </c>
      <c r="E48" s="17">
        <f t="shared" si="68"/>
        <v>64020323</v>
      </c>
      <c r="F48" s="17">
        <f t="shared" ref="F48:K48" si="69">F25+F27+F29+F30+F33+F36+F37+F38+F40+F41+F42+F44+F45+F46+F47</f>
        <v>60106518.079999998</v>
      </c>
      <c r="G48" s="17">
        <f t="shared" si="69"/>
        <v>72668523</v>
      </c>
      <c r="H48" s="17">
        <f t="shared" si="69"/>
        <v>64020323</v>
      </c>
      <c r="I48" s="17">
        <f>I25+I27+I29+I30+I33+I38+I41+I42+I47</f>
        <v>40671167.079999998</v>
      </c>
      <c r="J48" s="17">
        <f t="shared" si="69"/>
        <v>54840972</v>
      </c>
      <c r="K48" s="17">
        <f t="shared" si="69"/>
        <v>46071672</v>
      </c>
      <c r="L48" s="24">
        <f t="shared" si="35"/>
        <v>19435351</v>
      </c>
      <c r="M48" s="24">
        <f t="shared" si="36"/>
        <v>17827551</v>
      </c>
      <c r="N48" s="24">
        <f t="shared" si="37"/>
        <v>17948651</v>
      </c>
      <c r="O48" s="17">
        <f t="shared" ref="O48:AC48" si="70">O25+O27+O29+O30+O33+O36+O37+O38+O40+O41+O42+O44+O45+O46+O47</f>
        <v>2925973</v>
      </c>
      <c r="P48" s="17">
        <f t="shared" si="70"/>
        <v>2774434</v>
      </c>
      <c r="Q48" s="17">
        <f t="shared" si="70"/>
        <v>2774675</v>
      </c>
      <c r="R48" s="17">
        <f t="shared" si="70"/>
        <v>4294124</v>
      </c>
      <c r="S48" s="17">
        <f t="shared" si="70"/>
        <v>3973807</v>
      </c>
      <c r="T48" s="17">
        <f t="shared" si="70"/>
        <v>3955575</v>
      </c>
      <c r="U48" s="17">
        <f t="shared" si="70"/>
        <v>4843249</v>
      </c>
      <c r="V48" s="17">
        <f t="shared" si="70"/>
        <v>4410332</v>
      </c>
      <c r="W48" s="17">
        <f t="shared" si="70"/>
        <v>4409562</v>
      </c>
      <c r="X48" s="17">
        <f t="shared" si="70"/>
        <v>3470868</v>
      </c>
      <c r="Y48" s="17">
        <f t="shared" si="70"/>
        <v>2965257</v>
      </c>
      <c r="Z48" s="17">
        <f t="shared" si="70"/>
        <v>3048660</v>
      </c>
      <c r="AA48" s="17">
        <f t="shared" si="70"/>
        <v>3901137</v>
      </c>
      <c r="AB48" s="17">
        <f t="shared" si="70"/>
        <v>3703721</v>
      </c>
      <c r="AC48" s="17">
        <f t="shared" si="70"/>
        <v>3760179</v>
      </c>
    </row>
    <row r="49" spans="1:29" s="39" customFormat="1" ht="20.25" customHeight="1" x14ac:dyDescent="0.25">
      <c r="A49" s="40"/>
      <c r="B49" s="40" t="s">
        <v>74</v>
      </c>
      <c r="C49" s="41">
        <f t="shared" ref="C49:E49" si="71">C26+C28+C39+C43</f>
        <v>0</v>
      </c>
      <c r="D49" s="41">
        <f t="shared" si="71"/>
        <v>0</v>
      </c>
      <c r="E49" s="41">
        <f t="shared" si="71"/>
        <v>0</v>
      </c>
      <c r="F49" s="41">
        <f t="shared" ref="F49:H49" si="72">F26+F28+F39+F43</f>
        <v>5895000</v>
      </c>
      <c r="G49" s="41">
        <f t="shared" si="72"/>
        <v>5895000</v>
      </c>
      <c r="H49" s="41">
        <f t="shared" si="72"/>
        <v>5895000</v>
      </c>
      <c r="I49" s="41">
        <f>I26+I28+I39+I43</f>
        <v>5858500</v>
      </c>
      <c r="J49" s="41">
        <f t="shared" ref="J49:Q49" si="73">J26+J28+J39+J43</f>
        <v>5858500</v>
      </c>
      <c r="K49" s="41">
        <f t="shared" si="73"/>
        <v>5858500</v>
      </c>
      <c r="L49" s="24">
        <f t="shared" si="35"/>
        <v>36500</v>
      </c>
      <c r="M49" s="24">
        <f t="shared" si="36"/>
        <v>36500</v>
      </c>
      <c r="N49" s="24">
        <f t="shared" si="37"/>
        <v>36500</v>
      </c>
      <c r="O49" s="41">
        <f t="shared" si="73"/>
        <v>8100</v>
      </c>
      <c r="P49" s="41">
        <f t="shared" si="73"/>
        <v>8100</v>
      </c>
      <c r="Q49" s="41">
        <f t="shared" si="73"/>
        <v>8100</v>
      </c>
      <c r="R49" s="41">
        <f>R26+R28+R39+R43</f>
        <v>8100</v>
      </c>
      <c r="S49" s="41">
        <f t="shared" ref="S49:AC49" si="74">S26+S28+S39+S43</f>
        <v>8100</v>
      </c>
      <c r="T49" s="41">
        <f t="shared" si="74"/>
        <v>8100</v>
      </c>
      <c r="U49" s="41">
        <f t="shared" si="74"/>
        <v>8100</v>
      </c>
      <c r="V49" s="41">
        <f t="shared" si="74"/>
        <v>8100</v>
      </c>
      <c r="W49" s="41">
        <f t="shared" si="74"/>
        <v>8100</v>
      </c>
      <c r="X49" s="41">
        <f t="shared" si="74"/>
        <v>7100</v>
      </c>
      <c r="Y49" s="41">
        <f t="shared" si="74"/>
        <v>7100</v>
      </c>
      <c r="Z49" s="41">
        <f t="shared" si="74"/>
        <v>7100</v>
      </c>
      <c r="AA49" s="41">
        <f t="shared" si="74"/>
        <v>5100</v>
      </c>
      <c r="AB49" s="41">
        <f t="shared" si="74"/>
        <v>5100</v>
      </c>
      <c r="AC49" s="41">
        <f t="shared" si="74"/>
        <v>5100</v>
      </c>
    </row>
    <row r="50" spans="1:29" ht="25.5" customHeight="1" x14ac:dyDescent="0.25">
      <c r="A50" s="95" t="s">
        <v>61</v>
      </c>
      <c r="B50" s="95"/>
      <c r="C50" s="15">
        <f t="shared" ref="C50:N50" si="75">C23-C48</f>
        <v>0</v>
      </c>
      <c r="D50" s="15">
        <f t="shared" si="75"/>
        <v>0</v>
      </c>
      <c r="E50" s="15">
        <f t="shared" si="75"/>
        <v>0</v>
      </c>
      <c r="F50" s="15">
        <f t="shared" ref="F50:H50" si="76">F23-F48</f>
        <v>0</v>
      </c>
      <c r="G50" s="15">
        <f t="shared" si="76"/>
        <v>0</v>
      </c>
      <c r="H50" s="15">
        <f t="shared" si="76"/>
        <v>0</v>
      </c>
      <c r="I50" s="15">
        <f t="shared" si="75"/>
        <v>0</v>
      </c>
      <c r="J50" s="15">
        <f t="shared" si="75"/>
        <v>0</v>
      </c>
      <c r="K50" s="15">
        <f t="shared" si="75"/>
        <v>0</v>
      </c>
      <c r="L50" s="15">
        <f t="shared" si="75"/>
        <v>0</v>
      </c>
      <c r="M50" s="15">
        <f t="shared" si="75"/>
        <v>0</v>
      </c>
      <c r="N50" s="15">
        <f t="shared" si="75"/>
        <v>0</v>
      </c>
      <c r="O50" s="15">
        <f t="shared" ref="O50:AC50" si="77">O23-O48</f>
        <v>0</v>
      </c>
      <c r="P50" s="15">
        <f t="shared" si="77"/>
        <v>0</v>
      </c>
      <c r="Q50" s="15">
        <f t="shared" si="77"/>
        <v>0</v>
      </c>
      <c r="R50" s="15">
        <f t="shared" si="77"/>
        <v>0</v>
      </c>
      <c r="S50" s="15">
        <f t="shared" si="77"/>
        <v>0</v>
      </c>
      <c r="T50" s="15">
        <f t="shared" si="77"/>
        <v>0</v>
      </c>
      <c r="U50" s="15">
        <f t="shared" si="77"/>
        <v>0</v>
      </c>
      <c r="V50" s="15">
        <f t="shared" si="77"/>
        <v>0</v>
      </c>
      <c r="W50" s="15">
        <f t="shared" si="77"/>
        <v>0</v>
      </c>
      <c r="X50" s="15">
        <f t="shared" si="77"/>
        <v>0</v>
      </c>
      <c r="Y50" s="15">
        <f t="shared" si="77"/>
        <v>0</v>
      </c>
      <c r="Z50" s="15">
        <f t="shared" si="77"/>
        <v>0</v>
      </c>
      <c r="AA50" s="15">
        <f t="shared" si="77"/>
        <v>0</v>
      </c>
      <c r="AB50" s="15">
        <f t="shared" si="77"/>
        <v>0</v>
      </c>
      <c r="AC50" s="15">
        <f t="shared" si="77"/>
        <v>0</v>
      </c>
    </row>
    <row r="51" spans="1:29" ht="19.5" customHeight="1" x14ac:dyDescent="0.25">
      <c r="A51" s="67"/>
      <c r="B51" s="67" t="s">
        <v>97</v>
      </c>
      <c r="C51" s="68"/>
      <c r="D51" s="68"/>
      <c r="E51" s="68"/>
      <c r="F51" s="68">
        <f>I51+L51</f>
        <v>8989551</v>
      </c>
      <c r="G51" s="68">
        <f t="shared" ref="G51:H51" si="78">J51+M51</f>
        <v>9204451</v>
      </c>
      <c r="H51" s="68">
        <f t="shared" si="78"/>
        <v>9226751</v>
      </c>
      <c r="I51" s="68">
        <f>I28</f>
        <v>0</v>
      </c>
      <c r="J51" s="68">
        <f t="shared" ref="J51:K51" si="79">J28</f>
        <v>0</v>
      </c>
      <c r="K51" s="68">
        <f t="shared" si="79"/>
        <v>0</v>
      </c>
      <c r="L51" s="68">
        <f t="shared" ref="L51:N51" si="80">L28+L31+L34</f>
        <v>8989551</v>
      </c>
      <c r="M51" s="68">
        <f t="shared" si="80"/>
        <v>9204451</v>
      </c>
      <c r="N51" s="68">
        <f t="shared" si="80"/>
        <v>9226751</v>
      </c>
      <c r="O51" s="68">
        <f>O28+O31+O34</f>
        <v>1153645</v>
      </c>
      <c r="P51" s="68">
        <f t="shared" ref="P51:W51" si="81">P28+P31+P34</f>
        <v>1177567</v>
      </c>
      <c r="Q51" s="68">
        <f t="shared" si="81"/>
        <v>1184333</v>
      </c>
      <c r="R51" s="68">
        <f t="shared" si="81"/>
        <v>2304626</v>
      </c>
      <c r="S51" s="68">
        <f t="shared" si="81"/>
        <v>2351156</v>
      </c>
      <c r="T51" s="68">
        <f t="shared" si="81"/>
        <v>2364317</v>
      </c>
      <c r="U51" s="68">
        <f t="shared" si="81"/>
        <v>1921048</v>
      </c>
      <c r="V51" s="68">
        <f t="shared" si="81"/>
        <v>1990636</v>
      </c>
      <c r="W51" s="68">
        <f t="shared" si="81"/>
        <v>1971834</v>
      </c>
      <c r="X51" s="68">
        <f>X28+X31+X34</f>
        <v>1443188</v>
      </c>
      <c r="Y51" s="68">
        <f t="shared" ref="Y51:AC51" si="82">Y28+Y31+Y34</f>
        <v>1473113</v>
      </c>
      <c r="Z51" s="68">
        <f t="shared" si="82"/>
        <v>1481578</v>
      </c>
      <c r="AA51" s="68">
        <f t="shared" si="82"/>
        <v>2167044</v>
      </c>
      <c r="AB51" s="68">
        <f t="shared" si="82"/>
        <v>2211979</v>
      </c>
      <c r="AC51" s="68">
        <f t="shared" si="82"/>
        <v>2224689</v>
      </c>
    </row>
    <row r="52" spans="1:29" ht="19.5" customHeight="1" x14ac:dyDescent="0.25">
      <c r="A52" s="67"/>
      <c r="B52" s="67" t="s">
        <v>98</v>
      </c>
      <c r="C52" s="68"/>
      <c r="D52" s="68"/>
      <c r="E52" s="68"/>
      <c r="F52" s="68">
        <f>I52+L52</f>
        <v>5895000</v>
      </c>
      <c r="G52" s="68">
        <f t="shared" ref="G52" si="83">J52+M52</f>
        <v>5895000</v>
      </c>
      <c r="H52" s="68">
        <f t="shared" ref="H52" si="84">K52+N52</f>
        <v>5895000</v>
      </c>
      <c r="I52" s="68">
        <f>I26+I28+I39+I43</f>
        <v>5858500</v>
      </c>
      <c r="J52" s="68">
        <f t="shared" ref="J52:K52" si="85">J26+J28+J39+J43</f>
        <v>5858500</v>
      </c>
      <c r="K52" s="68">
        <f t="shared" si="85"/>
        <v>5858500</v>
      </c>
      <c r="L52" s="68">
        <f t="shared" ref="L52:N52" si="86">L26+L43</f>
        <v>36500</v>
      </c>
      <c r="M52" s="68">
        <f t="shared" si="86"/>
        <v>36500</v>
      </c>
      <c r="N52" s="68">
        <f t="shared" si="86"/>
        <v>36500</v>
      </c>
      <c r="O52" s="68">
        <f>O26+O43</f>
        <v>8100</v>
      </c>
      <c r="P52" s="68">
        <f t="shared" ref="P52:W52" si="87">P26+P43</f>
        <v>8100</v>
      </c>
      <c r="Q52" s="68">
        <f t="shared" si="87"/>
        <v>8100</v>
      </c>
      <c r="R52" s="68">
        <f t="shared" si="87"/>
        <v>8100</v>
      </c>
      <c r="S52" s="68">
        <f t="shared" si="87"/>
        <v>8100</v>
      </c>
      <c r="T52" s="68">
        <f t="shared" si="87"/>
        <v>8100</v>
      </c>
      <c r="U52" s="68">
        <f t="shared" si="87"/>
        <v>8100</v>
      </c>
      <c r="V52" s="68">
        <f t="shared" si="87"/>
        <v>8100</v>
      </c>
      <c r="W52" s="68">
        <f t="shared" si="87"/>
        <v>8100</v>
      </c>
      <c r="X52" s="68">
        <f>X26+X43</f>
        <v>7100</v>
      </c>
      <c r="Y52" s="68">
        <f t="shared" ref="Y52:AC52" si="88">Y26+Y43</f>
        <v>7100</v>
      </c>
      <c r="Z52" s="68">
        <f t="shared" si="88"/>
        <v>7100</v>
      </c>
      <c r="AA52" s="68">
        <f t="shared" si="88"/>
        <v>5100</v>
      </c>
      <c r="AB52" s="68">
        <f t="shared" si="88"/>
        <v>5100</v>
      </c>
      <c r="AC52" s="68">
        <f t="shared" si="88"/>
        <v>5100</v>
      </c>
    </row>
    <row r="53" spans="1:29" x14ac:dyDescent="0.25">
      <c r="G53" s="43"/>
      <c r="H53" s="43"/>
      <c r="J53" s="43">
        <f>J47/(J48-J54)*100</f>
        <v>2.5762476177469318</v>
      </c>
      <c r="K53" s="43">
        <f>K47/(K48-K54)*100</f>
        <v>5.113074130551821</v>
      </c>
      <c r="L53" s="43"/>
      <c r="M53" s="43"/>
      <c r="N53" s="43"/>
      <c r="P53" s="43">
        <f>P47/(P48-P54)*100</f>
        <v>2.706603503562905</v>
      </c>
      <c r="Q53" s="43">
        <f>Q47/(Q48-Q54)*100</f>
        <v>5.422471535413484</v>
      </c>
      <c r="S53" s="43">
        <f>S47/(S48-S54)*100</f>
        <v>2.6681990936381594</v>
      </c>
      <c r="T53" s="43">
        <f>T47/(T48-T54)*100</f>
        <v>5.0929029572394837</v>
      </c>
      <c r="V53" s="43">
        <f>V47/(V48-V54)*100</f>
        <v>2.7882762875990066</v>
      </c>
      <c r="W53" s="43">
        <f>W47/(W48-W54)*100</f>
        <v>5.4245656345763598</v>
      </c>
      <c r="Y53" s="43">
        <f>Y47/(Y48-Y54)*100</f>
        <v>2.6224620778181116</v>
      </c>
      <c r="Z53" s="43">
        <f>Z47/(Z48-Z54)*100</f>
        <v>5.3107092747275804</v>
      </c>
      <c r="AB53" s="43">
        <f>AB47/(AB48-AB54)*100</f>
        <v>2.6917099583351631</v>
      </c>
      <c r="AC53" s="43">
        <f>AC47/(AC48-AC54)*100</f>
        <v>5.2903146019553553</v>
      </c>
    </row>
    <row r="54" spans="1:29" x14ac:dyDescent="0.25">
      <c r="B54" s="1" t="s">
        <v>81</v>
      </c>
      <c r="G54" s="65"/>
      <c r="H54" s="65"/>
      <c r="I54" s="16">
        <v>57921297.039999999</v>
      </c>
      <c r="J54" s="65">
        <f>J21</f>
        <v>22623572</v>
      </c>
      <c r="K54" s="65">
        <f>K21</f>
        <v>12823572</v>
      </c>
      <c r="P54" s="42">
        <f>SUM(P55:P58)</f>
        <v>1296567</v>
      </c>
      <c r="Q54" s="42">
        <f t="shared" ref="Q54:AC54" si="89">SUM(Q55:Q58)</f>
        <v>1299333</v>
      </c>
      <c r="R54" s="42">
        <f t="shared" si="89"/>
        <v>2402676</v>
      </c>
      <c r="S54" s="42">
        <f t="shared" si="89"/>
        <v>2431156</v>
      </c>
      <c r="T54" s="42">
        <f t="shared" si="89"/>
        <v>2389317</v>
      </c>
      <c r="U54" s="42">
        <f t="shared" si="89"/>
        <v>2029148</v>
      </c>
      <c r="V54" s="42">
        <f t="shared" si="89"/>
        <v>2186736</v>
      </c>
      <c r="W54" s="42">
        <f t="shared" si="89"/>
        <v>2160534</v>
      </c>
      <c r="X54" s="42">
        <f t="shared" si="89"/>
        <v>1554241.28</v>
      </c>
      <c r="Y54" s="42">
        <f t="shared" si="89"/>
        <v>1516237</v>
      </c>
      <c r="Z54" s="42">
        <f t="shared" si="89"/>
        <v>1523440</v>
      </c>
      <c r="AA54" s="42">
        <f t="shared" si="89"/>
        <v>2245144</v>
      </c>
      <c r="AB54" s="42">
        <f t="shared" si="89"/>
        <v>2291979</v>
      </c>
      <c r="AC54" s="42">
        <f t="shared" si="89"/>
        <v>2304689</v>
      </c>
    </row>
    <row r="55" spans="1:29" x14ac:dyDescent="0.25">
      <c r="B55" s="1" t="s">
        <v>82</v>
      </c>
      <c r="P55" s="30">
        <f>P27</f>
        <v>0</v>
      </c>
      <c r="Q55" s="30">
        <f t="shared" ref="Q55:AC55" si="90">Q27</f>
        <v>0</v>
      </c>
      <c r="R55" s="30">
        <f t="shared" si="90"/>
        <v>0</v>
      </c>
      <c r="S55" s="30">
        <f t="shared" si="90"/>
        <v>0</v>
      </c>
      <c r="T55" s="30">
        <f t="shared" si="90"/>
        <v>0</v>
      </c>
      <c r="U55" s="30">
        <f t="shared" si="90"/>
        <v>0</v>
      </c>
      <c r="V55" s="30">
        <f t="shared" si="90"/>
        <v>0</v>
      </c>
      <c r="W55" s="30">
        <f t="shared" si="90"/>
        <v>0</v>
      </c>
      <c r="X55" s="30">
        <f t="shared" si="90"/>
        <v>0</v>
      </c>
      <c r="Y55" s="30">
        <f t="shared" si="90"/>
        <v>0</v>
      </c>
      <c r="Z55" s="30">
        <f t="shared" si="90"/>
        <v>0</v>
      </c>
      <c r="AA55" s="30">
        <f t="shared" si="90"/>
        <v>0</v>
      </c>
      <c r="AB55" s="30">
        <f t="shared" si="90"/>
        <v>0</v>
      </c>
      <c r="AC55" s="30">
        <f t="shared" si="90"/>
        <v>0</v>
      </c>
    </row>
    <row r="56" spans="1:29" x14ac:dyDescent="0.25">
      <c r="B56" s="1" t="s">
        <v>83</v>
      </c>
      <c r="I56" s="30"/>
      <c r="P56" s="30">
        <f>P31</f>
        <v>1177567</v>
      </c>
      <c r="Q56" s="30">
        <f t="shared" ref="Q56:AC56" si="91">Q31</f>
        <v>1184333</v>
      </c>
      <c r="R56" s="30">
        <f t="shared" si="91"/>
        <v>2243953</v>
      </c>
      <c r="S56" s="30">
        <f t="shared" si="91"/>
        <v>2290483</v>
      </c>
      <c r="T56" s="30">
        <f t="shared" si="91"/>
        <v>2303644</v>
      </c>
      <c r="U56" s="30">
        <f t="shared" si="91"/>
        <v>1909170</v>
      </c>
      <c r="V56" s="30">
        <f t="shared" si="91"/>
        <v>1978758</v>
      </c>
      <c r="W56" s="30">
        <f t="shared" si="91"/>
        <v>1959956</v>
      </c>
      <c r="X56" s="30">
        <f t="shared" si="91"/>
        <v>1443188</v>
      </c>
      <c r="Y56" s="30">
        <f t="shared" si="91"/>
        <v>1473113</v>
      </c>
      <c r="Z56" s="30">
        <f t="shared" si="91"/>
        <v>1481578</v>
      </c>
      <c r="AA56" s="30">
        <f t="shared" si="91"/>
        <v>2167044</v>
      </c>
      <c r="AB56" s="30">
        <f t="shared" si="91"/>
        <v>2211979</v>
      </c>
      <c r="AC56" s="30">
        <f t="shared" si="91"/>
        <v>2224689</v>
      </c>
    </row>
    <row r="57" spans="1:29" x14ac:dyDescent="0.25">
      <c r="B57" s="1" t="s">
        <v>84</v>
      </c>
      <c r="P57" s="30">
        <f>P33</f>
        <v>119000</v>
      </c>
      <c r="Q57" s="30">
        <f t="shared" ref="Q57:AC57" si="92">Q33</f>
        <v>115000</v>
      </c>
      <c r="R57" s="30">
        <f t="shared" si="92"/>
        <v>158723</v>
      </c>
      <c r="S57" s="30">
        <f t="shared" si="92"/>
        <v>140673</v>
      </c>
      <c r="T57" s="30">
        <f t="shared" si="92"/>
        <v>85673</v>
      </c>
      <c r="U57" s="30">
        <f t="shared" si="92"/>
        <v>119978</v>
      </c>
      <c r="V57" s="30">
        <f t="shared" si="92"/>
        <v>207978</v>
      </c>
      <c r="W57" s="30">
        <f t="shared" si="92"/>
        <v>200578</v>
      </c>
      <c r="X57" s="30">
        <f t="shared" si="92"/>
        <v>111053.28</v>
      </c>
      <c r="Y57" s="30">
        <f t="shared" si="92"/>
        <v>43124</v>
      </c>
      <c r="Z57" s="30">
        <f t="shared" si="92"/>
        <v>41862</v>
      </c>
      <c r="AA57" s="30">
        <f t="shared" si="92"/>
        <v>78100</v>
      </c>
      <c r="AB57" s="30">
        <f t="shared" si="92"/>
        <v>80000</v>
      </c>
      <c r="AC57" s="30">
        <f t="shared" si="92"/>
        <v>80000</v>
      </c>
    </row>
    <row r="58" spans="1:29" x14ac:dyDescent="0.25">
      <c r="B58" s="1" t="s">
        <v>85</v>
      </c>
    </row>
    <row r="60" spans="1:29" x14ac:dyDescent="0.25">
      <c r="O60" s="63">
        <f>O26+O28+O31+O32+O34+O35+O43</f>
        <v>1161745</v>
      </c>
      <c r="P60" s="63">
        <f>P26+P28+P31+P32+P34+P35+P43</f>
        <v>1185667</v>
      </c>
      <c r="Q60" s="63">
        <f>Q26+Q28+Q31+Q32+Q34+Q35+Q43</f>
        <v>1192433</v>
      </c>
    </row>
    <row r="61" spans="1:29" x14ac:dyDescent="0.25">
      <c r="F61" s="63"/>
      <c r="G61" s="63"/>
      <c r="H61" s="63"/>
    </row>
    <row r="62" spans="1:29" x14ac:dyDescent="0.25">
      <c r="F62" s="30"/>
      <c r="G62" s="30"/>
      <c r="H62" s="30"/>
    </row>
  </sheetData>
  <mergeCells count="13">
    <mergeCell ref="X5:Z5"/>
    <mergeCell ref="AA5:AC5"/>
    <mergeCell ref="A23:B23"/>
    <mergeCell ref="A48:B48"/>
    <mergeCell ref="A50:B50"/>
    <mergeCell ref="R5:T5"/>
    <mergeCell ref="U5:W5"/>
    <mergeCell ref="A1:Q3"/>
    <mergeCell ref="A5:A6"/>
    <mergeCell ref="B5:B6"/>
    <mergeCell ref="C5:E5"/>
    <mergeCell ref="O5:Q5"/>
    <mergeCell ref="I5:K5"/>
  </mergeCells>
  <pageMargins left="0" right="0" top="0.15748031496062992" bottom="0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24" sqref="D24"/>
    </sheetView>
  </sheetViews>
  <sheetFormatPr defaultRowHeight="15" x14ac:dyDescent="0.25"/>
  <cols>
    <col min="1" max="1" width="17.5703125" customWidth="1"/>
    <col min="2" max="4" width="15.85546875" customWidth="1"/>
  </cols>
  <sheetData>
    <row r="1" spans="1:10" x14ac:dyDescent="0.25">
      <c r="A1" s="50"/>
      <c r="B1" s="51">
        <v>2023</v>
      </c>
      <c r="C1" s="51">
        <v>2024</v>
      </c>
      <c r="D1" s="51">
        <v>2025</v>
      </c>
    </row>
    <row r="2" spans="1:10" x14ac:dyDescent="0.25">
      <c r="A2" s="50"/>
      <c r="B2" s="52"/>
      <c r="C2" s="52"/>
      <c r="D2" s="52"/>
      <c r="E2" s="47"/>
      <c r="F2" s="47"/>
      <c r="G2" s="47"/>
      <c r="H2" s="47"/>
      <c r="I2" s="47"/>
      <c r="J2" s="47"/>
    </row>
    <row r="3" spans="1:10" x14ac:dyDescent="0.25">
      <c r="A3" s="50"/>
      <c r="B3" s="52"/>
      <c r="C3" s="52"/>
      <c r="D3" s="52"/>
      <c r="E3" s="47"/>
      <c r="F3" s="47"/>
      <c r="G3" s="47"/>
      <c r="H3" s="47"/>
      <c r="I3" s="47"/>
      <c r="J3" s="47"/>
    </row>
    <row r="4" spans="1:10" s="48" customFormat="1" x14ac:dyDescent="0.25">
      <c r="A4" s="53" t="s">
        <v>87</v>
      </c>
      <c r="B4" s="54">
        <f>B5+B6</f>
        <v>129211900</v>
      </c>
      <c r="C4" s="54">
        <f t="shared" ref="C4:D4" si="0">C5+C6</f>
        <v>136677500</v>
      </c>
      <c r="D4" s="54">
        <f t="shared" si="0"/>
        <v>138434000</v>
      </c>
      <c r="E4" s="49"/>
      <c r="F4" s="49"/>
      <c r="G4" s="49"/>
      <c r="H4" s="49"/>
      <c r="I4" s="49"/>
      <c r="J4" s="49"/>
    </row>
    <row r="5" spans="1:10" x14ac:dyDescent="0.25">
      <c r="A5" s="50" t="s">
        <v>99</v>
      </c>
      <c r="B5" s="52">
        <v>32574500</v>
      </c>
      <c r="C5" s="52">
        <v>33265700</v>
      </c>
      <c r="D5" s="52">
        <v>34154700</v>
      </c>
      <c r="E5" s="47"/>
      <c r="F5" s="47"/>
      <c r="G5" s="47"/>
      <c r="H5" s="47"/>
      <c r="I5" s="47"/>
      <c r="J5" s="47"/>
    </row>
    <row r="6" spans="1:10" x14ac:dyDescent="0.25">
      <c r="A6" s="50" t="s">
        <v>89</v>
      </c>
      <c r="B6" s="52">
        <f>Осн.характеристики!E7</f>
        <v>96637400</v>
      </c>
      <c r="C6" s="52">
        <f>Осн.характеристики!F7</f>
        <v>103411800</v>
      </c>
      <c r="D6" s="52">
        <f>Осн.характеристики!G7</f>
        <v>104279300</v>
      </c>
      <c r="E6" s="47"/>
      <c r="F6" s="47"/>
      <c r="G6" s="47"/>
      <c r="H6" s="47"/>
      <c r="I6" s="47"/>
      <c r="J6" s="47"/>
    </row>
    <row r="7" spans="1:10" x14ac:dyDescent="0.25">
      <c r="A7" s="50"/>
      <c r="B7" s="52"/>
      <c r="C7" s="52"/>
      <c r="D7" s="52"/>
      <c r="E7" s="47"/>
      <c r="F7" s="47"/>
      <c r="G7" s="47"/>
      <c r="H7" s="47"/>
      <c r="I7" s="47"/>
      <c r="J7" s="47"/>
    </row>
    <row r="8" spans="1:10" s="48" customFormat="1" x14ac:dyDescent="0.25">
      <c r="A8" s="53" t="s">
        <v>90</v>
      </c>
      <c r="B8" s="54">
        <v>73307640</v>
      </c>
      <c r="C8" s="54">
        <v>36153000</v>
      </c>
      <c r="D8" s="54">
        <v>39949000</v>
      </c>
      <c r="E8" s="49"/>
      <c r="F8" s="49"/>
      <c r="G8" s="49"/>
      <c r="H8" s="49"/>
      <c r="I8" s="49"/>
      <c r="J8" s="49"/>
    </row>
    <row r="9" spans="1:10" s="48" customFormat="1" x14ac:dyDescent="0.25">
      <c r="A9" s="53" t="s">
        <v>91</v>
      </c>
      <c r="B9" s="54">
        <f>B10+B11+B12</f>
        <v>69864683.350000009</v>
      </c>
      <c r="C9" s="54">
        <f t="shared" ref="C9:D9" si="1">C10+C11+C12</f>
        <v>47874125.569999993</v>
      </c>
      <c r="D9" s="54">
        <f t="shared" si="1"/>
        <v>24231532.800000001</v>
      </c>
      <c r="E9" s="49"/>
      <c r="F9" s="49"/>
      <c r="G9" s="49"/>
      <c r="H9" s="49"/>
      <c r="I9" s="49"/>
      <c r="J9" s="49"/>
    </row>
    <row r="10" spans="1:10" x14ac:dyDescent="0.25">
      <c r="A10" s="50" t="s">
        <v>88</v>
      </c>
      <c r="B10" s="52">
        <v>1949080.78</v>
      </c>
      <c r="C10" s="52"/>
      <c r="D10" s="52"/>
      <c r="E10" s="47"/>
      <c r="F10" s="47"/>
      <c r="G10" s="47"/>
      <c r="H10" s="47"/>
      <c r="I10" s="47"/>
      <c r="J10" s="47"/>
    </row>
    <row r="11" spans="1:10" x14ac:dyDescent="0.25">
      <c r="A11" s="50" t="s">
        <v>100</v>
      </c>
      <c r="B11" s="52">
        <v>48305830.560000002</v>
      </c>
      <c r="C11" s="52">
        <v>9889711.1999999993</v>
      </c>
      <c r="D11" s="52">
        <v>12823372</v>
      </c>
      <c r="E11" s="47"/>
      <c r="F11" s="47"/>
      <c r="G11" s="47"/>
      <c r="H11" s="47"/>
      <c r="I11" s="47"/>
      <c r="J11" s="47"/>
    </row>
    <row r="12" spans="1:10" x14ac:dyDescent="0.25">
      <c r="A12" s="50" t="s">
        <v>89</v>
      </c>
      <c r="B12" s="52">
        <v>19609772.010000002</v>
      </c>
      <c r="C12" s="52">
        <v>37984414.369999997</v>
      </c>
      <c r="D12" s="52">
        <v>11408160.800000001</v>
      </c>
      <c r="E12" s="47"/>
      <c r="F12" s="47"/>
      <c r="G12" s="47"/>
      <c r="H12" s="47"/>
      <c r="I12" s="47"/>
      <c r="J12" s="47"/>
    </row>
    <row r="13" spans="1:10" s="48" customFormat="1" x14ac:dyDescent="0.25">
      <c r="A13" s="53" t="s">
        <v>92</v>
      </c>
      <c r="B13" s="54">
        <v>142679824.55000001</v>
      </c>
      <c r="C13" s="54">
        <v>146945312.55000001</v>
      </c>
      <c r="D13" s="54">
        <v>148410890.55000001</v>
      </c>
      <c r="E13" s="49"/>
      <c r="F13" s="49"/>
      <c r="G13" s="49"/>
      <c r="H13" s="49"/>
      <c r="I13" s="49"/>
      <c r="J13" s="49"/>
    </row>
    <row r="14" spans="1:10" x14ac:dyDescent="0.25">
      <c r="A14" s="53" t="s">
        <v>93</v>
      </c>
      <c r="B14" s="54">
        <v>8870908.7899999991</v>
      </c>
      <c r="C14" s="54">
        <v>8387142.8799999999</v>
      </c>
      <c r="D14" s="54">
        <v>8387142.8799999999</v>
      </c>
      <c r="E14" s="47"/>
      <c r="F14" s="47"/>
      <c r="G14" s="47"/>
      <c r="H14" s="47"/>
      <c r="I14" s="47"/>
      <c r="J14" s="47"/>
    </row>
    <row r="15" spans="1:10" x14ac:dyDescent="0.25">
      <c r="A15" s="50"/>
      <c r="B15" s="52"/>
      <c r="C15" s="52"/>
      <c r="D15" s="52"/>
      <c r="E15" s="47"/>
      <c r="F15" s="47"/>
      <c r="G15" s="47"/>
      <c r="H15" s="47"/>
      <c r="I15" s="47"/>
      <c r="J15" s="47"/>
    </row>
    <row r="16" spans="1:10" ht="18.75" customHeight="1" x14ac:dyDescent="0.25">
      <c r="A16" s="53" t="s">
        <v>94</v>
      </c>
      <c r="B16" s="54">
        <f>B4+B8+B9+B13+B14</f>
        <v>423934956.69000006</v>
      </c>
      <c r="C16" s="54">
        <f t="shared" ref="C16:D16" si="2">C4+C8+C9+C13+C14</f>
        <v>376037081</v>
      </c>
      <c r="D16" s="54">
        <f t="shared" si="2"/>
        <v>359412566.23000002</v>
      </c>
      <c r="E16" s="47"/>
      <c r="F16" s="47"/>
      <c r="G16" s="47"/>
      <c r="H16" s="47"/>
      <c r="I16" s="47"/>
      <c r="J16" s="47"/>
    </row>
    <row r="17" spans="2:10" x14ac:dyDescent="0.25">
      <c r="B17" s="47"/>
      <c r="C17" s="47"/>
      <c r="D17" s="47"/>
      <c r="E17" s="47"/>
      <c r="F17" s="47"/>
      <c r="G17" s="47"/>
      <c r="H17" s="47"/>
      <c r="I17" s="47"/>
      <c r="J17" s="47"/>
    </row>
    <row r="18" spans="2:10" x14ac:dyDescent="0.25">
      <c r="B18" s="47">
        <f>B16-Осн.характеристики!O45</f>
        <v>25407575.710000038</v>
      </c>
      <c r="C18" s="47">
        <f>C16-Осн.характеристики!P45</f>
        <v>-10031829.800000012</v>
      </c>
      <c r="D18" s="47">
        <f>D16-Осн.характеристики!Q45</f>
        <v>-21518576.73999995</v>
      </c>
      <c r="E18" s="47"/>
      <c r="F18" s="47"/>
      <c r="G18" s="47"/>
      <c r="H18" s="47"/>
      <c r="I18" s="47"/>
      <c r="J18" s="47"/>
    </row>
    <row r="19" spans="2:10" x14ac:dyDescent="0.25">
      <c r="B19" s="47"/>
      <c r="C19" s="47"/>
      <c r="D19" s="47"/>
      <c r="E19" s="47"/>
      <c r="F19" s="47"/>
      <c r="G19" s="47"/>
      <c r="H19" s="47"/>
      <c r="I19" s="47"/>
      <c r="J19" s="47"/>
    </row>
    <row r="20" spans="2:10" x14ac:dyDescent="0.25">
      <c r="B20" s="47"/>
      <c r="C20" s="47"/>
      <c r="D20" s="47"/>
      <c r="E20" s="47"/>
      <c r="F20" s="47"/>
      <c r="G20" s="47"/>
      <c r="H20" s="47"/>
      <c r="I20" s="47"/>
      <c r="J20" s="47"/>
    </row>
    <row r="21" spans="2:10" x14ac:dyDescent="0.25">
      <c r="B21" s="47"/>
      <c r="C21" s="47"/>
      <c r="D21" s="47"/>
      <c r="E21" s="47"/>
      <c r="F21" s="47"/>
      <c r="G21" s="47"/>
      <c r="H21" s="47"/>
      <c r="I21" s="47"/>
      <c r="J21" s="47"/>
    </row>
    <row r="22" spans="2:10" x14ac:dyDescent="0.25">
      <c r="B22" s="47"/>
      <c r="C22" s="47"/>
      <c r="D22" s="47"/>
      <c r="E22" s="47"/>
      <c r="F22" s="47"/>
      <c r="G22" s="47"/>
      <c r="H22" s="47"/>
      <c r="I22" s="47"/>
      <c r="J22" s="47"/>
    </row>
    <row r="23" spans="2:10" x14ac:dyDescent="0.25">
      <c r="B23" s="47"/>
      <c r="C23" s="47"/>
      <c r="D23" s="47"/>
      <c r="E23" s="47"/>
      <c r="F23" s="47"/>
      <c r="G23" s="47"/>
      <c r="H23" s="47"/>
      <c r="I23" s="47"/>
      <c r="J23" s="47"/>
    </row>
    <row r="24" spans="2:10" x14ac:dyDescent="0.25">
      <c r="B24" s="47"/>
      <c r="C24" s="47"/>
      <c r="D24" s="47"/>
      <c r="E24" s="47"/>
      <c r="F24" s="47"/>
      <c r="G24" s="47"/>
      <c r="H24" s="47"/>
      <c r="I24" s="47"/>
      <c r="J24" s="47"/>
    </row>
    <row r="25" spans="2:10" x14ac:dyDescent="0.25">
      <c r="B25" s="47"/>
      <c r="C25" s="47"/>
      <c r="D25" s="47"/>
      <c r="E25" s="47"/>
      <c r="F25" s="47"/>
      <c r="G25" s="47"/>
      <c r="H25" s="47"/>
      <c r="I25" s="47"/>
      <c r="J25" s="47"/>
    </row>
    <row r="26" spans="2:10" x14ac:dyDescent="0.25">
      <c r="B26" s="47"/>
      <c r="C26" s="47"/>
      <c r="D26" s="47"/>
      <c r="E26" s="47"/>
      <c r="F26" s="47"/>
      <c r="G26" s="47"/>
      <c r="H26" s="47"/>
      <c r="I26" s="47"/>
      <c r="J26" s="47"/>
    </row>
    <row r="27" spans="2:10" x14ac:dyDescent="0.25">
      <c r="B27" s="47"/>
      <c r="C27" s="47"/>
      <c r="D27" s="47"/>
      <c r="E27" s="47"/>
      <c r="F27" s="47"/>
      <c r="G27" s="47"/>
      <c r="H27" s="47"/>
      <c r="I27" s="47"/>
      <c r="J27" s="47"/>
    </row>
    <row r="28" spans="2:10" x14ac:dyDescent="0.25">
      <c r="B28" s="47"/>
      <c r="C28" s="47"/>
      <c r="D28" s="47"/>
      <c r="E28" s="47"/>
      <c r="F28" s="47"/>
      <c r="G28" s="47"/>
      <c r="H28" s="47"/>
      <c r="I28" s="47"/>
      <c r="J28" s="47"/>
    </row>
    <row r="29" spans="2:10" x14ac:dyDescent="0.25">
      <c r="B29" s="47"/>
      <c r="C29" s="47"/>
      <c r="D29" s="47"/>
      <c r="E29" s="47"/>
      <c r="F29" s="47"/>
      <c r="G29" s="47"/>
      <c r="H29" s="47"/>
      <c r="I29" s="47"/>
      <c r="J29" s="47"/>
    </row>
    <row r="30" spans="2:10" x14ac:dyDescent="0.25">
      <c r="B30" s="47"/>
      <c r="C30" s="47"/>
      <c r="D30" s="47"/>
      <c r="E30" s="47"/>
      <c r="F30" s="47"/>
      <c r="G30" s="47"/>
      <c r="H30" s="47"/>
      <c r="I30" s="47"/>
      <c r="J30" s="47"/>
    </row>
    <row r="31" spans="2:10" x14ac:dyDescent="0.25">
      <c r="B31" s="47"/>
      <c r="C31" s="47"/>
      <c r="D31" s="47"/>
      <c r="E31" s="47"/>
      <c r="F31" s="47"/>
      <c r="G31" s="47"/>
      <c r="H31" s="47"/>
      <c r="I31" s="47"/>
      <c r="J31" s="47"/>
    </row>
    <row r="32" spans="2:10" x14ac:dyDescent="0.25">
      <c r="B32" s="47"/>
      <c r="C32" s="47"/>
      <c r="D32" s="47"/>
      <c r="E32" s="47"/>
      <c r="F32" s="47"/>
      <c r="G32" s="47"/>
      <c r="H32" s="47"/>
      <c r="I32" s="47"/>
      <c r="J32" s="47"/>
    </row>
    <row r="33" spans="2:10" x14ac:dyDescent="0.25">
      <c r="B33" s="47"/>
      <c r="C33" s="47"/>
      <c r="D33" s="47"/>
      <c r="E33" s="47"/>
      <c r="F33" s="47"/>
      <c r="G33" s="47"/>
      <c r="H33" s="47"/>
      <c r="I33" s="47"/>
      <c r="J33" s="47"/>
    </row>
    <row r="34" spans="2:10" x14ac:dyDescent="0.25">
      <c r="B34" s="47"/>
      <c r="C34" s="47"/>
      <c r="D34" s="47"/>
      <c r="E34" s="47"/>
      <c r="F34" s="47"/>
      <c r="G34" s="47"/>
      <c r="H34" s="47"/>
      <c r="I34" s="47"/>
      <c r="J34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Осн.характеристики</vt:lpstr>
      <vt:lpstr>Лист1</vt:lpstr>
      <vt:lpstr>Лист2</vt:lpstr>
      <vt:lpstr>Лист1!Заголовки_для_печати</vt:lpstr>
      <vt:lpstr>Осн.характеристики!Заголовки_для_печати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2023-11-14T12:09:04Z</dcterms:modified>
</cp:coreProperties>
</file>