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9330"/>
  </bookViews>
  <sheets>
    <sheet name="01.09.23" sheetId="4" r:id="rId1"/>
  </sheets>
  <calcPr calcId="145621" iterate="1"/>
</workbook>
</file>

<file path=xl/calcChain.xml><?xml version="1.0" encoding="utf-8"?>
<calcChain xmlns="http://schemas.openxmlformats.org/spreadsheetml/2006/main">
  <c r="S227" i="4" l="1"/>
  <c r="P227" i="4"/>
  <c r="S232" i="4"/>
  <c r="R232" i="4"/>
  <c r="R227" i="4" s="1"/>
  <c r="Q232" i="4"/>
  <c r="Q227" i="4" s="1"/>
  <c r="Q48" i="4"/>
  <c r="Q47" i="4"/>
  <c r="S46" i="4"/>
  <c r="R46" i="4"/>
  <c r="S50" i="4"/>
  <c r="R50" i="4"/>
  <c r="Q46" i="4" l="1"/>
  <c r="O52" i="4" l="1"/>
  <c r="S42" i="4"/>
  <c r="S41" i="4" s="1"/>
  <c r="R42" i="4"/>
  <c r="R41" i="4" s="1"/>
  <c r="Q42" i="4"/>
  <c r="Q26" i="4"/>
  <c r="Q34" i="4"/>
  <c r="Q13" i="4"/>
  <c r="S81" i="4" l="1"/>
  <c r="S79" i="4" s="1"/>
  <c r="R81" i="4"/>
  <c r="R79" i="4" s="1"/>
  <c r="R68" i="4"/>
  <c r="S250" i="4"/>
  <c r="R250" i="4"/>
  <c r="R252" i="4"/>
  <c r="S252" i="4"/>
  <c r="S215" i="4"/>
  <c r="R215" i="4"/>
  <c r="Q110" i="4"/>
  <c r="Q113" i="4"/>
  <c r="Q111" i="4" s="1"/>
  <c r="S78" i="4"/>
  <c r="R78" i="4"/>
  <c r="Q78" i="4"/>
  <c r="Q17" i="4"/>
  <c r="Q44" i="4"/>
  <c r="Q41" i="4" s="1"/>
  <c r="Q73" i="4"/>
  <c r="Q79" i="4"/>
  <c r="R89" i="4"/>
  <c r="Q92" i="4"/>
  <c r="Q93" i="4"/>
  <c r="Q94" i="4"/>
  <c r="Q95" i="4"/>
  <c r="Q104" i="4"/>
  <c r="R111" i="4"/>
  <c r="S111" i="4"/>
  <c r="Q122" i="4"/>
  <c r="Q132" i="4"/>
  <c r="S187" i="4" l="1"/>
  <c r="R187" i="4"/>
  <c r="Q187" i="4"/>
  <c r="S197" i="4"/>
  <c r="R197" i="4"/>
  <c r="Q197" i="4"/>
  <c r="S199" i="4"/>
  <c r="R199" i="4"/>
  <c r="Q199" i="4"/>
  <c r="S200" i="4"/>
  <c r="R200" i="4"/>
  <c r="Q200" i="4"/>
  <c r="Q215" i="4" l="1"/>
  <c r="Q250" i="4"/>
  <c r="Q252" i="4"/>
  <c r="Q256" i="4"/>
  <c r="Q258" i="4"/>
  <c r="Q260" i="4"/>
  <c r="P276" i="4" l="1"/>
  <c r="O276" i="4"/>
  <c r="P306" i="4"/>
  <c r="P308" i="4" s="1"/>
  <c r="P310" i="4"/>
  <c r="P311" i="4" s="1"/>
  <c r="S16" i="4"/>
  <c r="S24" i="4"/>
  <c r="S33" i="4"/>
  <c r="R33" i="4"/>
  <c r="S124" i="4"/>
  <c r="S122" i="4" s="1"/>
  <c r="R124" i="4"/>
  <c r="R122" i="4" s="1"/>
  <c r="S73" i="4"/>
  <c r="R73" i="4"/>
  <c r="P291" i="4"/>
  <c r="P293" i="4"/>
  <c r="S32" i="4" l="1"/>
  <c r="R32" i="4"/>
  <c r="Q32" i="4"/>
  <c r="Q40" i="4"/>
  <c r="Q28" i="4"/>
  <c r="P20" i="4"/>
  <c r="Q27" i="4"/>
  <c r="Q39" i="4"/>
  <c r="P111" i="4" l="1"/>
  <c r="O300" i="4" l="1"/>
  <c r="O302" i="4" s="1"/>
  <c r="O278" i="4"/>
  <c r="O259" i="4"/>
  <c r="O254" i="4"/>
  <c r="O249" i="4"/>
  <c r="O240" i="4"/>
  <c r="O227" i="4"/>
  <c r="O213" i="4"/>
  <c r="O203" i="4"/>
  <c r="O196" i="4"/>
  <c r="O279" i="4" s="1"/>
  <c r="O281" i="4" s="1"/>
  <c r="O171" i="4"/>
  <c r="O141" i="4"/>
  <c r="O132" i="4"/>
  <c r="O128" i="4"/>
  <c r="O122" i="4"/>
  <c r="O285" i="4" s="1"/>
  <c r="O287" i="4" s="1"/>
  <c r="O116" i="4"/>
  <c r="O282" i="4" s="1"/>
  <c r="O284" i="4" s="1"/>
  <c r="O111" i="4"/>
  <c r="O105" i="4"/>
  <c r="O288" i="4" s="1"/>
  <c r="O290" i="4" s="1"/>
  <c r="O98" i="4"/>
  <c r="O91" i="4"/>
  <c r="O88" i="4"/>
  <c r="O79" i="4"/>
  <c r="O72" i="4"/>
  <c r="O64" i="4"/>
  <c r="O54" i="4"/>
  <c r="O53" i="4"/>
  <c r="O49" i="4"/>
  <c r="O48" i="4"/>
  <c r="O29" i="4"/>
  <c r="O20" i="4"/>
  <c r="O15" i="4"/>
  <c r="P300" i="4"/>
  <c r="P278" i="4"/>
  <c r="P259" i="4"/>
  <c r="P254" i="4"/>
  <c r="P249" i="4"/>
  <c r="P240" i="4"/>
  <c r="P213" i="4"/>
  <c r="P203" i="4"/>
  <c r="P196" i="4"/>
  <c r="P192" i="4" s="1"/>
  <c r="P171" i="4"/>
  <c r="P141" i="4"/>
  <c r="P132" i="4"/>
  <c r="P128" i="4"/>
  <c r="P122" i="4"/>
  <c r="P285" i="4" s="1"/>
  <c r="P116" i="4"/>
  <c r="P282" i="4" s="1"/>
  <c r="P105" i="4"/>
  <c r="P288" i="4" s="1"/>
  <c r="P98" i="4"/>
  <c r="P91" i="4"/>
  <c r="P303" i="4" s="1"/>
  <c r="P305" i="4" s="1"/>
  <c r="P88" i="4"/>
  <c r="P79" i="4"/>
  <c r="P72" i="4"/>
  <c r="P64" i="4"/>
  <c r="P54" i="4"/>
  <c r="P53" i="4"/>
  <c r="P49" i="4"/>
  <c r="P48" i="4"/>
  <c r="P41" i="4" s="1"/>
  <c r="P29" i="4"/>
  <c r="P15" i="4"/>
  <c r="P127" i="4" l="1"/>
  <c r="O303" i="4"/>
  <c r="O305" i="4" s="1"/>
  <c r="P11" i="4"/>
  <c r="O127" i="4"/>
  <c r="P253" i="4"/>
  <c r="P247" i="4" s="1"/>
  <c r="O41" i="4"/>
  <c r="O294" i="4" s="1"/>
  <c r="O296" i="4" s="1"/>
  <c r="O253" i="4"/>
  <c r="O247" i="4" s="1"/>
  <c r="O297" i="4"/>
  <c r="O299" i="4" s="1"/>
  <c r="O202" i="4"/>
  <c r="O11" i="4"/>
  <c r="O140" i="4"/>
  <c r="O192" i="4"/>
  <c r="P202" i="4"/>
  <c r="P191" i="4" s="1"/>
  <c r="P140" i="4"/>
  <c r="Q20" i="4"/>
  <c r="Q259" i="4"/>
  <c r="Q254" i="4"/>
  <c r="Q249" i="4"/>
  <c r="Q240" i="4"/>
  <c r="Q213" i="4"/>
  <c r="Q203" i="4"/>
  <c r="Q196" i="4"/>
  <c r="Q192" i="4" s="1"/>
  <c r="Q171" i="4"/>
  <c r="Q141" i="4"/>
  <c r="Q128" i="4"/>
  <c r="Q127" i="4" s="1"/>
  <c r="Q116" i="4"/>
  <c r="Q105" i="4"/>
  <c r="Q98" i="4"/>
  <c r="Q91" i="4"/>
  <c r="Q88" i="4"/>
  <c r="Q72" i="4"/>
  <c r="Q64" i="4"/>
  <c r="Q54" i="4"/>
  <c r="Q29" i="4"/>
  <c r="Q15" i="4"/>
  <c r="R64" i="4"/>
  <c r="S64" i="4"/>
  <c r="P10" i="4" l="1"/>
  <c r="P261" i="4" s="1"/>
  <c r="P262" i="4" s="1"/>
  <c r="P9" i="4" s="1"/>
  <c r="Q253" i="4"/>
  <c r="Q247" i="4" s="1"/>
  <c r="O191" i="4"/>
  <c r="O10" i="4"/>
  <c r="Q11" i="4"/>
  <c r="Q202" i="4"/>
  <c r="Q191" i="4" s="1"/>
  <c r="Q140" i="4"/>
  <c r="O261" i="4" l="1"/>
  <c r="O262" i="4" s="1"/>
  <c r="O309" i="4" s="1"/>
  <c r="Q10" i="4"/>
  <c r="Q261" i="4" l="1"/>
  <c r="Q262" i="4"/>
  <c r="Q312" i="4" s="1"/>
  <c r="O267" i="4"/>
  <c r="O9" i="4"/>
  <c r="Q9" i="4" l="1"/>
  <c r="R15" i="4"/>
  <c r="R29" i="4"/>
  <c r="R54" i="4"/>
  <c r="R72" i="4"/>
  <c r="R88" i="4"/>
  <c r="R91" i="4"/>
  <c r="R98" i="4"/>
  <c r="R105" i="4"/>
  <c r="R116" i="4"/>
  <c r="R128" i="4"/>
  <c r="R132" i="4"/>
  <c r="R141" i="4"/>
  <c r="R171" i="4"/>
  <c r="R196" i="4"/>
  <c r="R192" i="4" s="1"/>
  <c r="R203" i="4"/>
  <c r="R213" i="4"/>
  <c r="R240" i="4"/>
  <c r="R249" i="4"/>
  <c r="R254" i="4"/>
  <c r="R259" i="4"/>
  <c r="R127" i="4" l="1"/>
  <c r="R253" i="4"/>
  <c r="R247" i="4" s="1"/>
  <c r="R20" i="4"/>
  <c r="R11" i="4" s="1"/>
  <c r="R202" i="4"/>
  <c r="R191" i="4" s="1"/>
  <c r="R140" i="4"/>
  <c r="R10" i="4" l="1"/>
  <c r="R261" i="4" s="1"/>
  <c r="R262" i="4" s="1"/>
  <c r="R312" i="4" s="1"/>
  <c r="P302" i="4"/>
  <c r="S259" i="4"/>
  <c r="S254" i="4"/>
  <c r="S249" i="4"/>
  <c r="S240" i="4"/>
  <c r="S213" i="4"/>
  <c r="S203" i="4"/>
  <c r="S196" i="4"/>
  <c r="P279" i="4"/>
  <c r="P281" i="4" s="1"/>
  <c r="S171" i="4"/>
  <c r="S141" i="4"/>
  <c r="S132" i="4"/>
  <c r="S128" i="4"/>
  <c r="P287" i="4"/>
  <c r="S116" i="4"/>
  <c r="P284" i="4"/>
  <c r="S105" i="4"/>
  <c r="P290" i="4"/>
  <c r="S98" i="4"/>
  <c r="S91" i="4"/>
  <c r="S88" i="4"/>
  <c r="S72" i="4"/>
  <c r="S54" i="4"/>
  <c r="S15" i="4"/>
  <c r="S127" i="4" l="1"/>
  <c r="R9" i="4"/>
  <c r="S20" i="4"/>
  <c r="S29" i="4"/>
  <c r="S202" i="4"/>
  <c r="S192" i="4"/>
  <c r="P297" i="4"/>
  <c r="P299" i="4" s="1"/>
  <c r="S140" i="4"/>
  <c r="S253" i="4"/>
  <c r="S247" i="4" s="1"/>
  <c r="P294" i="4"/>
  <c r="P296" i="4" s="1"/>
  <c r="S11" i="4" l="1"/>
  <c r="S10" i="4" s="1"/>
  <c r="S191" i="4"/>
  <c r="S261" i="4" l="1"/>
  <c r="S262" i="4" s="1"/>
  <c r="S312" i="4" s="1"/>
  <c r="P267" i="4"/>
  <c r="S9" i="4" l="1"/>
</calcChain>
</file>

<file path=xl/sharedStrings.xml><?xml version="1.0" encoding="utf-8"?>
<sst xmlns="http://schemas.openxmlformats.org/spreadsheetml/2006/main" count="1533" uniqueCount="567">
  <si>
    <t/>
  </si>
  <si>
    <t>Наименование полномочия, расходного обязательства</t>
  </si>
  <si>
    <t>Код</t>
  </si>
  <si>
    <t>Код строки</t>
  </si>
  <si>
    <t>Группа полномочий</t>
  </si>
  <si>
    <t>Российской Федерации</t>
  </si>
  <si>
    <t>1</t>
  </si>
  <si>
    <t>2</t>
  </si>
  <si>
    <t>3</t>
  </si>
  <si>
    <t>4</t>
  </si>
  <si>
    <t>5</t>
  </si>
  <si>
    <t>6</t>
  </si>
  <si>
    <t>7</t>
  </si>
  <si>
    <t>8</t>
  </si>
  <si>
    <t>9</t>
  </si>
  <si>
    <t>10</t>
  </si>
  <si>
    <t>11</t>
  </si>
  <si>
    <t>12</t>
  </si>
  <si>
    <t>14</t>
  </si>
  <si>
    <t>18</t>
  </si>
  <si>
    <t>19</t>
  </si>
  <si>
    <t>20</t>
  </si>
  <si>
    <t>21</t>
  </si>
  <si>
    <t>22</t>
  </si>
  <si>
    <t>30</t>
  </si>
  <si>
    <t>111</t>
  </si>
  <si>
    <t>113</t>
  </si>
  <si>
    <t>119</t>
  </si>
  <si>
    <t>121</t>
  </si>
  <si>
    <t>122</t>
  </si>
  <si>
    <t>Расходные обязательства, возникшие в результате принятия нормативных правовых актов муниципального района, заключения договоров (соглашений), всегоиз них:</t>
  </si>
  <si>
    <t>1.</t>
  </si>
  <si>
    <t>1000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</si>
  <si>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</si>
  <si>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t>
  </si>
  <si>
    <t>1001</t>
  </si>
  <si>
    <t>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</si>
  <si>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t>
  </si>
  <si>
    <t>1002</t>
  </si>
  <si>
    <t>участие в предупреждении и ликвидации последствий чрезвычайных ситуаций на территории муниципального района</t>
  </si>
  <si>
    <t>1.1.1.13.</t>
  </si>
  <si>
    <t>1015</t>
  </si>
  <si>
    <t>в целом</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</si>
  <si>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</si>
  <si>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1.1.1.17.</t>
  </si>
  <si>
    <t>1019</t>
  </si>
  <si>
    <t>Нормативные правовые акты субъекта Российской Федерации № 764-п Об утверждении государственной программы "Развитие образования и науки Брянской области" от 31.12.2018</t>
  </si>
  <si>
    <t>0701</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</si>
  <si>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</si>
  <si>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1.1.1.18.</t>
  </si>
  <si>
    <t>1020</t>
  </si>
  <si>
    <t>0702</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</si>
  <si>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(Собрание законодательства Российской Федерации, 2012, № 19, ст. 2334) от 07.05.2012</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</si>
  <si>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</si>
  <si>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1.1.1.19.</t>
  </si>
  <si>
    <t>1021</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</si>
  <si>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</si>
  <si>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1.1.1.20.</t>
  </si>
  <si>
    <t>1022</t>
  </si>
  <si>
    <t>0703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</si>
  <si>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</si>
  <si>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1.1.1.21.</t>
  </si>
  <si>
    <t>1023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</si>
  <si>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</si>
  <si>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1.1.1.22.</t>
  </si>
  <si>
    <t>1024</t>
  </si>
  <si>
    <t>0709</t>
  </si>
  <si>
    <t>владение, пользование и распоряжение имуществом, находящимся в муниципальной собственности муниципального района</t>
  </si>
  <si>
    <t>1.1.1.3.</t>
  </si>
  <si>
    <t>1005</t>
  </si>
  <si>
    <t>Федеральные законы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от 22.07.2008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</si>
  <si>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</si>
  <si>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1.1.1.31.</t>
  </si>
  <si>
    <t>1033</t>
  </si>
  <si>
    <t>Законы субъекта Российской Федерации № 90-З О библиотечном деле от 11.10.2006</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</si>
  <si>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</si>
  <si>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</si>
  <si>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1.1.1.32.</t>
  </si>
  <si>
    <t>1034</t>
  </si>
  <si>
    <t>Законы субъекта Российской Федерации № 23-З О культурной деятельности на территории Брянской области от 07.04.1999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</si>
  <si>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</si>
  <si>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1.1.1.34.</t>
  </si>
  <si>
    <t>1036</t>
  </si>
  <si>
    <t>обеспечение условий для развития на территории муниципального района физической культуры, школьного спорта и массового спорта</t>
  </si>
  <si>
    <t>1.1.1.44.</t>
  </si>
  <si>
    <t>1046</t>
  </si>
  <si>
    <t>1102</t>
  </si>
  <si>
    <t>организация и осуществление мероприятий межпоселенческого характера по работе с детьми и молодежью</t>
  </si>
  <si>
    <t>1.1.1.46.</t>
  </si>
  <si>
    <t>1048</t>
  </si>
  <si>
    <t>осуществление муниципального земельного контроля на межселенной территории муниципального района</t>
  </si>
  <si>
    <t>1.1.1.52.</t>
  </si>
  <si>
    <t>1054</t>
  </si>
  <si>
    <t>Федеральные законы № 136-ФЗ Земельный кодекс Российской Федерации от 25.10.2001</t>
  </si>
  <si>
    <t>0412</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</si>
  <si>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</si>
  <si>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1.1.1.54.</t>
  </si>
  <si>
    <t>1056</t>
  </si>
  <si>
    <t>0505</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</si>
  <si>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</si>
  <si>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1.1.1.57.</t>
  </si>
  <si>
    <t>1059</t>
  </si>
  <si>
    <t>1004</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</si>
  <si>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</si>
  <si>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1.1.1.74.</t>
  </si>
  <si>
    <t>1076</t>
  </si>
  <si>
    <t>0310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</si>
  <si>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</si>
  <si>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1.1.1.8.</t>
  </si>
  <si>
    <t>1010</t>
  </si>
  <si>
    <t>Федеральные законы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от 13.07.2015</t>
  </si>
  <si>
    <t>0408</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</si>
  <si>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</si>
  <si>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1.1.2.</t>
  </si>
  <si>
    <t>1100</t>
  </si>
  <si>
    <t>создание условий для организации досуга и обеспечения жителей  поселения услугами организаций культуры</t>
  </si>
  <si>
    <t>1.1.2.19.</t>
  </si>
  <si>
    <t>1119</t>
  </si>
  <si>
    <t>осуществление контроля за исполнением бюджета поселения</t>
  </si>
  <si>
    <t>1.1.2.2.</t>
  </si>
  <si>
    <t>0106</t>
  </si>
  <si>
    <t>обеспечение условий для развития на территории поселения физической культуры, школьного спорта и массового спорта</t>
  </si>
  <si>
    <t>1.1.2.22.</t>
  </si>
  <si>
    <t>1122</t>
  </si>
  <si>
    <t>формирование архивных фондов поселения</t>
  </si>
  <si>
    <t>1.1.2.25.</t>
  </si>
  <si>
    <t>1125</t>
  </si>
  <si>
    <t>0104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</si>
  <si>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</si>
  <si>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t>
  </si>
  <si>
    <t>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</si>
  <si>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</si>
  <si>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1.2.1.</t>
  </si>
  <si>
    <t>1201</t>
  </si>
  <si>
    <t>Федеральные законы № 25-ФЗ О муниципальной службе в Российской Федерации от 02.03.2007</t>
  </si>
  <si>
    <t>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</si>
  <si>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</si>
  <si>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1212</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</si>
  <si>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</si>
  <si>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</si>
  <si>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</si>
  <si>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</si>
  <si>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</si>
  <si>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</si>
  <si>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1217</t>
  </si>
  <si>
    <t>Федеральные законы № 2124-1 О средствах массовой информации от 27.12.1991</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</si>
  <si>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</si>
  <si>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1.2.2.</t>
  </si>
  <si>
    <t>1202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</si>
  <si>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</si>
  <si>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</si>
  <si>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1220</t>
  </si>
  <si>
    <t>0113</t>
  </si>
  <si>
    <t>предоставление доплаты за выслугу лет к трудовой пенсии муниципальным служащим за счет средств местного бюджета</t>
  </si>
  <si>
    <t>1.2.23.</t>
  </si>
  <si>
    <t>1223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</si>
  <si>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</si>
  <si>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</si>
  <si>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</si>
  <si>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</si>
  <si>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1.2.8.</t>
  </si>
  <si>
    <t>1208</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</si>
  <si>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</si>
  <si>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t>
  </si>
  <si>
    <t>1700</t>
  </si>
  <si>
    <t>за счет субвенций, предоставленных из федерального бюджета, всего</t>
  </si>
  <si>
    <t>1.4.1.</t>
  </si>
  <si>
    <t>1701</t>
  </si>
  <si>
    <t>-</t>
  </si>
  <si>
    <t>на выплату единовременного пособия при всех формах устройства детей, лишенных родительского попечения, в семью</t>
  </si>
  <si>
    <t>1.4.1.11.</t>
  </si>
  <si>
    <t>1712</t>
  </si>
  <si>
    <t>по составлению (изменению) списков кандидатов в присяжные заседатели</t>
  </si>
  <si>
    <t>1.4.1.2.</t>
  </si>
  <si>
    <t>1703</t>
  </si>
  <si>
    <t>Федеральные законы № 113-ФЗ О присяжных заседателях федеральных судов общей юрисдикции в Российской Федерации от 20.08.2004</t>
  </si>
  <si>
    <t>0105</t>
  </si>
  <si>
    <t>на осуществление первичного воинского учета на территориях, где отсутствуют военные комиссариаты</t>
  </si>
  <si>
    <t>1.4.1.21.</t>
  </si>
  <si>
    <t>1722</t>
  </si>
  <si>
    <t>Нормативные правовые акты Правительства Российской Федерации № 258 О субвенциях на осуществление полномочий по первичному воинскому учету на территориях, где отсутствуют военные комиссариаты от 29.04.2006</t>
  </si>
  <si>
    <t>0203</t>
  </si>
  <si>
    <t>осуществление полномочий по проведению Всероссийской переписи населения 2020 года</t>
  </si>
  <si>
    <t>1.4.1.30.</t>
  </si>
  <si>
    <t>1731</t>
  </si>
  <si>
    <t>за счет субвенций, предоставленных из бюджета субъекта Российской Федерации, всего</t>
  </si>
  <si>
    <t>1.4.2.</t>
  </si>
  <si>
    <t>1800</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</si>
  <si>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</si>
  <si>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1.4.2.1.</t>
  </si>
  <si>
    <t>1801</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</si>
  <si>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</si>
  <si>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1.4.2.2.</t>
  </si>
  <si>
    <t>1802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</si>
  <si>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</si>
  <si>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1.4.2.28.</t>
  </si>
  <si>
    <t>1828</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</si>
  <si>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</si>
  <si>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1.4.2.28.1.</t>
  </si>
  <si>
    <t>1828.1</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</si>
  <si>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</si>
  <si>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1.4.2.36.</t>
  </si>
  <si>
    <t>1836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</si>
  <si>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</si>
  <si>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1.4.2.38.</t>
  </si>
  <si>
    <t>1838</t>
  </si>
  <si>
    <t>на организацию и осуществление деятельности по опеке и попечительству</t>
  </si>
  <si>
    <t>1.4.2.40.</t>
  </si>
  <si>
    <t>1840</t>
  </si>
  <si>
    <t>1006</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</si>
  <si>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</si>
  <si>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1.4.2.85.1.</t>
  </si>
  <si>
    <t>1885.1</t>
  </si>
  <si>
    <t>0405</t>
  </si>
  <si>
    <t>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</si>
  <si>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1.5.</t>
  </si>
  <si>
    <t>2000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</si>
  <si>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</si>
  <si>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1.5.1.</t>
  </si>
  <si>
    <t>2001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</si>
  <si>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</si>
  <si>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1.5.2.</t>
  </si>
  <si>
    <t>2002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</si>
  <si>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</si>
  <si>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1.5.3.</t>
  </si>
  <si>
    <t>2003</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</si>
  <si>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</si>
  <si>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t>
  </si>
  <si>
    <t>2100</t>
  </si>
  <si>
    <t>по предоставлению дотаций на выравнивание бюджетной обеспеченности городских, сельских поселений, всего</t>
  </si>
  <si>
    <t>1.6.1.</t>
  </si>
  <si>
    <t>2101</t>
  </si>
  <si>
    <t>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</si>
  <si>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t>
  </si>
  <si>
    <t>2105</t>
  </si>
  <si>
    <t>на осуществление воинского учета на территориях, на которых отсутствуют структурные подразделения военных комиссариатов</t>
  </si>
  <si>
    <t>1.6.3.1.</t>
  </si>
  <si>
    <t>2106</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</si>
  <si>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</si>
  <si>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1.6.3.2.</t>
  </si>
  <si>
    <t>2107</t>
  </si>
  <si>
    <t>по предоставлению иных межбюджетных трансфертов, всего</t>
  </si>
  <si>
    <t>1.6.4</t>
  </si>
  <si>
    <t>2200</t>
  </si>
  <si>
    <t>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</si>
  <si>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1.6.4.1</t>
  </si>
  <si>
    <t>2201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</si>
  <si>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</si>
  <si>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1.6.4.1.1.</t>
  </si>
  <si>
    <t>2202</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</si>
  <si>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</si>
  <si>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1.6.4.1.2.</t>
  </si>
  <si>
    <t>2203</t>
  </si>
  <si>
    <t>0409</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</si>
  <si>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</si>
  <si>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1.6.4.1.3.</t>
  </si>
  <si>
    <t>2204</t>
  </si>
  <si>
    <t>1.6.4.1.4.</t>
  </si>
  <si>
    <t>2205</t>
  </si>
  <si>
    <t>0501</t>
  </si>
  <si>
    <t>в иных случаях, не связанных с заключением соглашений, предусмотренных в подпункте 1.6.4.1, всего</t>
  </si>
  <si>
    <t>1.6.4.2</t>
  </si>
  <si>
    <t>2300</t>
  </si>
  <si>
    <t>поддержка мер по обеспечению сбалансированности бюджетов поселений</t>
  </si>
  <si>
    <t>1.6.4.2.1</t>
  </si>
  <si>
    <t>2301</t>
  </si>
  <si>
    <t>Итого расходных обязательств муниципальных образований, без учета внутренних оборотов</t>
  </si>
  <si>
    <t>11800</t>
  </si>
  <si>
    <t>Итого расходных обязательств муниципальных образований</t>
  </si>
  <si>
    <t>11900</t>
  </si>
  <si>
    <t>Федеральный закон от 06.10.2003 N 131-ФЗ "Об общих принципах организации местного самоуправления в Российской Федерации"</t>
  </si>
  <si>
    <t>ст.15</t>
  </si>
  <si>
    <t>ст.15.1.</t>
  </si>
  <si>
    <t>Федеральный закон от 25.01.2002 N 8-ФЗ "О Всероссийской переписи населения"</t>
  </si>
  <si>
    <t>Код бюджетной классификации расходов</t>
  </si>
  <si>
    <t>ГРБС</t>
  </si>
  <si>
    <t>РзПр</t>
  </si>
  <si>
    <t>ЦСР</t>
  </si>
  <si>
    <t>ВР</t>
  </si>
  <si>
    <t>Объем средств на исполнение расходного обязательства Клетнянского муниципального района Брянской области, рублей</t>
  </si>
  <si>
    <t>51031 83710</t>
  </si>
  <si>
    <t>51011 83750</t>
  </si>
  <si>
    <t>540</t>
  </si>
  <si>
    <t>530</t>
  </si>
  <si>
    <t>851</t>
  </si>
  <si>
    <t>244</t>
  </si>
  <si>
    <t>514Р5 52280</t>
  </si>
  <si>
    <t>*****</t>
  </si>
  <si>
    <t>***</t>
  </si>
  <si>
    <t>853</t>
  </si>
  <si>
    <t>70000 83030</t>
  </si>
  <si>
    <t>321</t>
  </si>
  <si>
    <t>852</t>
  </si>
  <si>
    <t>52022 52600</t>
  </si>
  <si>
    <t>313</t>
  </si>
  <si>
    <t>412</t>
  </si>
  <si>
    <t>611</t>
  </si>
  <si>
    <t>612</t>
  </si>
  <si>
    <t>0111</t>
  </si>
  <si>
    <t>870</t>
  </si>
  <si>
    <t>52012 S4860</t>
  </si>
  <si>
    <t>52012 S4850</t>
  </si>
  <si>
    <t>512A2 55190</t>
  </si>
  <si>
    <t>51211 S4240</t>
  </si>
  <si>
    <t>0503</t>
  </si>
  <si>
    <t>****</t>
  </si>
  <si>
    <t>0804</t>
  </si>
  <si>
    <t>0707</t>
  </si>
  <si>
    <t>414</t>
  </si>
  <si>
    <t>811</t>
  </si>
  <si>
    <t>70000 84200</t>
  </si>
  <si>
    <t>857</t>
  </si>
  <si>
    <t>854</t>
  </si>
  <si>
    <t>0103</t>
  </si>
  <si>
    <t>70000 80040</t>
  </si>
  <si>
    <t>129</t>
  </si>
  <si>
    <t>53011 83420</t>
  </si>
  <si>
    <t>70000 55490</t>
  </si>
  <si>
    <t>51011 83420</t>
  </si>
  <si>
    <t>247</t>
  </si>
  <si>
    <t>51011 54690</t>
  </si>
  <si>
    <t>70000 80050</t>
  </si>
  <si>
    <t>52011 83420</t>
  </si>
  <si>
    <t>51031 81800</t>
  </si>
  <si>
    <t>243</t>
  </si>
  <si>
    <t>323</t>
  </si>
  <si>
    <t>51031 81750</t>
  </si>
  <si>
    <t>0100</t>
  </si>
  <si>
    <t>0200</t>
  </si>
  <si>
    <t>0700</t>
  </si>
  <si>
    <t>1400</t>
  </si>
  <si>
    <t>0300</t>
  </si>
  <si>
    <t>0400</t>
  </si>
  <si>
    <t>0500</t>
  </si>
  <si>
    <t>0800</t>
  </si>
  <si>
    <t>51420 84290</t>
  </si>
  <si>
    <t>51420 82300</t>
  </si>
  <si>
    <t>51420 82310</t>
  </si>
  <si>
    <t>51420 82320</t>
  </si>
  <si>
    <t>52408 16722</t>
  </si>
  <si>
    <t>51419 L4970</t>
  </si>
  <si>
    <t>51417 82450</t>
  </si>
  <si>
    <t>52402 14780</t>
  </si>
  <si>
    <t>52408 16723</t>
  </si>
  <si>
    <t>52408 16710</t>
  </si>
  <si>
    <t>51418  R0820</t>
  </si>
  <si>
    <t>51414 84260</t>
  </si>
  <si>
    <t>51416 81150</t>
  </si>
  <si>
    <t>51415 82410</t>
  </si>
  <si>
    <t>51414 80480</t>
  </si>
  <si>
    <t>51414 82400</t>
  </si>
  <si>
    <t>51414 L4670</t>
  </si>
  <si>
    <t>511A2 55190</t>
  </si>
  <si>
    <t>51414 L5190</t>
  </si>
  <si>
    <t>51414 80450</t>
  </si>
  <si>
    <t>51412 14723</t>
  </si>
  <si>
    <t>52403 14723</t>
  </si>
  <si>
    <t>51412 14210</t>
  </si>
  <si>
    <t>52402 14722</t>
  </si>
  <si>
    <t>52402  L3040</t>
  </si>
  <si>
    <t>52401 80040</t>
  </si>
  <si>
    <t>52407 82360</t>
  </si>
  <si>
    <t>52401 16721</t>
  </si>
  <si>
    <t xml:space="preserve"> 52401 80720</t>
  </si>
  <si>
    <t>52406 S4790</t>
  </si>
  <si>
    <t>52402 80300</t>
  </si>
  <si>
    <t>52402 82330</t>
  </si>
  <si>
    <t>52402 82430</t>
  </si>
  <si>
    <t>521Е2 50970</t>
  </si>
  <si>
    <t>522ZВ L7500</t>
  </si>
  <si>
    <t>52404 53030</t>
  </si>
  <si>
    <t>52402 80310</t>
  </si>
  <si>
    <t>52402 S4770</t>
  </si>
  <si>
    <t>52402 S4900</t>
  </si>
  <si>
    <t>52405 S4860</t>
  </si>
  <si>
    <t>52402 S4910</t>
  </si>
  <si>
    <t>511А1 55190</t>
  </si>
  <si>
    <t>51411 80320</t>
  </si>
  <si>
    <t>51411 82330</t>
  </si>
  <si>
    <t>51411 82430</t>
  </si>
  <si>
    <t>52402 80320</t>
  </si>
  <si>
    <t>52402 S7670</t>
  </si>
  <si>
    <t>51402 81830</t>
  </si>
  <si>
    <t>51409 81740</t>
  </si>
  <si>
    <t>51409 S1270</t>
  </si>
  <si>
    <t>511F5 52430</t>
  </si>
  <si>
    <t>51409 83760</t>
  </si>
  <si>
    <t>51409 81680</t>
  </si>
  <si>
    <t>51406 12510</t>
  </si>
  <si>
    <t>51408 83740</t>
  </si>
  <si>
    <t>51407 83360</t>
  </si>
  <si>
    <t>51402 80910</t>
  </si>
  <si>
    <t>51402 80900</t>
  </si>
  <si>
    <t>51401 12021</t>
  </si>
  <si>
    <t>Плановый период</t>
  </si>
  <si>
    <t>2024 год</t>
  </si>
  <si>
    <t>53401 84400</t>
  </si>
  <si>
    <t>51401 84220</t>
  </si>
  <si>
    <t>51401 12022</t>
  </si>
  <si>
    <t>51401 12023</t>
  </si>
  <si>
    <t>51401 17900</t>
  </si>
  <si>
    <t>51401 80020</t>
  </si>
  <si>
    <t>51401 80040</t>
  </si>
  <si>
    <t>51401 80070</t>
  </si>
  <si>
    <t>51401 80100</t>
  </si>
  <si>
    <t>51401 81410</t>
  </si>
  <si>
    <t>53401 80040</t>
  </si>
  <si>
    <t>51401 83260</t>
  </si>
  <si>
    <t>51403 80710</t>
  </si>
  <si>
    <t>51404 51180</t>
  </si>
  <si>
    <t>53402 15840</t>
  </si>
  <si>
    <t>53402 83020</t>
  </si>
  <si>
    <t>52402 14721</t>
  </si>
  <si>
    <t>51407 81630</t>
  </si>
  <si>
    <t>51405 80700</t>
  </si>
  <si>
    <t>51405 81200</t>
  </si>
  <si>
    <t>51410 L2990</t>
  </si>
  <si>
    <t>Правовое основание финансового обеспечения расходного полномочия бюджета муниципального района</t>
  </si>
  <si>
    <t>вид документа, наименование, номер и дата</t>
  </si>
  <si>
    <t>номер статьи, части, пункта, подпункта, абзаца</t>
  </si>
  <si>
    <t>Брянской области</t>
  </si>
  <si>
    <t>Клетнянского муниципального района</t>
  </si>
  <si>
    <t xml:space="preserve">Постановление администрации Клетнянского района от 11.04.2017 № 244 «Об утверждении Положения о порядке расходования средств резервного фонда администрации Клетнянского района для предупреждения и ликвидации чрезвычайных ситуаций и происшествий»
</t>
  </si>
  <si>
    <t xml:space="preserve">Федеральный закон от 29.12.2012 N 273-ФЗ
"Об образовании в Российской Федерации"
</t>
  </si>
  <si>
    <t xml:space="preserve">Закон Брянской области от 08.08.2013 N 62-З
"Об образовании в Брянской области"
</t>
  </si>
  <si>
    <t xml:space="preserve">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</si>
  <si>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t>
  </si>
  <si>
    <t xml:space="preserve">Закон РФ от 14.01.1993 N 4292-1
"Об увековечении памяти погибших при защите Отечества"
</t>
  </si>
  <si>
    <t>Закон субъекта Российской Федерации № 93-З О физической культуре и спорте в Брянской области от 09.11.2009</t>
  </si>
  <si>
    <t>Закон субъекта Российской Федерации № 40-З Об организации проведения капитального ремонта общего имущества в многоквартирных домах, расположенных на территории Брянской области от 11.06.2013</t>
  </si>
  <si>
    <t xml:space="preserve">Постановление Администрации Брянской области от 15.08.2005 N 451
"О создании единой дежурно-диспетчерской службы муниципальных образований Брянской области"
</t>
  </si>
  <si>
    <t xml:space="preserve">Постановление Правительства Брянской области от 31.12.2018 № 764-п Об утверждении государственной программы "Развитие образования и науки Брянской области" </t>
  </si>
  <si>
    <t>Закон Брянской области от 18.12.2007. № 171-З Об архивном деле в Брянской области</t>
  </si>
  <si>
    <t xml:space="preserve">Закон Брянской области от 03.11.2010 N 91-З
"О полномочиях органов государственной власти Брянской области по взаимодействию с Ассоциацией "Совет муниципальных образований Брянской области"
</t>
  </si>
  <si>
    <t xml:space="preserve">Федеральный Закон  от 02.03.2007 № 25-ФЗ О муниципальной службе в Российской Федерации </t>
  </si>
  <si>
    <t>Устав Муниципального бюджетного учреждения культуры "Межпоселенческая центральная библиотека" Клетнянского района Брянской области утвержден Постановлением Клетнянского района №730 от 21.10.2011</t>
  </si>
  <si>
    <t xml:space="preserve">Примерное положение
об оплате труда работников муниципальных учреждений культуры
 Клетнянского района,  утвержденное Постановлением администрации Клетнянского района №245 от 11.04.2017 
</t>
  </si>
  <si>
    <t>П остановление администрации Клетнянского района 
от 29.12.2021г. № 792
"Об установлении тарифов на перевозки
по муниципальным маршрутам
регулярных перевозок в границах
Клетнянского района Брянской области",
Распоряжение администрации Клетнянского района от 14.02.2022г.№59-р "О внесении изменений в распоряжение от 13.10.2021г. №572-р "Об утверждении расписания муниципальных маршрутов регулярных перевозок на территории муниципального образования "Клетнянский муниципальный район" на 2022 год</t>
  </si>
  <si>
    <t>Программа по энергесбережению и повышению энергетической эффективности администрации Клетнянского района на 2019-2023 годы утверждена главой администрации Клетнянского района 31.10.2019г.</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</si>
  <si>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(ред. от 24.02.2022 г. №109)</t>
  </si>
  <si>
    <t xml:space="preserve">Постановление Правительства Брянской области от 27.12.2018 года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</si>
  <si>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Указы Президента Российской Федерации № 1609 Указ Президента Российской Федерации от 7 декабря 2012 г. № 1609 «Об утверждении положения о военных комиссариатах» </t>
  </si>
  <si>
    <t>Решение Клетнянского районного Совета народных депутатов от 20.05.2016 г. №18-7 "Об утверждении Положения об оплате труда и гарантиях муниципальных служащих в органах местного самоуправления муниципального образования "Клетнянский муниципальный район" (с изменениями)</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</si>
  <si>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(с изменениями)</t>
  </si>
  <si>
    <t>Закон Брянской области от 16.11.2007 N 156-З "О муниципальной службе в Брянской области"</t>
  </si>
  <si>
    <t>Закон Брянской области от 15.05.2000 N 26-З"Об энергосбережении и повышении энергетической эффективности на территории Брянской области"</t>
  </si>
  <si>
    <t>Федеральный закон от 02.03.2007 N 25-ФЗ "О муниципальной службе в Российской Федерации"</t>
  </si>
  <si>
    <t>ст.23, п.1, п.п.5</t>
  </si>
  <si>
    <t>ст.10, п.4</t>
  </si>
  <si>
    <t>Федеральный закон от 27.07.2010 N 210-ФЗ "Об организации предоставления государственных и муниципальных услуг"</t>
  </si>
  <si>
    <t>Федеральный закон от 06.10.2003 № 131-ФЗ "Об общих принципах организации местного самоуправления в российской Федерации"</t>
  </si>
  <si>
    <t>ст.15 п.1 подп.3</t>
  </si>
  <si>
    <t>Постановление Правительства Российской Федерации №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t>
  </si>
  <si>
    <t xml:space="preserve">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 </t>
  </si>
  <si>
    <t xml:space="preserve">Постановление Правительства Брянской области от 27.12.2018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</si>
  <si>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Закон Брянской области от 15.06.2007 № 87-З "О наделении органов местного самоуправления отдельными государственными полномочиями по созданию административных комиссий и определению порядка их деятельности" </t>
  </si>
  <si>
    <t>Закон Брянской области от 11.01.2008 N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</si>
  <si>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Закон Брянской области от 11.11.2009 N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</si>
  <si>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Закон Брянской области от 28.12.2005 N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</si>
  <si>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</si>
  <si>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Закон Брянской области от 13.08.2007 N 119-З "О наделении органов местного самоуправления отдельными государственными полномочиями Брянской области по назначению и выплате денежных средств на содержание и проезд ребенка, находящегося под опекой или попечительством"</t>
  </si>
  <si>
    <t xml:space="preserve">Закон Брянской области от 05.12.2006 N 105-З
"О наделении органов местного самоуправления отдельными государственными полномочиями Брянской области по назначению и выплате вознаграждения приемным родителям и ежегодной единовременной помощи приемным родителям"
</t>
  </si>
  <si>
    <t xml:space="preserve">Закон Брянской области от 16.03.2020 № 19-З Об отдельных вопросах в области обращения с животными в Брянской области" </t>
  </si>
  <si>
    <t xml:space="preserve">Постановление администрации Клетнянского района от 09.11.2015 № 934 «О создании Муниципального бюджетного учреждения "Центр государственных и муниципальных услуг "Мои документы" Клетнянского района Брянской области" и утверждении его Устава»
</t>
  </si>
  <si>
    <t xml:space="preserve">Постановление администрации Клетнянского района от 19.08.2019 № 568 «Об утверждении положения об оплате труда работников Муниципального бюджетного учреждения "Центр государственных и муниципальных услуг "Мои документы" Клетнянского района Брянской области"»
</t>
  </si>
  <si>
    <t>Постановление Правительства Брянской области от 27.12.2018 N 728-п "Об утверждении государственной программы "Экономическое развитие, инвестиционная политика и инновационная экономика Брянской области"</t>
  </si>
  <si>
    <t>Закон Брянской области № 17-З О наделении органов местного самоуправления муниципальных образований в Брянской облаот 16.03.2020</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</si>
  <si>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</si>
  <si>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</si>
  <si>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</si>
  <si>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Правительства Брянской области от 30.12.2013 N 810-п "Об установлении размера, условий и порядка компенсации расходов на оплату жилых помещений, отопления и освещения педагогическим работникам образовательных организаций, финансовое обеспечение деятельности которых осуществляется из областного и местных бюджетов, работающим и проживающим в сельских населенных пунктах и поселках городского типа на территории Брянской области"
</t>
  </si>
  <si>
    <t xml:space="preserve">Постановление Правительства Брянской области от 19.05.2014 N 207-п "Об установлении размера, условий и порядка компенсации расходов на оплату жилых помещений, отопления и освещения отдельным категориям педагогических работников образовательных организаций Брянской области, финансовое обеспечение деятельности которых осуществляется из областного и местных бюджетов"
</t>
  </si>
  <si>
    <t xml:space="preserve">Указ Губернатора Брянской области от 03.04.2014 N 107 "Об установлении размера, утверждении Порядка и условий денежной выплаты компенсационного характера на оплату жилья и коммунальных услуг отдельным категориям граждан, работающих в сельской местности или поселках городского типа на территории Брянской области"
</t>
  </si>
  <si>
    <t>Закон Брянской области от 11.05.2007 N 70-З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</si>
  <si>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Постановление Правительства Брянской области от 29.12.2018 № 735-п "Об утверждении государственной программы "Социальная и демографическая политика Брянской области" 
Закон Брянской области от 11.11.2010 N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</si>
  <si>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Итого</t>
  </si>
  <si>
    <t xml:space="preserve">Указ Президента Российской Федерации № 597 от 7 мая 2012 г. «О мероприятиях по реализации государственной социальной политики» </t>
  </si>
  <si>
    <t>Закон Брянской области от 08.08.2013 N 62-З "Об образовании в Брянской области"</t>
  </si>
  <si>
    <t>ст.17</t>
  </si>
  <si>
    <t xml:space="preserve">Решение Клетнянского районного Совета народных депутатов от 22.12.16.№23-6 "Об утверждении Порядка предоставления и методики распределения  иных межбюджетных трансфертов бюджетам поселений Клетнянского района – дотаций на поддержку мер по обеспечению сбалансированности бюджетов поселений
</t>
  </si>
  <si>
    <t>Закон Брянской области от 02.11.2016 N 89-З "О межбюджетных отношениях в Брянской области"</t>
  </si>
  <si>
    <t>ст.15, п.4</t>
  </si>
  <si>
    <t>Решение Клетнянского районного Совета народных депутатов от 24.12.15.№14-9 "Об утверждении Порядка предоставления и методики распределения иных межбюджетных трансфертов бюджетам сельских поселений Клетнянского района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</si>
  <si>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Решение Клетнянского районного Совета народных депутатов от 24.12.15.№14-8 "Об утверждении Порядка предоставления и методики распределения иных межбюджетных трансфертов бюджетам сельских поселений Клетнянского района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</si>
  <si>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Решение Клетнянского районного Совета народных депутатов от 24.12.15. №14-10 "Об утверждении Порядка предоставления и методики распределения иных межбюджетных трансфертов бюджетам сельских поселений Клетнянского района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</si>
  <si>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 xml:space="preserve"> Решение Клетнянского районного Совета народных депутатов от 20.04.21.№13-4/4 "Об утверждении Порядка предоставления и методики распределения иных межбюджетных трансфертов бюджетам сельских поселений Клетнянского муниципального района Брянской области в области градостроительной деятельности"</t>
  </si>
  <si>
    <t>Закон Брянской области от 15.03.2007 N 28-З "О градостроительной деятельности в Брянской области"</t>
  </si>
  <si>
    <t>Закон Брянской области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 от 09.03.2011</t>
  </si>
  <si>
    <t>Постановление администрации Клетнянского района от 24.12.2018г.№ 1120 «Об утверждении муниципальной программы «Управление муниципальными финансами Клетнянского муниципального района</t>
  </si>
  <si>
    <t xml:space="preserve">Указ Президента Российской Федерации от 7 декабря 2012 г. № 1609 «Об утверждении положения о военных комиссариатах»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</si>
  <si>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</si>
  <si>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 xml:space="preserve">Решение Клетнянского районного Совета народных депутатов "Об утверждении Положения о порядке установления, выплаты и перерасчета пенсии за выслугу лет лицам, замещавшим должности муниципальной службы в муниципальном образовании "Клетнянский муниципальный район" от 30.11.2012 г. №30-3/4 </t>
  </si>
  <si>
    <t xml:space="preserve">Нормативные правовые акты субъекта Российской Федерации от 31.12.2018 № 752-п Об утверждении государственной программы "Развитие топливно-энергетического комплекса и жилищно-коммунального хозяйства Брянской области" </t>
  </si>
  <si>
    <t xml:space="preserve">Закон Брянской области от 16.11.2007 № 156-З "О муниципальной службе в Брянской области" </t>
  </si>
  <si>
    <t>Решение Клетнянского районного Совета народных депутатов от 29.09.21.№17-2"Об утверждении Положения о Контрольно-счетной палате Клетнянского муниципального района Брянской области"</t>
  </si>
  <si>
    <t>Закон Брянской области от 09.11.2009 N 93-З "О физической культуре и спорте в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</si>
  <si>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</si>
  <si>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</si>
  <si>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Решение Клетнянского районного Совета народных депутатов от 21.10.21.№18-4 "О принятии полномочий по осуществлению внутреннего муниципального финансового контроля органами местного самоуправления муниципального образования "Клетнянский муниципальный район" от органов местного самоуправления муниципального образования "Лутенское сельское поселение", муниципального образования "Мужиновское сельское поселение", муниципального образования "Надвинское сельское поселение", муниципального образования "Акуличское сельское поселение", муниципального образования "Мирнинское сельское поселение" и муниципального образования "Клетнянское городское поселение"</t>
  </si>
  <si>
    <t>Постановление администрации Клетнянского района от 24.12.2018г.№ 1133 «Развитие системы образования Клетнянского муниципального района»
Постановление администрации Клетнянского района от 23.11.2020 № 723 «Об утверждении  Примерного положения об организации питания учащихся общеобразовательных учреждений Клетнянского муниципального района Брянской области"</t>
  </si>
  <si>
    <t>Постановление администрации Клетнянского района от 18.03.2022г. №154 «Об об организации отдыха и оздоровления детей   Клетнянского муниципального района Брянской области"</t>
  </si>
  <si>
    <t>Постановление администрации Клетнянского района от 24.12.2018г.№ 1133 «Развитие системы образования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</si>
  <si>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 xml:space="preserve">Постановление администрации Клетнянского района от 24.12.2018г.№ 1133 «Развитие системы образования Клетнянского муниципального района»
Постановлением администрации Клетнянского района от 29 декабря 2017 г. N 1222 "Об утверждении Положения об оплате труда работников управления образования администрации Клетнянского района"
</t>
  </si>
  <si>
    <t xml:space="preserve">Решение Клетнянского районного Совета народных депутатов № 44-5 от 17.07.2014 г. " Об утверждении Положения об управлении муниципальной собственностью муниципального образования "Клетнянский муниципальный район"
Решение Клетнянского районного Совета народных депутатов от 11.12.2020 N 10-2 "Об утверждении порядка формирования, ведения, ежегодного дополнения и опубликования перечня муниципального имущества муниципального образования "Клетнянский муниципальный район" Брянской области, свободного от прав третьих лиц, предназначенного для предоставления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
</t>
  </si>
  <si>
    <t>Закон Брянской области от 26.03.2007 N 33-З "О разграничении имущества, находящегося в муниципальной собственности, между вновь образованными муниципальными образованиями "Клетнянское городское поселение", "Акуличское сельское поселение", "Лутенское сельское поселение", "Мирнинское сельское поселение", "Мужиновское сельское поселение", "Надвинское сельское поселение" и муниципальным образованием "Клетнянский муниципальный район", в границах которого они образованы"</t>
  </si>
  <si>
    <t xml:space="preserve">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11.04.2017г. № 245 «Об утверждении Положения об оплате труда работников муниципальных бюджетных учреждений культуры Клетнянского района»                                     </t>
  </si>
  <si>
    <t>Указ Губернатора Брянской области от 29.12.2016 N 379 "О создании межведомственного координационного совета по увековечению памяти погибших при защите Отечества и патриотическому воспитанию граждан"</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</si>
  <si>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</si>
  <si>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</si>
  <si>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администрации Клетнянского района от 29.01.2013 г. № 17  "О создании муниципального казеннго учреждения "Единая дежурно-диспетчерская служба Клетнянского муниципального района"
Решение Клетнянского районного Совета народных депутатов от 19.02.2015. №5-10 "О    согласии   на принятие    из    государственной собственности Брянской области в собственность муниципального     образования      «Клетнянский   муниципальный   район»  оборудования  системы оповещения     Клетнянского    районного     звена    территориальной  подсистемы  РСЧС   Брянской области"
</t>
  </si>
  <si>
    <t>Закон Брянской области от 08.11.2010 N 94-З "О порядке организации и осуществления муниципального земельного контроля на территории муниципальных образований Брянской области"</t>
  </si>
  <si>
    <t>Постановление Правительства Брянской области от 27.10.2014 N 488-п "Об осуществлении капитальных вложений в объекты государственной и муниципальной собственности на территории Брянской области"</t>
  </si>
  <si>
    <t>Закон Брянской области от 03.07.2010 N 54-З "Об организации транспортного обслуживания населения на территории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</si>
  <si>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послений Клетнянского муниципального района Брянской области"</t>
  </si>
  <si>
    <t>1101</t>
  </si>
  <si>
    <t>51404 51200</t>
  </si>
  <si>
    <t>51407 18540</t>
  </si>
  <si>
    <t>51414 82430</t>
  </si>
  <si>
    <t>1.1.1.14</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</si>
  <si>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</si>
  <si>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0309</t>
  </si>
  <si>
    <t>51422 81210</t>
  </si>
  <si>
    <t>Постановление Администрации Брянской области от 11.01.2010 N 12 "О создании запасов материально-технических,медицинских и иных средств для обеспечения мероприятий гражданской обороны на территоррии Брянской области"</t>
  </si>
  <si>
    <t>Постановление администрации Клетнянского района от 15.09.2022 № 551 "О создании, содержании и использовании запасов материально-технических, продовольственных, медицинских и иных средств для обеспечения мероприятий гражданской обороны"</t>
  </si>
  <si>
    <t>831</t>
  </si>
  <si>
    <t>Текущий
2023 год</t>
  </si>
  <si>
    <t>2025 год</t>
  </si>
  <si>
    <t>План 2022</t>
  </si>
  <si>
    <t>51401 17390</t>
  </si>
  <si>
    <t>51402 L5110</t>
  </si>
  <si>
    <t>1.1.1.53.</t>
  </si>
  <si>
    <t xml:space="preserve"> организация мероприятий межпоселенческого характера по охране окружающей среды</t>
  </si>
  <si>
    <t>0605</t>
  </si>
  <si>
    <t>51423 83280</t>
  </si>
  <si>
    <t>511A1 55130</t>
  </si>
  <si>
    <t xml:space="preserve">51420 S7620 </t>
  </si>
  <si>
    <t>521ЕВ 51790</t>
  </si>
  <si>
    <t>0600</t>
  </si>
  <si>
    <t>Закон Брянской области от 31.10.2022г. № 83-З «О наделении органов местного самоуправления отдельными государственными полномочиями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</si>
  <si>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 xml:space="preserve">Закон Брянской области от 12.03.2013 N 10-З
"Об автомобильных дорогах и о дорожной деятельности в Брянской области"
</t>
  </si>
  <si>
    <t>Закон Брянской области от 03.11.1997 N 28-З "О законах и иных нормативных правовых актах Брянской области"</t>
  </si>
  <si>
    <t>ст.5</t>
  </si>
  <si>
    <t xml:space="preserve">Закон Брянской области от 09.11.2011 N 113-З
"О некоторых вопросах организации и деятельности контрольно-счетных органов муниципальных образований в Брянской области"
</t>
  </si>
  <si>
    <t>п.4, ч.1, ст.15</t>
  </si>
  <si>
    <t>п.9, ч.1, ст.15</t>
  </si>
  <si>
    <t>Отчетный финансовый год (2022)</t>
  </si>
  <si>
    <t>Закон Брянской области от 15.06.2007. № 88-З "Об административных правонарушениях в Брянской области"</t>
  </si>
  <si>
    <t>51401 84230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</si>
  <si>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</si>
  <si>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</si>
  <si>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1127</t>
  </si>
  <si>
    <t>1128</t>
  </si>
  <si>
    <t>1.1.2.27.</t>
  </si>
  <si>
    <t>1.1.2.28.</t>
  </si>
  <si>
    <t>51401 84440</t>
  </si>
  <si>
    <t>51401 84450</t>
  </si>
  <si>
    <t>51401 84460</t>
  </si>
  <si>
    <t>51407 81190</t>
  </si>
  <si>
    <t>51402 80930</t>
  </si>
  <si>
    <t xml:space="preserve">Решение Клетнянского районного Совета народных депутатов от 29.03.23.№33-4 "Об утверждении Положения о муниципальном жилищном контроле в муниципальном образовании «Клетнянский муниципальный район Брянской области» и муниципальном образовании «Клетнянское городское поселение» </t>
  </si>
  <si>
    <t>Решение Клетнянского районного Совета народных депутатов от 29.03.23.№33-5 "Об утверждении Положения о муниципальном земельном контроле в границах Клетнянского муниципального района Брянской области и Клетнянского городского поселения Клетнянского муниципального района Брянской области</t>
  </si>
  <si>
    <t xml:space="preserve">Решение Клетнянского районного Совета народных депутатов от 29.03.23.№33-7 "Об утверждении Положения о муниципальном контроле в сфере благоустройства на территории Клетнянского городского и сельских поселений Клетнянского муниципального района Брянской области" </t>
  </si>
  <si>
    <t>Решение Клетнянского районного Совета народных депутатов от 29.03.23.№33-6 "Об утверждении Положения о муниципальном контроле на автомобильном транспорте, городском наземном электрическом транспорте и в дорожном хозяйстве в границах населенных пунктов муниципального образования «Клетнянский муниципальный район Брянской области» и муниципального образования «Клетнянское городское поселение»</t>
  </si>
  <si>
    <r>
      <t>Р</t>
    </r>
    <r>
      <rPr>
        <sz val="9"/>
        <color rgb="FF000000"/>
        <rFont val="Trebuchet MS"/>
        <family val="2"/>
        <charset val="204"/>
      </rPr>
      <t xml:space="preserve">еестр расходных обязательств </t>
    </r>
    <r>
      <rPr>
        <b/>
        <sz val="9"/>
        <color rgb="FF000000"/>
        <rFont val="Trebuchet MS"/>
        <family val="2"/>
        <charset val="204"/>
      </rPr>
      <t>Клетнянского муниципального района Брянской области на 1 сентября 2023 года</t>
    </r>
  </si>
  <si>
    <t>511F5 11270</t>
  </si>
  <si>
    <t xml:space="preserve">Федеральный закон от 04.12.2007 N 329-ФЗ
"О физической культуре и спорте в Российской Федерации"
</t>
  </si>
  <si>
    <t>1103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</si>
</sst>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color rgb="FF000000"/>
      <name val="Times New Roman"/>
    </font>
    <font>
      <b/>
      <sz val="9"/>
      <color rgb="FF000000"/>
      <name val="Trebuchet MS"/>
      <family val="2"/>
      <charset val="204"/>
    </font>
    <font>
      <sz val="9"/>
      <color rgb="FF000000"/>
      <name val="Trebuchet MS"/>
      <family val="2"/>
      <charset val="204"/>
    </font>
    <font>
      <sz val="9"/>
      <color rgb="FF000000"/>
      <name val="Times New Roman"/>
      <family val="1"/>
      <charset val="204"/>
    </font>
    <font>
      <sz val="9"/>
      <name val="Times New Roman"/>
      <family val="1"/>
      <charset val="204"/>
    </font>
    <font>
      <sz val="9"/>
      <color rgb="FF0000FF"/>
      <name val="Times New Roman"/>
      <family val="1"/>
      <charset val="204"/>
    </font>
    <font>
      <sz val="10"/>
      <color rgb="FF0000FF"/>
      <name val="Times New Roman"/>
      <family val="1"/>
      <charset val="204"/>
    </font>
    <font>
      <sz val="9"/>
      <color rgb="FF000000"/>
      <name val="Times New Roman"/>
      <family val="1"/>
      <charset val="204"/>
    </font>
    <font>
      <sz val="9"/>
      <color rgb="FFFF3300"/>
      <name val="Times New Roman"/>
      <family val="1"/>
      <charset val="204"/>
    </font>
    <font>
      <sz val="10"/>
      <color rgb="FFFF3300"/>
      <name val="Times New Roman"/>
      <family val="1"/>
      <charset val="204"/>
    </font>
    <font>
      <sz val="10"/>
      <color rgb="FF000000"/>
      <name val="Times New Roman"/>
      <family val="1"/>
      <charset val="204"/>
    </font>
    <font>
      <sz val="10"/>
      <color rgb="FFFF0000"/>
      <name val="Times New Roman"/>
      <family val="1"/>
      <charset val="204"/>
    </font>
    <font>
      <b/>
      <sz val="9"/>
      <color rgb="FF0000FF"/>
      <name val="Times New Roman"/>
      <family val="1"/>
      <charset val="204"/>
    </font>
    <font>
      <b/>
      <sz val="9"/>
      <name val="Times New Roman"/>
      <family val="1"/>
      <charset val="204"/>
    </font>
    <font>
      <sz val="8"/>
      <color rgb="FF000000"/>
      <name val="Times New Roman"/>
      <family val="2"/>
    </font>
    <font>
      <b/>
      <sz val="10"/>
      <name val="Times New Roman"/>
      <family val="1"/>
      <charset val="204"/>
    </font>
    <font>
      <b/>
      <sz val="9"/>
      <color rgb="FF000000"/>
      <name val="Times New Roman"/>
      <family val="1"/>
      <charset val="204"/>
    </font>
    <font>
      <sz val="9"/>
      <color rgb="FF000000"/>
      <name val="Times New Roman"/>
      <family val="2"/>
    </font>
  </fonts>
  <fills count="7">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FFCCCC"/>
        <bgColor indexed="64"/>
      </patternFill>
    </fill>
    <fill>
      <patternFill patternType="solid">
        <fgColor rgb="FFCCFFCC"/>
        <bgColor indexed="64"/>
      </patternFill>
    </fill>
    <fill>
      <patternFill patternType="solid">
        <fgColor rgb="FFFFFF00"/>
        <bgColor indexed="64"/>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right style="thin">
        <color rgb="FF000000"/>
      </right>
      <top style="thin">
        <color indexed="64"/>
      </top>
      <bottom/>
      <diagonal/>
    </border>
    <border>
      <left/>
      <right/>
      <top style="thin">
        <color indexed="64"/>
      </top>
      <bottom/>
      <diagonal/>
    </border>
  </borders>
  <cellStyleXfs count="2">
    <xf numFmtId="0" fontId="0" fillId="0" borderId="0">
      <alignment vertical="top" wrapText="1"/>
    </xf>
    <xf numFmtId="0" fontId="14" fillId="0" borderId="7">
      <alignment horizontal="center" vertical="top" wrapText="1"/>
    </xf>
  </cellStyleXfs>
  <cellXfs count="338">
    <xf numFmtId="0" fontId="0" fillId="0" borderId="0" xfId="0" applyFont="1" applyFill="1" applyAlignment="1">
      <alignment vertical="top" wrapText="1"/>
    </xf>
    <xf numFmtId="0" fontId="6" fillId="0" borderId="0" xfId="0" applyFont="1" applyFill="1" applyAlignment="1">
      <alignment vertical="top" wrapText="1"/>
    </xf>
    <xf numFmtId="164" fontId="0" fillId="0" borderId="0" xfId="0" applyNumberFormat="1" applyFont="1" applyFill="1" applyAlignment="1">
      <alignment vertical="top" wrapText="1"/>
    </xf>
    <xf numFmtId="0" fontId="7" fillId="0"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9" fillId="0" borderId="0" xfId="0" applyFont="1" applyFill="1" applyAlignment="1">
      <alignment vertical="top" wrapText="1"/>
    </xf>
    <xf numFmtId="0" fontId="10" fillId="0" borderId="0" xfId="0" applyFont="1" applyFill="1" applyAlignment="1">
      <alignment vertical="top" wrapText="1"/>
    </xf>
    <xf numFmtId="4" fontId="0" fillId="0" borderId="0" xfId="0" applyNumberFormat="1" applyFont="1" applyFill="1" applyAlignment="1">
      <alignment vertical="top"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5" fillId="0" borderId="2" xfId="0"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6" fillId="0" borderId="0" xfId="0" applyFont="1" applyFill="1" applyBorder="1" applyAlignment="1">
      <alignment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49" fontId="5" fillId="0" borderId="3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wrapText="1"/>
    </xf>
    <xf numFmtId="49" fontId="10" fillId="0" borderId="0" xfId="0" applyNumberFormat="1" applyFont="1" applyFill="1" applyAlignment="1">
      <alignment vertical="top" wrapText="1"/>
    </xf>
    <xf numFmtId="49" fontId="5" fillId="0" borderId="3" xfId="0" applyNumberFormat="1" applyFont="1" applyFill="1" applyBorder="1" applyAlignment="1">
      <alignment horizontal="center" vertical="top" wrapText="1"/>
    </xf>
    <xf numFmtId="4" fontId="11" fillId="0" borderId="0" xfId="0" applyNumberFormat="1" applyFont="1" applyFill="1" applyAlignment="1">
      <alignment vertical="top" wrapText="1"/>
    </xf>
    <xf numFmtId="49" fontId="5" fillId="0" borderId="1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top" wrapText="1"/>
    </xf>
    <xf numFmtId="49" fontId="7" fillId="0" borderId="21"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 fontId="9" fillId="0" borderId="0" xfId="0" applyNumberFormat="1" applyFont="1" applyFill="1" applyAlignment="1">
      <alignment vertical="top" wrapText="1"/>
    </xf>
    <xf numFmtId="0" fontId="5" fillId="0" borderId="10" xfId="0" applyFont="1" applyFill="1" applyBorder="1" applyAlignment="1">
      <alignment vertical="top" wrapText="1"/>
    </xf>
    <xf numFmtId="49" fontId="4" fillId="0" borderId="19"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top" wrapText="1"/>
    </xf>
    <xf numFmtId="0" fontId="5" fillId="0" borderId="4"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12" fillId="0" borderId="1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4" fillId="0" borderId="7" xfId="1" applyNumberFormat="1" applyAlignment="1" applyProtection="1">
      <alignment horizontal="center" vertical="center" wrapText="1"/>
      <protection locked="0"/>
    </xf>
    <xf numFmtId="0" fontId="7" fillId="0" borderId="0" xfId="0" applyFont="1" applyFill="1" applyAlignment="1">
      <alignment horizontal="center" vertical="center" wrapText="1"/>
    </xf>
    <xf numFmtId="0" fontId="3" fillId="4" borderId="1" xfId="0" applyFont="1" applyFill="1" applyBorder="1" applyAlignment="1">
      <alignment horizontal="left" vertical="center" wrapText="1"/>
    </xf>
    <xf numFmtId="0" fontId="3" fillId="0" borderId="5" xfId="0" applyFont="1" applyFill="1" applyBorder="1" applyAlignment="1">
      <alignment vertical="top" wrapText="1"/>
    </xf>
    <xf numFmtId="0" fontId="17" fillId="0" borderId="7" xfId="1" applyNumberFormat="1" applyFont="1" applyAlignment="1" applyProtection="1">
      <alignment horizontal="center" vertical="center" wrapText="1"/>
      <protection locked="0"/>
    </xf>
    <xf numFmtId="49" fontId="12" fillId="0" borderId="5" xfId="0" applyNumberFormat="1" applyFont="1" applyFill="1" applyBorder="1" applyAlignment="1">
      <alignment horizontal="center" vertical="top" wrapText="1"/>
    </xf>
    <xf numFmtId="0" fontId="6" fillId="0" borderId="10"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164" fontId="3" fillId="2" borderId="10"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top" wrapText="1"/>
    </xf>
    <xf numFmtId="164" fontId="3" fillId="3" borderId="10" xfId="0" applyNumberFormat="1" applyFont="1" applyFill="1" applyBorder="1" applyAlignment="1">
      <alignment horizontal="center" vertical="top" wrapText="1"/>
    </xf>
    <xf numFmtId="4" fontId="6" fillId="0" borderId="10" xfId="0" applyNumberFormat="1" applyFont="1" applyFill="1" applyBorder="1" applyAlignment="1">
      <alignment vertical="top" wrapText="1"/>
    </xf>
    <xf numFmtId="164" fontId="5" fillId="0" borderId="10" xfId="0" applyNumberFormat="1" applyFont="1" applyFill="1" applyBorder="1" applyAlignment="1">
      <alignment horizontal="center" vertical="top" wrapText="1"/>
    </xf>
    <xf numFmtId="4" fontId="6" fillId="0" borderId="10" xfId="0" applyNumberFormat="1" applyFont="1" applyFill="1" applyBorder="1" applyAlignment="1">
      <alignment horizontal="center" vertical="top" wrapText="1"/>
    </xf>
    <xf numFmtId="164" fontId="16" fillId="4"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164" fontId="16" fillId="4" borderId="10" xfId="0" applyNumberFormat="1" applyFont="1" applyFill="1" applyBorder="1" applyAlignment="1">
      <alignment horizontal="center" vertical="top" wrapText="1"/>
    </xf>
    <xf numFmtId="164" fontId="16" fillId="3"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top" wrapText="1"/>
    </xf>
    <xf numFmtId="164" fontId="3" fillId="5" borderId="10"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center" wrapText="1"/>
    </xf>
    <xf numFmtId="4" fontId="3" fillId="4" borderId="10" xfId="0" applyNumberFormat="1" applyFont="1" applyFill="1" applyBorder="1" applyAlignment="1">
      <alignment horizontal="center" vertical="top" wrapText="1"/>
    </xf>
    <xf numFmtId="4" fontId="3" fillId="2"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17" xfId="0" applyFont="1" applyFill="1" applyBorder="1" applyAlignment="1">
      <alignment horizontal="center" vertical="top" wrapText="1"/>
    </xf>
    <xf numFmtId="0" fontId="3" fillId="0" borderId="7"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6"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3" fillId="0" borderId="0" xfId="0" applyNumberFormat="1" applyFont="1" applyFill="1" applyAlignment="1">
      <alignment vertical="top" wrapText="1"/>
    </xf>
    <xf numFmtId="2" fontId="6" fillId="0" borderId="0" xfId="0" applyNumberFormat="1" applyFont="1" applyFill="1" applyAlignment="1">
      <alignment vertical="top" wrapText="1"/>
    </xf>
    <xf numFmtId="2" fontId="0" fillId="0" borderId="0" xfId="0" applyNumberFormat="1" applyFont="1" applyFill="1" applyAlignment="1">
      <alignment vertical="top" wrapText="1"/>
    </xf>
    <xf numFmtId="0" fontId="3" fillId="0" borderId="2" xfId="0" applyFont="1" applyFill="1" applyBorder="1" applyAlignment="1">
      <alignment horizontal="center" vertical="top" wrapText="1"/>
    </xf>
    <xf numFmtId="4" fontId="3" fillId="0" borderId="18" xfId="0" applyNumberFormat="1" applyFont="1" applyFill="1" applyBorder="1" applyAlignment="1">
      <alignment horizontal="center" vertical="top" wrapText="1"/>
    </xf>
    <xf numFmtId="4" fontId="3" fillId="0" borderId="16"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6"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5" fillId="0" borderId="8" xfId="0"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7"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10" xfId="0" applyFont="1" applyFill="1" applyBorder="1" applyAlignment="1">
      <alignment vertical="top" wrapText="1"/>
    </xf>
    <xf numFmtId="4" fontId="6" fillId="0" borderId="14" xfId="0" applyNumberFormat="1" applyFont="1" applyFill="1" applyBorder="1" applyAlignment="1">
      <alignment vertical="top" wrapText="1"/>
    </xf>
    <xf numFmtId="49" fontId="5" fillId="0" borderId="15" xfId="0" applyNumberFormat="1" applyFont="1" applyFill="1" applyBorder="1" applyAlignment="1">
      <alignment horizontal="center" vertical="top" wrapText="1"/>
    </xf>
    <xf numFmtId="4" fontId="6" fillId="0" borderId="16" xfId="0" applyNumberFormat="1" applyFont="1" applyFill="1" applyBorder="1" applyAlignment="1">
      <alignment vertical="top" wrapText="1"/>
    </xf>
    <xf numFmtId="0" fontId="5" fillId="0" borderId="14" xfId="0" applyFont="1" applyFill="1" applyBorder="1" applyAlignment="1">
      <alignment horizontal="left" vertical="center" wrapText="1"/>
    </xf>
    <xf numFmtId="4" fontId="3" fillId="3" borderId="10" xfId="0" applyNumberFormat="1" applyFont="1" applyFill="1" applyBorder="1" applyAlignment="1">
      <alignment horizontal="center" vertical="top" wrapText="1"/>
    </xf>
    <xf numFmtId="4" fontId="16" fillId="4" borderId="10" xfId="0" applyNumberFormat="1" applyFont="1" applyFill="1" applyBorder="1" applyAlignment="1">
      <alignment horizontal="center" vertical="center" wrapText="1"/>
    </xf>
    <xf numFmtId="4" fontId="16" fillId="4" borderId="10" xfId="0" applyNumberFormat="1" applyFont="1" applyFill="1" applyBorder="1" applyAlignment="1">
      <alignment horizontal="center" vertical="top" wrapText="1"/>
    </xf>
    <xf numFmtId="4" fontId="16" fillId="3" borderId="10" xfId="0" applyNumberFormat="1" applyFont="1" applyFill="1" applyBorder="1" applyAlignment="1">
      <alignment horizontal="center" vertical="top" wrapText="1"/>
    </xf>
    <xf numFmtId="4" fontId="16" fillId="0" borderId="10" xfId="0" applyNumberFormat="1" applyFont="1" applyFill="1" applyBorder="1" applyAlignment="1">
      <alignment horizontal="center" vertical="top" wrapText="1"/>
    </xf>
    <xf numFmtId="4" fontId="3" fillId="5" borderId="10" xfId="0" applyNumberFormat="1" applyFont="1" applyFill="1" applyBorder="1" applyAlignment="1">
      <alignment horizontal="center" vertical="top" wrapText="1"/>
    </xf>
    <xf numFmtId="4" fontId="3" fillId="4" borderId="10"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left" vertical="center" wrapText="1"/>
    </xf>
    <xf numFmtId="49" fontId="5" fillId="0"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8" xfId="0" applyFont="1" applyFill="1" applyBorder="1" applyAlignment="1">
      <alignment horizontal="center" vertical="top" wrapText="1"/>
    </xf>
    <xf numFmtId="4" fontId="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3" fillId="3"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2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0" borderId="22"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31" xfId="0" applyFont="1" applyFill="1" applyBorder="1" applyAlignment="1">
      <alignment horizontal="center" vertical="top" wrapText="1"/>
    </xf>
    <xf numFmtId="49" fontId="5" fillId="0" borderId="6" xfId="0" applyNumberFormat="1" applyFont="1" applyFill="1" applyBorder="1" applyAlignment="1">
      <alignment horizontal="center" vertical="top"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4" fillId="0" borderId="5"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26"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5" xfId="0" applyFont="1" applyFill="1" applyBorder="1" applyAlignment="1">
      <alignment horizontal="center" vertical="top" wrapText="1"/>
    </xf>
    <xf numFmtId="49" fontId="4" fillId="0" borderId="2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7" fillId="0" borderId="7"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5" fillId="0" borderId="27"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35" xfId="0"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0" fontId="5" fillId="0" borderId="41"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5" fillId="0" borderId="34" xfId="0" applyFont="1" applyFill="1" applyBorder="1" applyAlignment="1">
      <alignment horizontal="center" vertical="top" wrapText="1"/>
    </xf>
    <xf numFmtId="0" fontId="3" fillId="0" borderId="36" xfId="0" applyFont="1" applyFill="1" applyBorder="1" applyAlignment="1">
      <alignment horizontal="center" vertical="top" wrapText="1"/>
    </xf>
    <xf numFmtId="0" fontId="3" fillId="0" borderId="38" xfId="0" applyFont="1" applyFill="1" applyBorder="1" applyAlignment="1">
      <alignment horizontal="center" vertical="top" wrapText="1"/>
    </xf>
    <xf numFmtId="0" fontId="3" fillId="0" borderId="20" xfId="0" applyFont="1" applyFill="1" applyBorder="1" applyAlignment="1">
      <alignment horizontal="center" vertical="top" wrapText="1"/>
    </xf>
    <xf numFmtId="0" fontId="5" fillId="0" borderId="42"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37"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7" xfId="0" applyFont="1" applyFill="1" applyBorder="1" applyAlignment="1">
      <alignment horizontal="center" vertical="top" wrapText="1"/>
    </xf>
    <xf numFmtId="49" fontId="5" fillId="6" borderId="5" xfId="0" applyNumberFormat="1" applyFont="1" applyFill="1" applyBorder="1" applyAlignment="1">
      <alignment horizontal="center" vertical="top" wrapText="1"/>
    </xf>
    <xf numFmtId="49" fontId="5" fillId="6" borderId="6" xfId="0" applyNumberFormat="1" applyFont="1" applyFill="1" applyBorder="1" applyAlignment="1">
      <alignment horizontal="center" vertical="top" wrapText="1"/>
    </xf>
    <xf numFmtId="49" fontId="5" fillId="6" borderId="7" xfId="0" applyNumberFormat="1" applyFont="1" applyFill="1" applyBorder="1" applyAlignment="1">
      <alignment horizontal="center" vertical="top" wrapText="1"/>
    </xf>
    <xf numFmtId="0" fontId="5" fillId="0" borderId="6" xfId="0" applyFont="1" applyFill="1" applyBorder="1" applyAlignment="1">
      <alignment horizontal="left" vertical="center" wrapText="1"/>
    </xf>
    <xf numFmtId="4" fontId="5" fillId="0" borderId="16"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13" fillId="0" borderId="10" xfId="0" applyFont="1" applyFill="1" applyBorder="1" applyAlignment="1">
      <alignment horizontal="center" vertical="center" wrapText="1"/>
    </xf>
    <xf numFmtId="0" fontId="5" fillId="0" borderId="10" xfId="0" applyFont="1" applyFill="1" applyBorder="1" applyAlignment="1">
      <alignment vertical="center" wrapText="1"/>
    </xf>
  </cellXfs>
  <cellStyles count="2">
    <cellStyle name="xl78" xfId="1"/>
    <cellStyle name="Обычный" xfId="0" builtinId="0"/>
  </cellStyles>
  <dxfs count="0"/>
  <tableStyles count="0" defaultTableStyle="TableStyleMedium9" defaultPivotStyle="PivotStyleLight16"/>
  <colors>
    <mruColors>
      <color rgb="FF0000FF"/>
      <color rgb="FFCCFFCC"/>
      <color rgb="FF00FF00"/>
      <color rgb="FFFFCCCC"/>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2"/>
  <sheetViews>
    <sheetView tabSelected="1" zoomScale="70" zoomScaleNormal="70" workbookViewId="0">
      <pane xSplit="1" ySplit="7" topLeftCell="C262" activePane="bottomRight" state="frozen"/>
      <selection pane="topRight" activeCell="B1" sqref="B1"/>
      <selection pane="bottomLeft" activeCell="A8" sqref="A8"/>
      <selection pane="bottomRight" activeCell="H243" sqref="H243:H244"/>
    </sheetView>
  </sheetViews>
  <sheetFormatPr defaultRowHeight="12.75" x14ac:dyDescent="0.2"/>
  <cols>
    <col min="1" max="1" width="39.1640625" customWidth="1"/>
    <col min="2" max="3" width="9.1640625" customWidth="1"/>
    <col min="4" max="4" width="27.5" customWidth="1"/>
    <col min="5" max="5" width="12" customWidth="1"/>
    <col min="6" max="6" width="28.6640625" customWidth="1"/>
    <col min="7" max="7" width="8.5" customWidth="1"/>
    <col min="8" max="8" width="36.6640625" customWidth="1"/>
    <col min="9" max="9" width="9.1640625" customWidth="1"/>
    <col min="10" max="10" width="6.33203125" customWidth="1"/>
    <col min="11" max="14" width="8.83203125" style="17" customWidth="1"/>
    <col min="15" max="15" width="16.5" hidden="1" customWidth="1"/>
    <col min="16" max="16" width="16.83203125" customWidth="1"/>
    <col min="17" max="19" width="16.5" customWidth="1"/>
  </cols>
  <sheetData>
    <row r="1" spans="1:19" ht="24.75" customHeight="1" x14ac:dyDescent="0.2">
      <c r="A1" s="313" t="s">
        <v>563</v>
      </c>
      <c r="B1" s="313"/>
      <c r="C1" s="313"/>
      <c r="D1" s="313"/>
      <c r="E1" s="313"/>
      <c r="F1" s="313"/>
      <c r="G1" s="313"/>
      <c r="H1" s="313"/>
      <c r="I1" s="313"/>
      <c r="J1" s="313"/>
      <c r="K1" s="313"/>
      <c r="L1" s="313"/>
      <c r="M1" s="313"/>
      <c r="N1" s="313"/>
      <c r="O1" s="313"/>
      <c r="P1" s="313"/>
      <c r="Q1" s="313"/>
      <c r="R1" s="313"/>
      <c r="S1" s="313"/>
    </row>
    <row r="2" spans="1:19" ht="12.75" customHeight="1" x14ac:dyDescent="0.2">
      <c r="A2" s="313" t="s">
        <v>0</v>
      </c>
      <c r="B2" s="313"/>
      <c r="C2" s="313"/>
      <c r="D2" s="313"/>
      <c r="E2" s="313"/>
      <c r="F2" s="313"/>
      <c r="G2" s="313"/>
      <c r="H2" s="313"/>
      <c r="I2" s="313"/>
      <c r="J2" s="313"/>
      <c r="K2" s="313"/>
      <c r="L2" s="313"/>
      <c r="M2" s="313"/>
      <c r="N2" s="313"/>
      <c r="O2" s="313"/>
      <c r="P2" s="313"/>
      <c r="Q2" s="313"/>
      <c r="R2" s="313"/>
      <c r="S2" s="313"/>
    </row>
    <row r="3" spans="1:19" ht="12.75" customHeight="1" x14ac:dyDescent="0.2">
      <c r="A3" s="314" t="s">
        <v>0</v>
      </c>
      <c r="B3" s="314"/>
      <c r="C3" s="314"/>
      <c r="D3" s="314"/>
      <c r="E3" s="314"/>
      <c r="F3" s="314"/>
      <c r="G3" s="314"/>
      <c r="H3" s="314"/>
      <c r="I3" s="314"/>
      <c r="J3" s="314"/>
      <c r="K3" s="314"/>
      <c r="L3" s="314"/>
      <c r="M3" s="314"/>
      <c r="N3" s="314"/>
      <c r="O3" s="314"/>
      <c r="P3" s="314"/>
      <c r="Q3" s="314"/>
      <c r="R3" s="314"/>
      <c r="S3" s="314"/>
    </row>
    <row r="4" spans="1:19" ht="36" customHeight="1" x14ac:dyDescent="0.2">
      <c r="A4" s="243" t="s">
        <v>1</v>
      </c>
      <c r="B4" s="243" t="s">
        <v>2</v>
      </c>
      <c r="C4" s="243" t="s">
        <v>3</v>
      </c>
      <c r="D4" s="315" t="s">
        <v>417</v>
      </c>
      <c r="E4" s="243"/>
      <c r="F4" s="243"/>
      <c r="G4" s="243"/>
      <c r="H4" s="243"/>
      <c r="I4" s="243"/>
      <c r="J4" s="243" t="s">
        <v>4</v>
      </c>
      <c r="K4" s="316" t="s">
        <v>274</v>
      </c>
      <c r="L4" s="317"/>
      <c r="M4" s="317"/>
      <c r="N4" s="318"/>
      <c r="O4" s="201" t="s">
        <v>527</v>
      </c>
      <c r="P4" s="200" t="s">
        <v>279</v>
      </c>
      <c r="Q4" s="200"/>
      <c r="R4" s="200"/>
      <c r="S4" s="200"/>
    </row>
    <row r="5" spans="1:19" ht="36" customHeight="1" x14ac:dyDescent="0.2">
      <c r="A5" s="243" t="s">
        <v>0</v>
      </c>
      <c r="B5" s="243" t="s">
        <v>0</v>
      </c>
      <c r="C5" s="243" t="s">
        <v>0</v>
      </c>
      <c r="D5" s="310" t="s">
        <v>5</v>
      </c>
      <c r="E5" s="311"/>
      <c r="F5" s="312" t="s">
        <v>420</v>
      </c>
      <c r="G5" s="311"/>
      <c r="H5" s="312" t="s">
        <v>421</v>
      </c>
      <c r="I5" s="311"/>
      <c r="J5" s="243" t="s">
        <v>0</v>
      </c>
      <c r="K5" s="12" t="s">
        <v>275</v>
      </c>
      <c r="L5" s="12" t="s">
        <v>276</v>
      </c>
      <c r="M5" s="12" t="s">
        <v>277</v>
      </c>
      <c r="N5" s="12" t="s">
        <v>278</v>
      </c>
      <c r="O5" s="200"/>
      <c r="P5" s="201" t="s">
        <v>545</v>
      </c>
      <c r="Q5" s="201" t="s">
        <v>525</v>
      </c>
      <c r="R5" s="200" t="s">
        <v>394</v>
      </c>
      <c r="S5" s="200"/>
    </row>
    <row r="6" spans="1:19" ht="36" customHeight="1" x14ac:dyDescent="0.2">
      <c r="A6" s="243" t="s">
        <v>0</v>
      </c>
      <c r="B6" s="243" t="s">
        <v>0</v>
      </c>
      <c r="C6" s="199" t="s">
        <v>0</v>
      </c>
      <c r="D6" s="200" t="s">
        <v>418</v>
      </c>
      <c r="E6" s="200" t="s">
        <v>419</v>
      </c>
      <c r="F6" s="200" t="s">
        <v>418</v>
      </c>
      <c r="G6" s="200" t="s">
        <v>419</v>
      </c>
      <c r="H6" s="200" t="s">
        <v>418</v>
      </c>
      <c r="I6" s="200" t="s">
        <v>419</v>
      </c>
      <c r="J6" s="243" t="s">
        <v>0</v>
      </c>
      <c r="K6" s="13"/>
      <c r="L6" s="13"/>
      <c r="M6" s="13"/>
      <c r="N6" s="13"/>
      <c r="O6" s="200"/>
      <c r="P6" s="201"/>
      <c r="Q6" s="201"/>
      <c r="R6" s="201" t="s">
        <v>395</v>
      </c>
      <c r="S6" s="201" t="s">
        <v>526</v>
      </c>
    </row>
    <row r="7" spans="1:19" ht="39.75" customHeight="1" x14ac:dyDescent="0.2">
      <c r="A7" s="243" t="s">
        <v>0</v>
      </c>
      <c r="B7" s="243" t="s">
        <v>0</v>
      </c>
      <c r="C7" s="199" t="s">
        <v>0</v>
      </c>
      <c r="D7" s="200"/>
      <c r="E7" s="201"/>
      <c r="F7" s="200"/>
      <c r="G7" s="201"/>
      <c r="H7" s="200"/>
      <c r="I7" s="201"/>
      <c r="J7" s="243" t="s">
        <v>0</v>
      </c>
      <c r="K7" s="13"/>
      <c r="L7" s="13"/>
      <c r="M7" s="13"/>
      <c r="N7" s="13"/>
      <c r="O7" s="200"/>
      <c r="P7" s="201"/>
      <c r="Q7" s="201"/>
      <c r="R7" s="200"/>
      <c r="S7" s="200"/>
    </row>
    <row r="8" spans="1:19" ht="13.5" customHeight="1" x14ac:dyDescent="0.2">
      <c r="A8" s="93" t="s">
        <v>6</v>
      </c>
      <c r="B8" s="93" t="s">
        <v>7</v>
      </c>
      <c r="C8" s="93" t="s">
        <v>8</v>
      </c>
      <c r="D8" s="95" t="s">
        <v>9</v>
      </c>
      <c r="E8" s="95" t="s">
        <v>10</v>
      </c>
      <c r="F8" s="93" t="s">
        <v>12</v>
      </c>
      <c r="G8" s="93" t="s">
        <v>13</v>
      </c>
      <c r="H8" s="93" t="s">
        <v>22</v>
      </c>
      <c r="I8" s="93" t="s">
        <v>23</v>
      </c>
      <c r="J8" s="93" t="s">
        <v>24</v>
      </c>
      <c r="K8" s="14"/>
      <c r="L8" s="14"/>
      <c r="M8" s="14"/>
      <c r="N8" s="14"/>
      <c r="O8" s="21"/>
      <c r="P8" s="146"/>
      <c r="Q8" s="147"/>
      <c r="R8" s="147"/>
      <c r="S8" s="147"/>
    </row>
    <row r="9" spans="1:19" ht="57.75" customHeight="1" x14ac:dyDescent="0.2">
      <c r="A9" s="4" t="s">
        <v>30</v>
      </c>
      <c r="B9" s="93" t="s">
        <v>31</v>
      </c>
      <c r="C9" s="93" t="s">
        <v>32</v>
      </c>
      <c r="D9" s="3"/>
      <c r="E9" s="3"/>
      <c r="F9" s="93" t="s">
        <v>0</v>
      </c>
      <c r="G9" s="93" t="s">
        <v>0</v>
      </c>
      <c r="H9" s="93" t="s">
        <v>0</v>
      </c>
      <c r="I9" s="93" t="s">
        <v>0</v>
      </c>
      <c r="J9" s="93" t="s">
        <v>0</v>
      </c>
      <c r="K9" s="14"/>
      <c r="L9" s="14"/>
      <c r="M9" s="14"/>
      <c r="N9" s="14"/>
      <c r="O9" s="108">
        <f t="shared" ref="O9" si="0">O262</f>
        <v>390105330.92000002</v>
      </c>
      <c r="P9" s="124">
        <f t="shared" ref="P9:Q9" si="1">P262</f>
        <v>378952071.86000001</v>
      </c>
      <c r="Q9" s="124">
        <f t="shared" si="1"/>
        <v>353583615.01000005</v>
      </c>
      <c r="R9" s="124">
        <f>R262</f>
        <v>320712882.35000002</v>
      </c>
      <c r="S9" s="124">
        <f>S262</f>
        <v>303357101.23000002</v>
      </c>
    </row>
    <row r="10" spans="1:19" ht="79.5" customHeight="1" x14ac:dyDescent="0.2">
      <c r="A10" s="5" t="s">
        <v>33</v>
      </c>
      <c r="B10" s="93" t="s">
        <v>34</v>
      </c>
      <c r="C10" s="93" t="s">
        <v>35</v>
      </c>
      <c r="D10" s="3"/>
      <c r="E10" s="93"/>
      <c r="F10" s="93" t="s">
        <v>0</v>
      </c>
      <c r="G10" s="93" t="s">
        <v>0</v>
      </c>
      <c r="H10" s="93" t="s">
        <v>0</v>
      </c>
      <c r="I10" s="93" t="s">
        <v>0</v>
      </c>
      <c r="J10" s="93" t="s">
        <v>0</v>
      </c>
      <c r="K10" s="14"/>
      <c r="L10" s="14"/>
      <c r="M10" s="14"/>
      <c r="N10" s="14"/>
      <c r="O10" s="109">
        <f>O11+O127</f>
        <v>195520014.76999995</v>
      </c>
      <c r="P10" s="123">
        <f>P11+P127</f>
        <v>185987275.76999998</v>
      </c>
      <c r="Q10" s="123">
        <f>Q11+Q127</f>
        <v>149851992.85000002</v>
      </c>
      <c r="R10" s="123">
        <f>R11+R127</f>
        <v>121081916.85000001</v>
      </c>
      <c r="S10" s="123">
        <f>S11+S127</f>
        <v>102083661.45</v>
      </c>
    </row>
    <row r="11" spans="1:19" ht="75.75" customHeight="1" x14ac:dyDescent="0.2">
      <c r="A11" s="6" t="s">
        <v>36</v>
      </c>
      <c r="B11" s="93" t="s">
        <v>37</v>
      </c>
      <c r="C11" s="93" t="s">
        <v>38</v>
      </c>
      <c r="D11" s="3"/>
      <c r="E11" s="93"/>
      <c r="F11" s="94" t="s">
        <v>0</v>
      </c>
      <c r="G11" s="94" t="s">
        <v>0</v>
      </c>
      <c r="H11" s="94" t="s">
        <v>0</v>
      </c>
      <c r="I11" s="94" t="s">
        <v>0</v>
      </c>
      <c r="J11" s="94" t="s">
        <v>0</v>
      </c>
      <c r="K11" s="69"/>
      <c r="L11" s="69"/>
      <c r="M11" s="69"/>
      <c r="N11" s="69"/>
      <c r="O11" s="110">
        <f>O12+O13+O14+O15+O20+O29+O41+O53+O54+O64+O72+O79+O88+O91+O98+O102+O105+O111+O116+O122</f>
        <v>189693141.36999995</v>
      </c>
      <c r="P11" s="171">
        <f>P12+P13+P14+P15+P20+P29+P41+P53+P54+P64+P72+P79+P88+P91+P98+P102+P104+P105+P111+P116+P122</f>
        <v>180160402.36999997</v>
      </c>
      <c r="Q11" s="171">
        <f>Q12+Q13+Q14+Q15+Q20+Q29+Q41+Q53+Q54+Q64+Q72+Q79+Q88+Q91+Q98+Q102+Q103+Q104+Q105+Q111+Q116+Q122</f>
        <v>143959067.85000002</v>
      </c>
      <c r="R11" s="171">
        <f>R12+R13+R14+R15+R20+R29+R41+R53+R54+R64+R72+R79+R88+R91+R98+R102+R103+R104+R105+R111+R116+R122</f>
        <v>115191016.85000001</v>
      </c>
      <c r="S11" s="171">
        <f>S12+S13+S14+S15+S20+S29+S41+S53+S54+S64+S72+S79+S88+S91+S98+S102+S103+S104+S105+S111+S116+S122</f>
        <v>96192761.450000003</v>
      </c>
    </row>
    <row r="12" spans="1:19" s="1" customFormat="1" ht="53.25" customHeight="1" x14ac:dyDescent="0.2">
      <c r="A12" s="207" t="s">
        <v>39</v>
      </c>
      <c r="B12" s="207" t="s">
        <v>40</v>
      </c>
      <c r="C12" s="207" t="s">
        <v>41</v>
      </c>
      <c r="D12" s="207" t="s">
        <v>270</v>
      </c>
      <c r="E12" s="189" t="s">
        <v>271</v>
      </c>
      <c r="F12" s="188" t="s">
        <v>430</v>
      </c>
      <c r="G12" s="188" t="s">
        <v>42</v>
      </c>
      <c r="H12" s="188" t="s">
        <v>422</v>
      </c>
      <c r="I12" s="188" t="s">
        <v>42</v>
      </c>
      <c r="J12" s="188" t="s">
        <v>17</v>
      </c>
      <c r="K12" s="91" t="s">
        <v>284</v>
      </c>
      <c r="L12" s="91" t="s">
        <v>209</v>
      </c>
      <c r="M12" s="91" t="s">
        <v>290</v>
      </c>
      <c r="N12" s="91" t="s">
        <v>291</v>
      </c>
      <c r="O12" s="111">
        <v>200000</v>
      </c>
      <c r="P12" s="111">
        <v>200000</v>
      </c>
      <c r="Q12" s="111">
        <v>130000</v>
      </c>
      <c r="R12" s="160"/>
      <c r="S12" s="160"/>
    </row>
    <row r="13" spans="1:19" s="1" customFormat="1" ht="53.25" customHeight="1" x14ac:dyDescent="0.2">
      <c r="A13" s="208"/>
      <c r="B13" s="208"/>
      <c r="C13" s="208"/>
      <c r="D13" s="208"/>
      <c r="E13" s="191"/>
      <c r="F13" s="188"/>
      <c r="G13" s="188"/>
      <c r="H13" s="188"/>
      <c r="I13" s="188"/>
      <c r="J13" s="188"/>
      <c r="K13" s="91" t="s">
        <v>289</v>
      </c>
      <c r="L13" s="91" t="s">
        <v>298</v>
      </c>
      <c r="M13" s="91" t="s">
        <v>290</v>
      </c>
      <c r="N13" s="91" t="s">
        <v>299</v>
      </c>
      <c r="O13" s="111">
        <v>800000</v>
      </c>
      <c r="P13" s="111">
        <v>0</v>
      </c>
      <c r="Q13" s="111">
        <f>1000000-130000</f>
        <v>870000</v>
      </c>
      <c r="R13" s="160"/>
      <c r="S13" s="160"/>
    </row>
    <row r="14" spans="1:19" s="1" customFormat="1" ht="120" customHeight="1" x14ac:dyDescent="0.2">
      <c r="A14" s="77" t="s">
        <v>519</v>
      </c>
      <c r="B14" s="77" t="s">
        <v>518</v>
      </c>
      <c r="C14" s="77">
        <v>1016</v>
      </c>
      <c r="D14" s="77" t="s">
        <v>270</v>
      </c>
      <c r="E14" s="78" t="s">
        <v>271</v>
      </c>
      <c r="F14" s="102" t="s">
        <v>522</v>
      </c>
      <c r="G14" s="102" t="s">
        <v>42</v>
      </c>
      <c r="H14" s="102" t="s">
        <v>523</v>
      </c>
      <c r="I14" s="102"/>
      <c r="J14" s="102"/>
      <c r="K14" s="91" t="s">
        <v>284</v>
      </c>
      <c r="L14" s="91" t="s">
        <v>520</v>
      </c>
      <c r="M14" s="91" t="s">
        <v>521</v>
      </c>
      <c r="N14" s="91" t="s">
        <v>285</v>
      </c>
      <c r="O14" s="111">
        <v>1038144</v>
      </c>
      <c r="P14" s="111">
        <v>1038144</v>
      </c>
      <c r="Q14" s="111"/>
      <c r="R14" s="160"/>
      <c r="S14" s="160"/>
    </row>
    <row r="15" spans="1:19" s="1" customFormat="1" ht="33" customHeight="1" x14ac:dyDescent="0.2">
      <c r="A15" s="207" t="s">
        <v>43</v>
      </c>
      <c r="B15" s="207" t="s">
        <v>44</v>
      </c>
      <c r="C15" s="207" t="s">
        <v>45</v>
      </c>
      <c r="D15" s="207" t="s">
        <v>270</v>
      </c>
      <c r="E15" s="207" t="s">
        <v>271</v>
      </c>
      <c r="F15" s="217" t="s">
        <v>424</v>
      </c>
      <c r="G15" s="217" t="s">
        <v>42</v>
      </c>
      <c r="H15" s="217" t="s">
        <v>499</v>
      </c>
      <c r="I15" s="217" t="s">
        <v>0</v>
      </c>
      <c r="J15" s="284" t="s">
        <v>11</v>
      </c>
      <c r="K15" s="278" t="s">
        <v>292</v>
      </c>
      <c r="L15" s="278" t="s">
        <v>47</v>
      </c>
      <c r="M15" s="90" t="s">
        <v>288</v>
      </c>
      <c r="N15" s="90" t="s">
        <v>288</v>
      </c>
      <c r="O15" s="127">
        <f>SUM(O16:O19)</f>
        <v>10375483</v>
      </c>
      <c r="P15" s="160">
        <f>SUM(P16:P19)</f>
        <v>10375483</v>
      </c>
      <c r="Q15" s="160">
        <f>SUM(Q16:Q19)</f>
        <v>10853782</v>
      </c>
      <c r="R15" s="160">
        <f>SUM(R16:R19)</f>
        <v>7377000</v>
      </c>
      <c r="S15" s="160">
        <f>SUM(S16:S19)</f>
        <v>9325461.9100000001</v>
      </c>
    </row>
    <row r="16" spans="1:19" s="9" customFormat="1" ht="33" customHeight="1" x14ac:dyDescent="0.2">
      <c r="A16" s="217"/>
      <c r="B16" s="217"/>
      <c r="C16" s="217"/>
      <c r="D16" s="217"/>
      <c r="E16" s="217"/>
      <c r="F16" s="217"/>
      <c r="G16" s="217"/>
      <c r="H16" s="217"/>
      <c r="I16" s="217"/>
      <c r="J16" s="284"/>
      <c r="K16" s="279"/>
      <c r="L16" s="279"/>
      <c r="M16" s="91" t="s">
        <v>365</v>
      </c>
      <c r="N16" s="91" t="s">
        <v>296</v>
      </c>
      <c r="O16" s="111">
        <v>9774258</v>
      </c>
      <c r="P16" s="111">
        <v>9774258</v>
      </c>
      <c r="Q16" s="111">
        <v>10446200</v>
      </c>
      <c r="R16" s="160">
        <v>7377000</v>
      </c>
      <c r="S16" s="160">
        <f>8877000+448461.91</f>
        <v>9325461.9100000001</v>
      </c>
    </row>
    <row r="17" spans="1:19" s="9" customFormat="1" ht="33" customHeight="1" x14ac:dyDescent="0.2">
      <c r="A17" s="217"/>
      <c r="B17" s="217"/>
      <c r="C17" s="217"/>
      <c r="D17" s="217"/>
      <c r="E17" s="217"/>
      <c r="F17" s="217"/>
      <c r="G17" s="217"/>
      <c r="H17" s="217"/>
      <c r="I17" s="217"/>
      <c r="J17" s="284"/>
      <c r="K17" s="279"/>
      <c r="L17" s="279"/>
      <c r="M17" s="91" t="s">
        <v>366</v>
      </c>
      <c r="N17" s="91" t="s">
        <v>297</v>
      </c>
      <c r="O17" s="111">
        <v>372328</v>
      </c>
      <c r="P17" s="111">
        <v>372328</v>
      </c>
      <c r="Q17" s="111">
        <f>165100+159082</f>
        <v>324182</v>
      </c>
      <c r="R17" s="160"/>
      <c r="S17" s="160"/>
    </row>
    <row r="18" spans="1:19" s="9" customFormat="1" ht="33" customHeight="1" x14ac:dyDescent="0.2">
      <c r="A18" s="217"/>
      <c r="B18" s="217"/>
      <c r="C18" s="217"/>
      <c r="D18" s="217"/>
      <c r="E18" s="217"/>
      <c r="F18" s="217"/>
      <c r="G18" s="217"/>
      <c r="H18" s="217"/>
      <c r="I18" s="217"/>
      <c r="J18" s="284"/>
      <c r="K18" s="279"/>
      <c r="L18" s="279"/>
      <c r="M18" s="91" t="s">
        <v>367</v>
      </c>
      <c r="N18" s="91" t="s">
        <v>297</v>
      </c>
      <c r="O18" s="111">
        <v>228897</v>
      </c>
      <c r="P18" s="111">
        <v>228897</v>
      </c>
      <c r="Q18" s="111">
        <v>83400</v>
      </c>
      <c r="R18" s="160">
        <v>0</v>
      </c>
      <c r="S18" s="160">
        <v>0</v>
      </c>
    </row>
    <row r="19" spans="1:19" s="9" customFormat="1" ht="33" customHeight="1" x14ac:dyDescent="0.2">
      <c r="A19" s="217"/>
      <c r="B19" s="217"/>
      <c r="C19" s="217"/>
      <c r="D19" s="288"/>
      <c r="E19" s="288"/>
      <c r="F19" s="288"/>
      <c r="G19" s="288"/>
      <c r="H19" s="288"/>
      <c r="I19" s="288"/>
      <c r="J19" s="319"/>
      <c r="K19" s="280"/>
      <c r="L19" s="280"/>
      <c r="M19" s="92" t="s">
        <v>300</v>
      </c>
      <c r="N19" s="36" t="s">
        <v>297</v>
      </c>
      <c r="O19" s="127"/>
      <c r="P19" s="160"/>
      <c r="Q19" s="160"/>
      <c r="R19" s="160"/>
      <c r="S19" s="160"/>
    </row>
    <row r="20" spans="1:19" s="1" customFormat="1" ht="26.45" customHeight="1" x14ac:dyDescent="0.2">
      <c r="A20" s="307" t="s">
        <v>48</v>
      </c>
      <c r="B20" s="285" t="s">
        <v>49</v>
      </c>
      <c r="C20" s="307" t="s">
        <v>50</v>
      </c>
      <c r="D20" s="285" t="s">
        <v>270</v>
      </c>
      <c r="E20" s="285" t="s">
        <v>271</v>
      </c>
      <c r="F20" s="285" t="s">
        <v>424</v>
      </c>
      <c r="G20" s="285" t="s">
        <v>42</v>
      </c>
      <c r="H20" s="285" t="s">
        <v>499</v>
      </c>
      <c r="I20" s="285" t="s">
        <v>0</v>
      </c>
      <c r="J20" s="285" t="s">
        <v>11</v>
      </c>
      <c r="K20" s="301" t="s">
        <v>292</v>
      </c>
      <c r="L20" s="301" t="s">
        <v>51</v>
      </c>
      <c r="M20" s="22" t="s">
        <v>288</v>
      </c>
      <c r="N20" s="37" t="s">
        <v>288</v>
      </c>
      <c r="O20" s="21">
        <f>SUM(O21:O28)</f>
        <v>71292305.660000011</v>
      </c>
      <c r="P20" s="21">
        <f>SUM(P21:P28)</f>
        <v>71276102.329999998</v>
      </c>
      <c r="Q20" s="21">
        <f>SUM(Q21:Q28)</f>
        <v>19857604.920000002</v>
      </c>
      <c r="R20" s="21">
        <f>SUM(R21:R28)</f>
        <v>10840702.67</v>
      </c>
      <c r="S20" s="21">
        <f>SUM(S21:S28)</f>
        <v>13310600.67</v>
      </c>
    </row>
    <row r="21" spans="1:19" s="1" customFormat="1" ht="26.45" customHeight="1" x14ac:dyDescent="0.2">
      <c r="A21" s="308"/>
      <c r="B21" s="286"/>
      <c r="C21" s="308"/>
      <c r="D21" s="286"/>
      <c r="E21" s="286"/>
      <c r="F21" s="286"/>
      <c r="G21" s="286"/>
      <c r="H21" s="286"/>
      <c r="I21" s="286"/>
      <c r="J21" s="286"/>
      <c r="K21" s="302"/>
      <c r="L21" s="302"/>
      <c r="M21" s="104" t="s">
        <v>536</v>
      </c>
      <c r="N21" s="107" t="s">
        <v>297</v>
      </c>
      <c r="O21" s="111">
        <v>225894.06</v>
      </c>
      <c r="P21" s="111">
        <v>225894.06</v>
      </c>
      <c r="Q21" s="111">
        <v>705939.2</v>
      </c>
      <c r="R21" s="21">
        <v>695908</v>
      </c>
      <c r="S21" s="21">
        <v>695908</v>
      </c>
    </row>
    <row r="22" spans="1:19" s="1" customFormat="1" ht="26.45" customHeight="1" x14ac:dyDescent="0.2">
      <c r="A22" s="308"/>
      <c r="B22" s="286"/>
      <c r="C22" s="308"/>
      <c r="D22" s="286"/>
      <c r="E22" s="286"/>
      <c r="F22" s="286"/>
      <c r="G22" s="286"/>
      <c r="H22" s="286"/>
      <c r="I22" s="286"/>
      <c r="J22" s="286"/>
      <c r="K22" s="302"/>
      <c r="L22" s="302"/>
      <c r="M22" s="91" t="s">
        <v>369</v>
      </c>
      <c r="N22" s="27" t="s">
        <v>297</v>
      </c>
      <c r="O22" s="111">
        <v>49254423.289999999</v>
      </c>
      <c r="P22" s="111">
        <v>49254423.289999999</v>
      </c>
      <c r="Q22" s="111"/>
      <c r="R22" s="160"/>
      <c r="S22" s="160"/>
    </row>
    <row r="23" spans="1:19" s="1" customFormat="1" ht="26.45" customHeight="1" x14ac:dyDescent="0.2">
      <c r="A23" s="308"/>
      <c r="B23" s="286"/>
      <c r="C23" s="308"/>
      <c r="D23" s="286"/>
      <c r="E23" s="286"/>
      <c r="F23" s="286"/>
      <c r="G23" s="286"/>
      <c r="H23" s="286"/>
      <c r="I23" s="286"/>
      <c r="J23" s="286"/>
      <c r="K23" s="302"/>
      <c r="L23" s="302"/>
      <c r="M23" s="91" t="s">
        <v>370</v>
      </c>
      <c r="N23" s="27" t="s">
        <v>297</v>
      </c>
      <c r="O23" s="111">
        <v>4383679.66</v>
      </c>
      <c r="P23" s="111">
        <v>4374426.18</v>
      </c>
      <c r="Q23" s="111">
        <v>4530960</v>
      </c>
      <c r="R23" s="160">
        <v>4259102</v>
      </c>
      <c r="S23" s="160">
        <v>4259102</v>
      </c>
    </row>
    <row r="24" spans="1:19" s="1" customFormat="1" ht="26.45" customHeight="1" x14ac:dyDescent="0.2">
      <c r="A24" s="308"/>
      <c r="B24" s="286"/>
      <c r="C24" s="308"/>
      <c r="D24" s="286"/>
      <c r="E24" s="286"/>
      <c r="F24" s="286"/>
      <c r="G24" s="286"/>
      <c r="H24" s="286"/>
      <c r="I24" s="286"/>
      <c r="J24" s="286"/>
      <c r="K24" s="302"/>
      <c r="L24" s="302"/>
      <c r="M24" s="91" t="s">
        <v>371</v>
      </c>
      <c r="N24" s="27" t="s">
        <v>296</v>
      </c>
      <c r="O24" s="111">
        <v>13265438</v>
      </c>
      <c r="P24" s="111">
        <v>13265438</v>
      </c>
      <c r="Q24" s="111">
        <v>13253612</v>
      </c>
      <c r="R24" s="160">
        <v>5459030</v>
      </c>
      <c r="S24" s="160">
        <f>6928928+1000000</f>
        <v>7928928</v>
      </c>
    </row>
    <row r="25" spans="1:19" s="1" customFormat="1" ht="26.45" customHeight="1" x14ac:dyDescent="0.2">
      <c r="A25" s="308"/>
      <c r="B25" s="286"/>
      <c r="C25" s="308"/>
      <c r="D25" s="286"/>
      <c r="E25" s="286"/>
      <c r="F25" s="286"/>
      <c r="G25" s="286"/>
      <c r="H25" s="286"/>
      <c r="I25" s="286"/>
      <c r="J25" s="286"/>
      <c r="K25" s="302"/>
      <c r="L25" s="302"/>
      <c r="M25" s="91" t="s">
        <v>366</v>
      </c>
      <c r="N25" s="27" t="s">
        <v>297</v>
      </c>
      <c r="O25" s="111">
        <v>2432629.77</v>
      </c>
      <c r="P25" s="111">
        <v>2432629.77</v>
      </c>
      <c r="Q25" s="111">
        <v>254567</v>
      </c>
      <c r="R25" s="160"/>
      <c r="S25" s="160"/>
    </row>
    <row r="26" spans="1:19" s="1" customFormat="1" ht="26.45" customHeight="1" x14ac:dyDescent="0.2">
      <c r="A26" s="308"/>
      <c r="B26" s="286"/>
      <c r="C26" s="308"/>
      <c r="D26" s="286"/>
      <c r="E26" s="286"/>
      <c r="F26" s="286"/>
      <c r="G26" s="286"/>
      <c r="H26" s="286"/>
      <c r="I26" s="286"/>
      <c r="J26" s="286"/>
      <c r="K26" s="302"/>
      <c r="L26" s="302"/>
      <c r="M26" s="91" t="s">
        <v>367</v>
      </c>
      <c r="N26" s="27" t="s">
        <v>297</v>
      </c>
      <c r="O26" s="111">
        <v>1612151.4</v>
      </c>
      <c r="P26" s="111">
        <v>1612151.03</v>
      </c>
      <c r="Q26" s="111">
        <f>944233.78-147289</f>
        <v>796944.78</v>
      </c>
      <c r="R26" s="160"/>
      <c r="S26" s="160"/>
    </row>
    <row r="27" spans="1:19" s="1" customFormat="1" ht="26.45" customHeight="1" x14ac:dyDescent="0.2">
      <c r="A27" s="308"/>
      <c r="B27" s="286"/>
      <c r="C27" s="308"/>
      <c r="D27" s="286"/>
      <c r="E27" s="286"/>
      <c r="F27" s="286"/>
      <c r="G27" s="286"/>
      <c r="H27" s="286"/>
      <c r="I27" s="286"/>
      <c r="J27" s="286"/>
      <c r="K27" s="302"/>
      <c r="L27" s="302"/>
      <c r="M27" s="125" t="s">
        <v>373</v>
      </c>
      <c r="N27" s="27" t="s">
        <v>297</v>
      </c>
      <c r="O27" s="111">
        <v>118089.48</v>
      </c>
      <c r="P27" s="111">
        <v>111140</v>
      </c>
      <c r="Q27" s="111">
        <f>5811+110408.5</f>
        <v>116219.5</v>
      </c>
      <c r="R27" s="160">
        <v>120665</v>
      </c>
      <c r="S27" s="160">
        <v>120665</v>
      </c>
    </row>
    <row r="28" spans="1:19" s="1" customFormat="1" ht="26.45" customHeight="1" x14ac:dyDescent="0.2">
      <c r="A28" s="309"/>
      <c r="B28" s="287"/>
      <c r="C28" s="309"/>
      <c r="D28" s="287"/>
      <c r="E28" s="287"/>
      <c r="F28" s="287"/>
      <c r="G28" s="287"/>
      <c r="H28" s="287"/>
      <c r="I28" s="287"/>
      <c r="J28" s="287"/>
      <c r="K28" s="303"/>
      <c r="L28" s="303"/>
      <c r="M28" s="91" t="s">
        <v>375</v>
      </c>
      <c r="N28" s="27" t="s">
        <v>297</v>
      </c>
      <c r="O28" s="111"/>
      <c r="P28" s="111"/>
      <c r="Q28" s="111">
        <f>9968.5+189393.94</f>
        <v>199362.44</v>
      </c>
      <c r="R28" s="160">
        <v>305997.67</v>
      </c>
      <c r="S28" s="160">
        <v>305997.67</v>
      </c>
    </row>
    <row r="29" spans="1:19" s="1" customFormat="1" ht="26.45" customHeight="1" x14ac:dyDescent="0.2">
      <c r="A29" s="305" t="s">
        <v>53</v>
      </c>
      <c r="B29" s="285" t="s">
        <v>54</v>
      </c>
      <c r="C29" s="306" t="s">
        <v>55</v>
      </c>
      <c r="D29" s="285" t="s">
        <v>270</v>
      </c>
      <c r="E29" s="285" t="s">
        <v>271</v>
      </c>
      <c r="F29" s="285" t="s">
        <v>424</v>
      </c>
      <c r="G29" s="285" t="s">
        <v>42</v>
      </c>
      <c r="H29" s="285" t="s">
        <v>499</v>
      </c>
      <c r="I29" s="285" t="s">
        <v>0</v>
      </c>
      <c r="J29" s="285" t="s">
        <v>11</v>
      </c>
      <c r="K29" s="301" t="s">
        <v>292</v>
      </c>
      <c r="L29" s="301" t="s">
        <v>51</v>
      </c>
      <c r="M29" s="22" t="s">
        <v>288</v>
      </c>
      <c r="N29" s="37" t="s">
        <v>288</v>
      </c>
      <c r="O29" s="127">
        <f t="shared" ref="O29" si="2">SUM(O30:O40)</f>
        <v>19254790.609999999</v>
      </c>
      <c r="P29" s="160">
        <f t="shared" ref="P29:Q29" si="3">SUM(P30:P40)</f>
        <v>18487948.919999998</v>
      </c>
      <c r="Q29" s="160">
        <f t="shared" si="3"/>
        <v>13453750.529999999</v>
      </c>
      <c r="R29" s="160">
        <f t="shared" ref="R29:S29" si="4">SUM(R30:R40)</f>
        <v>8247846.5699999994</v>
      </c>
      <c r="S29" s="160">
        <f t="shared" si="4"/>
        <v>10714567.559999999</v>
      </c>
    </row>
    <row r="30" spans="1:19" s="1" customFormat="1" ht="26.45" customHeight="1" x14ac:dyDescent="0.2">
      <c r="A30" s="305"/>
      <c r="B30" s="286"/>
      <c r="C30" s="306"/>
      <c r="D30" s="286"/>
      <c r="E30" s="286"/>
      <c r="F30" s="286"/>
      <c r="G30" s="286"/>
      <c r="H30" s="286"/>
      <c r="I30" s="286"/>
      <c r="J30" s="286"/>
      <c r="K30" s="302"/>
      <c r="L30" s="302"/>
      <c r="M30" s="104" t="s">
        <v>536</v>
      </c>
      <c r="N30" s="107" t="s">
        <v>297</v>
      </c>
      <c r="O30" s="111">
        <v>108678.28</v>
      </c>
      <c r="P30" s="111">
        <v>108678.28</v>
      </c>
      <c r="Q30" s="111">
        <v>352969.59</v>
      </c>
      <c r="R30" s="160">
        <v>347954.88</v>
      </c>
      <c r="S30" s="160">
        <v>347954.88</v>
      </c>
    </row>
    <row r="31" spans="1:19" s="1" customFormat="1" ht="26.45" customHeight="1" x14ac:dyDescent="0.2">
      <c r="A31" s="305"/>
      <c r="B31" s="286"/>
      <c r="C31" s="306"/>
      <c r="D31" s="286"/>
      <c r="E31" s="286"/>
      <c r="F31" s="286"/>
      <c r="G31" s="286"/>
      <c r="H31" s="286"/>
      <c r="I31" s="286"/>
      <c r="J31" s="286"/>
      <c r="K31" s="302"/>
      <c r="L31" s="302"/>
      <c r="M31" s="91" t="s">
        <v>368</v>
      </c>
      <c r="N31" s="91" t="s">
        <v>297</v>
      </c>
      <c r="O31" s="111">
        <v>2574341</v>
      </c>
      <c r="P31" s="111">
        <v>2574341</v>
      </c>
      <c r="Q31" s="111"/>
      <c r="R31" s="160"/>
      <c r="S31" s="160"/>
    </row>
    <row r="32" spans="1:19" s="23" customFormat="1" ht="26.45" customHeight="1" x14ac:dyDescent="0.2">
      <c r="A32" s="305"/>
      <c r="B32" s="286"/>
      <c r="C32" s="306"/>
      <c r="D32" s="286"/>
      <c r="E32" s="286"/>
      <c r="F32" s="286"/>
      <c r="G32" s="286"/>
      <c r="H32" s="286"/>
      <c r="I32" s="286"/>
      <c r="J32" s="286"/>
      <c r="K32" s="302"/>
      <c r="L32" s="302"/>
      <c r="M32" s="91" t="s">
        <v>370</v>
      </c>
      <c r="N32" s="91" t="s">
        <v>297</v>
      </c>
      <c r="O32" s="111">
        <v>2987200.34</v>
      </c>
      <c r="P32" s="111">
        <v>2982714.06</v>
      </c>
      <c r="Q32" s="111">
        <f>7812000-4530960</f>
        <v>3281040</v>
      </c>
      <c r="R32" s="160">
        <f>7343280-4259102</f>
        <v>3084178</v>
      </c>
      <c r="S32" s="160">
        <f>7343280-4259102</f>
        <v>3084178</v>
      </c>
    </row>
    <row r="33" spans="1:19" s="23" customFormat="1" ht="26.45" customHeight="1" x14ac:dyDescent="0.2">
      <c r="A33" s="305"/>
      <c r="B33" s="286"/>
      <c r="C33" s="306"/>
      <c r="D33" s="286"/>
      <c r="E33" s="286"/>
      <c r="F33" s="286"/>
      <c r="G33" s="286"/>
      <c r="H33" s="286"/>
      <c r="I33" s="286"/>
      <c r="J33" s="286"/>
      <c r="K33" s="302"/>
      <c r="L33" s="302"/>
      <c r="M33" s="91" t="s">
        <v>371</v>
      </c>
      <c r="N33" s="91" t="s">
        <v>296</v>
      </c>
      <c r="O33" s="111">
        <v>8628737</v>
      </c>
      <c r="P33" s="111">
        <v>8628737</v>
      </c>
      <c r="Q33" s="111">
        <v>9331978</v>
      </c>
      <c r="R33" s="160">
        <f>3825670+563381.01</f>
        <v>4389051.01</v>
      </c>
      <c r="S33" s="160">
        <f>4855772+2000000</f>
        <v>6855772</v>
      </c>
    </row>
    <row r="34" spans="1:19" s="23" customFormat="1" ht="26.45" customHeight="1" x14ac:dyDescent="0.2">
      <c r="A34" s="305"/>
      <c r="B34" s="286"/>
      <c r="C34" s="306"/>
      <c r="D34" s="286"/>
      <c r="E34" s="286"/>
      <c r="F34" s="286"/>
      <c r="G34" s="286"/>
      <c r="H34" s="286"/>
      <c r="I34" s="286"/>
      <c r="J34" s="286"/>
      <c r="K34" s="302"/>
      <c r="L34" s="302"/>
      <c r="M34" s="91" t="s">
        <v>366</v>
      </c>
      <c r="N34" s="91" t="s">
        <v>297</v>
      </c>
      <c r="O34" s="111">
        <v>490195.23</v>
      </c>
      <c r="P34" s="111">
        <v>490195.23</v>
      </c>
      <c r="Q34" s="111">
        <f>6892+147289</f>
        <v>154181</v>
      </c>
      <c r="R34" s="160"/>
      <c r="S34" s="160"/>
    </row>
    <row r="35" spans="1:19" s="23" customFormat="1" ht="26.45" customHeight="1" x14ac:dyDescent="0.2">
      <c r="A35" s="305"/>
      <c r="B35" s="286"/>
      <c r="C35" s="306"/>
      <c r="D35" s="286"/>
      <c r="E35" s="286"/>
      <c r="F35" s="286"/>
      <c r="G35" s="286"/>
      <c r="H35" s="286"/>
      <c r="I35" s="286"/>
      <c r="J35" s="286"/>
      <c r="K35" s="302"/>
      <c r="L35" s="302"/>
      <c r="M35" s="91" t="s">
        <v>367</v>
      </c>
      <c r="N35" s="91" t="s">
        <v>297</v>
      </c>
      <c r="O35" s="111">
        <v>513075.6</v>
      </c>
      <c r="P35" s="111">
        <v>513075.6</v>
      </c>
      <c r="Q35" s="111">
        <v>18000</v>
      </c>
      <c r="R35" s="160"/>
      <c r="S35" s="160"/>
    </row>
    <row r="36" spans="1:19" s="23" customFormat="1" ht="26.45" customHeight="1" x14ac:dyDescent="0.2">
      <c r="A36" s="305"/>
      <c r="B36" s="286"/>
      <c r="C36" s="306"/>
      <c r="D36" s="286"/>
      <c r="E36" s="286"/>
      <c r="F36" s="286"/>
      <c r="G36" s="286"/>
      <c r="H36" s="286"/>
      <c r="I36" s="286"/>
      <c r="J36" s="286"/>
      <c r="K36" s="302"/>
      <c r="L36" s="302"/>
      <c r="M36" s="91" t="s">
        <v>372</v>
      </c>
      <c r="N36" s="27" t="s">
        <v>297</v>
      </c>
      <c r="O36" s="111">
        <v>670000</v>
      </c>
      <c r="P36" s="111">
        <v>669000</v>
      </c>
      <c r="Q36" s="111"/>
      <c r="R36" s="160"/>
      <c r="S36" s="160"/>
    </row>
    <row r="37" spans="1:19" s="23" customFormat="1" ht="26.45" customHeight="1" x14ac:dyDescent="0.2">
      <c r="A37" s="305"/>
      <c r="B37" s="286"/>
      <c r="C37" s="306"/>
      <c r="D37" s="286"/>
      <c r="E37" s="286"/>
      <c r="F37" s="286"/>
      <c r="G37" s="286"/>
      <c r="H37" s="286"/>
      <c r="I37" s="286"/>
      <c r="J37" s="286"/>
      <c r="K37" s="302"/>
      <c r="L37" s="302"/>
      <c r="M37" s="91" t="s">
        <v>301</v>
      </c>
      <c r="N37" s="91" t="s">
        <v>297</v>
      </c>
      <c r="O37" s="111"/>
      <c r="P37" s="111"/>
      <c r="Q37" s="111"/>
      <c r="R37" s="160"/>
      <c r="S37" s="160"/>
    </row>
    <row r="38" spans="1:19" s="23" customFormat="1" ht="26.45" customHeight="1" x14ac:dyDescent="0.2">
      <c r="A38" s="305"/>
      <c r="B38" s="286"/>
      <c r="C38" s="306"/>
      <c r="D38" s="286"/>
      <c r="E38" s="286"/>
      <c r="F38" s="286"/>
      <c r="G38" s="286"/>
      <c r="H38" s="286"/>
      <c r="I38" s="286"/>
      <c r="J38" s="286"/>
      <c r="K38" s="302"/>
      <c r="L38" s="302"/>
      <c r="M38" s="91" t="s">
        <v>374</v>
      </c>
      <c r="N38" s="91" t="s">
        <v>297</v>
      </c>
      <c r="O38" s="111">
        <v>3000000</v>
      </c>
      <c r="P38" s="111">
        <v>2280662.0699999998</v>
      </c>
      <c r="Q38" s="111"/>
      <c r="R38" s="160"/>
      <c r="S38" s="160"/>
    </row>
    <row r="39" spans="1:19" s="1" customFormat="1" ht="26.45" customHeight="1" x14ac:dyDescent="0.2">
      <c r="A39" s="305"/>
      <c r="B39" s="286"/>
      <c r="C39" s="306"/>
      <c r="D39" s="286"/>
      <c r="E39" s="286"/>
      <c r="F39" s="286"/>
      <c r="G39" s="286"/>
      <c r="H39" s="286"/>
      <c r="I39" s="286"/>
      <c r="J39" s="286"/>
      <c r="K39" s="302"/>
      <c r="L39" s="302"/>
      <c r="M39" s="91" t="s">
        <v>373</v>
      </c>
      <c r="N39" s="27" t="s">
        <v>297</v>
      </c>
      <c r="O39" s="111">
        <v>118089.48</v>
      </c>
      <c r="P39" s="111">
        <v>76072</v>
      </c>
      <c r="Q39" s="111">
        <f>232439-116219.5</f>
        <v>116219.5</v>
      </c>
      <c r="R39" s="160">
        <v>120665</v>
      </c>
      <c r="S39" s="160">
        <v>120665</v>
      </c>
    </row>
    <row r="40" spans="1:19" s="23" customFormat="1" ht="26.45" customHeight="1" x14ac:dyDescent="0.2">
      <c r="A40" s="305"/>
      <c r="B40" s="287"/>
      <c r="C40" s="306"/>
      <c r="D40" s="287"/>
      <c r="E40" s="287"/>
      <c r="F40" s="287"/>
      <c r="G40" s="287"/>
      <c r="H40" s="287"/>
      <c r="I40" s="287"/>
      <c r="J40" s="287"/>
      <c r="K40" s="303"/>
      <c r="L40" s="303"/>
      <c r="M40" s="91" t="s">
        <v>375</v>
      </c>
      <c r="N40" s="27" t="s">
        <v>297</v>
      </c>
      <c r="O40" s="111">
        <v>164473.68</v>
      </c>
      <c r="P40" s="111">
        <v>164473.68</v>
      </c>
      <c r="Q40" s="111">
        <f>398724.88-199362.44</f>
        <v>199362.44</v>
      </c>
      <c r="R40" s="160">
        <v>305997.68</v>
      </c>
      <c r="S40" s="160">
        <v>305997.68</v>
      </c>
    </row>
    <row r="41" spans="1:19" s="1" customFormat="1" ht="26.45" customHeight="1" x14ac:dyDescent="0.2">
      <c r="A41" s="326" t="s">
        <v>56</v>
      </c>
      <c r="B41" s="323" t="s">
        <v>57</v>
      </c>
      <c r="C41" s="320" t="s">
        <v>58</v>
      </c>
      <c r="D41" s="188" t="s">
        <v>270</v>
      </c>
      <c r="E41" s="188" t="s">
        <v>271</v>
      </c>
      <c r="F41" s="304" t="s">
        <v>424</v>
      </c>
      <c r="G41" s="268" t="s">
        <v>42</v>
      </c>
      <c r="H41" s="218" t="s">
        <v>501</v>
      </c>
      <c r="I41" s="268" t="s">
        <v>0</v>
      </c>
      <c r="J41" s="268" t="s">
        <v>11</v>
      </c>
      <c r="K41" s="101" t="s">
        <v>288</v>
      </c>
      <c r="L41" s="101" t="s">
        <v>305</v>
      </c>
      <c r="M41" s="101" t="s">
        <v>288</v>
      </c>
      <c r="N41" s="38" t="s">
        <v>288</v>
      </c>
      <c r="O41" s="25">
        <f>SUM(O42:O49)</f>
        <v>20283241.16</v>
      </c>
      <c r="P41" s="25">
        <f>SUM(P42:P52)</f>
        <v>20283241.16</v>
      </c>
      <c r="Q41" s="25">
        <f>SUM(Q42:Q52)</f>
        <v>20345706</v>
      </c>
      <c r="R41" s="25">
        <f>SUM(R42:R52)</f>
        <v>14573200</v>
      </c>
      <c r="S41" s="25">
        <f>SUM(S42:S52)</f>
        <v>14773200</v>
      </c>
    </row>
    <row r="42" spans="1:19" s="1" customFormat="1" ht="26.45" customHeight="1" x14ac:dyDescent="0.2">
      <c r="A42" s="327"/>
      <c r="B42" s="324"/>
      <c r="C42" s="321"/>
      <c r="D42" s="188"/>
      <c r="E42" s="188"/>
      <c r="F42" s="257"/>
      <c r="G42" s="217"/>
      <c r="H42" s="228"/>
      <c r="I42" s="217"/>
      <c r="J42" s="217"/>
      <c r="K42" s="193" t="s">
        <v>284</v>
      </c>
      <c r="L42" s="193" t="s">
        <v>59</v>
      </c>
      <c r="M42" s="15" t="s">
        <v>377</v>
      </c>
      <c r="N42" s="15" t="s">
        <v>296</v>
      </c>
      <c r="O42" s="111">
        <v>7340298</v>
      </c>
      <c r="P42" s="111">
        <v>7340298</v>
      </c>
      <c r="Q42" s="111">
        <f>8188000</f>
        <v>8188000</v>
      </c>
      <c r="R42" s="160">
        <f>7522200+665800</f>
        <v>8188000</v>
      </c>
      <c r="S42" s="160">
        <f>7522200+665800</f>
        <v>8188000</v>
      </c>
    </row>
    <row r="43" spans="1:19" s="1" customFormat="1" ht="26.45" customHeight="1" x14ac:dyDescent="0.2">
      <c r="A43" s="327"/>
      <c r="B43" s="324"/>
      <c r="C43" s="321"/>
      <c r="D43" s="188"/>
      <c r="E43" s="188"/>
      <c r="F43" s="257"/>
      <c r="G43" s="217"/>
      <c r="H43" s="228"/>
      <c r="I43" s="217"/>
      <c r="J43" s="217"/>
      <c r="K43" s="219"/>
      <c r="L43" s="219"/>
      <c r="M43" s="15" t="s">
        <v>376</v>
      </c>
      <c r="N43" s="15" t="s">
        <v>297</v>
      </c>
      <c r="O43" s="111">
        <v>5742330</v>
      </c>
      <c r="P43" s="111">
        <v>5742330</v>
      </c>
      <c r="Q43" s="111"/>
      <c r="R43" s="160"/>
      <c r="S43" s="160"/>
    </row>
    <row r="44" spans="1:19" s="1" customFormat="1" ht="26.45" customHeight="1" x14ac:dyDescent="0.2">
      <c r="A44" s="327"/>
      <c r="B44" s="324"/>
      <c r="C44" s="321"/>
      <c r="D44" s="188"/>
      <c r="E44" s="188"/>
      <c r="F44" s="257"/>
      <c r="G44" s="217"/>
      <c r="H44" s="228"/>
      <c r="I44" s="217"/>
      <c r="J44" s="217"/>
      <c r="K44" s="219"/>
      <c r="L44" s="219"/>
      <c r="M44" s="15" t="s">
        <v>378</v>
      </c>
      <c r="N44" s="15" t="s">
        <v>297</v>
      </c>
      <c r="O44" s="127">
        <v>82247</v>
      </c>
      <c r="P44" s="160">
        <v>82247</v>
      </c>
      <c r="Q44" s="160">
        <f>12600+778817</f>
        <v>791417</v>
      </c>
      <c r="R44" s="160"/>
      <c r="S44" s="160"/>
    </row>
    <row r="45" spans="1:19" s="1" customFormat="1" ht="26.45" customHeight="1" x14ac:dyDescent="0.2">
      <c r="A45" s="327"/>
      <c r="B45" s="324"/>
      <c r="C45" s="321"/>
      <c r="D45" s="188"/>
      <c r="E45" s="188"/>
      <c r="F45" s="257"/>
      <c r="G45" s="217"/>
      <c r="H45" s="228"/>
      <c r="I45" s="217"/>
      <c r="J45" s="217"/>
      <c r="K45" s="194"/>
      <c r="L45" s="194"/>
      <c r="M45" s="15" t="s">
        <v>379</v>
      </c>
      <c r="N45" s="15" t="s">
        <v>297</v>
      </c>
      <c r="O45" s="127">
        <v>48117</v>
      </c>
      <c r="P45" s="160">
        <v>48117</v>
      </c>
      <c r="Q45" s="160">
        <v>1080000</v>
      </c>
      <c r="R45" s="160"/>
      <c r="S45" s="160"/>
    </row>
    <row r="46" spans="1:19" s="1" customFormat="1" ht="26.45" customHeight="1" x14ac:dyDescent="0.2">
      <c r="A46" s="327"/>
      <c r="B46" s="324"/>
      <c r="C46" s="321"/>
      <c r="D46" s="188" t="s">
        <v>423</v>
      </c>
      <c r="E46" s="188" t="s">
        <v>42</v>
      </c>
      <c r="F46" s="257"/>
      <c r="G46" s="217"/>
      <c r="H46" s="228"/>
      <c r="I46" s="217"/>
      <c r="J46" s="217"/>
      <c r="K46" s="196" t="s">
        <v>292</v>
      </c>
      <c r="L46" s="196" t="s">
        <v>59</v>
      </c>
      <c r="M46" s="15" t="s">
        <v>380</v>
      </c>
      <c r="N46" s="15" t="s">
        <v>296</v>
      </c>
      <c r="O46" s="127">
        <v>6681419</v>
      </c>
      <c r="P46" s="160">
        <v>6681419</v>
      </c>
      <c r="Q46" s="160">
        <f>7050990-2710209</f>
        <v>4340781</v>
      </c>
      <c r="R46" s="160">
        <f>5885200+500000-5885200-500000</f>
        <v>0</v>
      </c>
      <c r="S46" s="160">
        <f>5885200+700000-5885200-700000</f>
        <v>0</v>
      </c>
    </row>
    <row r="47" spans="1:19" s="1" customFormat="1" ht="26.45" customHeight="1" x14ac:dyDescent="0.2">
      <c r="A47" s="327"/>
      <c r="B47" s="324"/>
      <c r="C47" s="321"/>
      <c r="D47" s="188"/>
      <c r="E47" s="188"/>
      <c r="F47" s="257"/>
      <c r="G47" s="217"/>
      <c r="H47" s="228"/>
      <c r="I47" s="217"/>
      <c r="J47" s="217"/>
      <c r="K47" s="258"/>
      <c r="L47" s="258"/>
      <c r="M47" s="15" t="s">
        <v>366</v>
      </c>
      <c r="N47" s="15" t="s">
        <v>297</v>
      </c>
      <c r="O47" s="127">
        <v>121040</v>
      </c>
      <c r="P47" s="160">
        <v>121040</v>
      </c>
      <c r="Q47" s="160">
        <f>46500+2466529-575007.2</f>
        <v>1938021.8</v>
      </c>
      <c r="R47" s="160"/>
      <c r="S47" s="160"/>
    </row>
    <row r="48" spans="1:19" s="1" customFormat="1" ht="26.45" customHeight="1" x14ac:dyDescent="0.2">
      <c r="A48" s="327"/>
      <c r="B48" s="324"/>
      <c r="C48" s="321"/>
      <c r="D48" s="188"/>
      <c r="E48" s="188"/>
      <c r="F48" s="257"/>
      <c r="G48" s="217"/>
      <c r="H48" s="228"/>
      <c r="I48" s="217"/>
      <c r="J48" s="217"/>
      <c r="K48" s="258"/>
      <c r="L48" s="258"/>
      <c r="M48" s="15" t="s">
        <v>367</v>
      </c>
      <c r="N48" s="15" t="s">
        <v>297</v>
      </c>
      <c r="O48" s="127">
        <f>4000+80667</f>
        <v>84667</v>
      </c>
      <c r="P48" s="160">
        <f>4000+80667</f>
        <v>84667</v>
      </c>
      <c r="Q48" s="160">
        <f>600422-1422</f>
        <v>599000</v>
      </c>
      <c r="R48" s="160"/>
      <c r="S48" s="160"/>
    </row>
    <row r="49" spans="1:19" s="1" customFormat="1" ht="26.45" customHeight="1" x14ac:dyDescent="0.2">
      <c r="A49" s="327"/>
      <c r="B49" s="324"/>
      <c r="C49" s="321"/>
      <c r="D49" s="188"/>
      <c r="E49" s="188"/>
      <c r="F49" s="212"/>
      <c r="G49" s="208"/>
      <c r="H49" s="228"/>
      <c r="I49" s="208"/>
      <c r="J49" s="208"/>
      <c r="K49" s="197"/>
      <c r="L49" s="197"/>
      <c r="M49" s="15" t="s">
        <v>381</v>
      </c>
      <c r="N49" s="15" t="s">
        <v>297</v>
      </c>
      <c r="O49" s="127">
        <f>10660+173967-1503.84</f>
        <v>183123.16</v>
      </c>
      <c r="P49" s="160">
        <f>10660+173967-1503.84</f>
        <v>183123.16</v>
      </c>
      <c r="Q49" s="160">
        <v>0</v>
      </c>
      <c r="R49" s="160"/>
      <c r="S49" s="160"/>
    </row>
    <row r="50" spans="1:19" s="1" customFormat="1" ht="26.45" customHeight="1" x14ac:dyDescent="0.2">
      <c r="A50" s="327"/>
      <c r="B50" s="324"/>
      <c r="C50" s="321"/>
      <c r="D50" s="188" t="s">
        <v>565</v>
      </c>
      <c r="E50" s="188" t="s">
        <v>42</v>
      </c>
      <c r="F50" s="298"/>
      <c r="G50" s="207"/>
      <c r="H50" s="228"/>
      <c r="I50" s="207"/>
      <c r="J50" s="207"/>
      <c r="K50" s="196" t="s">
        <v>292</v>
      </c>
      <c r="L50" s="329" t="s">
        <v>566</v>
      </c>
      <c r="M50" s="15" t="s">
        <v>380</v>
      </c>
      <c r="N50" s="15" t="s">
        <v>296</v>
      </c>
      <c r="O50" s="186">
        <v>6681419</v>
      </c>
      <c r="P50" s="186"/>
      <c r="Q50" s="186">
        <v>2710209</v>
      </c>
      <c r="R50" s="186">
        <f>5885200+500000</f>
        <v>6385200</v>
      </c>
      <c r="S50" s="186">
        <f>5885200+700000</f>
        <v>6585200</v>
      </c>
    </row>
    <row r="51" spans="1:19" s="1" customFormat="1" ht="26.45" customHeight="1" x14ac:dyDescent="0.2">
      <c r="A51" s="327"/>
      <c r="B51" s="324"/>
      <c r="C51" s="321"/>
      <c r="D51" s="188"/>
      <c r="E51" s="188"/>
      <c r="F51" s="299"/>
      <c r="G51" s="217"/>
      <c r="H51" s="228"/>
      <c r="I51" s="217"/>
      <c r="J51" s="217"/>
      <c r="K51" s="258"/>
      <c r="L51" s="330"/>
      <c r="M51" s="15" t="s">
        <v>366</v>
      </c>
      <c r="N51" s="15" t="s">
        <v>297</v>
      </c>
      <c r="O51" s="186">
        <v>121040</v>
      </c>
      <c r="P51" s="186"/>
      <c r="Q51" s="186">
        <v>568519.31000000006</v>
      </c>
      <c r="R51" s="186"/>
      <c r="S51" s="186"/>
    </row>
    <row r="52" spans="1:19" s="1" customFormat="1" ht="26.45" customHeight="1" x14ac:dyDescent="0.2">
      <c r="A52" s="328"/>
      <c r="B52" s="325"/>
      <c r="C52" s="322"/>
      <c r="D52" s="188"/>
      <c r="E52" s="188"/>
      <c r="F52" s="300"/>
      <c r="G52" s="208"/>
      <c r="H52" s="216"/>
      <c r="I52" s="208"/>
      <c r="J52" s="208"/>
      <c r="K52" s="197"/>
      <c r="L52" s="331"/>
      <c r="M52" s="15" t="s">
        <v>381</v>
      </c>
      <c r="N52" s="15" t="s">
        <v>297</v>
      </c>
      <c r="O52" s="186">
        <f>10660+173967-1503.84</f>
        <v>183123.16</v>
      </c>
      <c r="P52" s="186"/>
      <c r="Q52" s="186">
        <v>129757.89</v>
      </c>
      <c r="R52" s="186"/>
      <c r="S52" s="186"/>
    </row>
    <row r="53" spans="1:19" s="1" customFormat="1" ht="74.25" customHeight="1" x14ac:dyDescent="0.2">
      <c r="A53" s="40" t="s">
        <v>60</v>
      </c>
      <c r="B53" s="102" t="s">
        <v>61</v>
      </c>
      <c r="C53" s="102" t="s">
        <v>62</v>
      </c>
      <c r="D53" s="132" t="s">
        <v>270</v>
      </c>
      <c r="E53" s="136" t="s">
        <v>271</v>
      </c>
      <c r="F53" s="97" t="s">
        <v>431</v>
      </c>
      <c r="G53" s="97" t="s">
        <v>42</v>
      </c>
      <c r="H53" s="97" t="s">
        <v>500</v>
      </c>
      <c r="I53" s="97" t="s">
        <v>0</v>
      </c>
      <c r="J53" s="97" t="s">
        <v>11</v>
      </c>
      <c r="K53" s="15" t="s">
        <v>292</v>
      </c>
      <c r="L53" s="15" t="s">
        <v>51</v>
      </c>
      <c r="M53" s="15" t="s">
        <v>364</v>
      </c>
      <c r="N53" s="15" t="s">
        <v>297</v>
      </c>
      <c r="O53" s="127">
        <f>332280+191700</f>
        <v>523980</v>
      </c>
      <c r="P53" s="160">
        <f>332280+191700</f>
        <v>523980</v>
      </c>
      <c r="Q53" s="160">
        <v>587880</v>
      </c>
      <c r="R53" s="160">
        <v>587880</v>
      </c>
      <c r="S53" s="160">
        <v>587880</v>
      </c>
    </row>
    <row r="54" spans="1:19" s="1" customFormat="1" ht="34.5" customHeight="1" x14ac:dyDescent="0.2">
      <c r="A54" s="188" t="s">
        <v>63</v>
      </c>
      <c r="B54" s="188" t="s">
        <v>64</v>
      </c>
      <c r="C54" s="188" t="s">
        <v>65</v>
      </c>
      <c r="D54" s="188" t="s">
        <v>270</v>
      </c>
      <c r="E54" s="188" t="s">
        <v>271</v>
      </c>
      <c r="F54" s="211" t="s">
        <v>424</v>
      </c>
      <c r="G54" s="207" t="s">
        <v>42</v>
      </c>
      <c r="H54" s="207" t="s">
        <v>502</v>
      </c>
      <c r="I54" s="207" t="s">
        <v>0</v>
      </c>
      <c r="J54" s="207" t="s">
        <v>11</v>
      </c>
      <c r="K54" s="15" t="s">
        <v>292</v>
      </c>
      <c r="L54" s="15" t="s">
        <v>66</v>
      </c>
      <c r="M54" s="15" t="s">
        <v>287</v>
      </c>
      <c r="N54" s="15" t="s">
        <v>288</v>
      </c>
      <c r="O54" s="127">
        <f t="shared" ref="O54" si="5">SUM(O55:O63)</f>
        <v>17876447</v>
      </c>
      <c r="P54" s="160">
        <f t="shared" ref="P54:Q54" si="6">SUM(P55:P63)</f>
        <v>17805911.420000002</v>
      </c>
      <c r="Q54" s="160">
        <f t="shared" si="6"/>
        <v>19156600</v>
      </c>
      <c r="R54" s="160">
        <f t="shared" ref="R54:S54" si="7">SUM(R55:R63)</f>
        <v>18489000</v>
      </c>
      <c r="S54" s="160">
        <f t="shared" si="7"/>
        <v>18461500</v>
      </c>
    </row>
    <row r="55" spans="1:19" s="1" customFormat="1" ht="34.5" customHeight="1" x14ac:dyDescent="0.2">
      <c r="A55" s="188"/>
      <c r="B55" s="188"/>
      <c r="C55" s="188"/>
      <c r="D55" s="188"/>
      <c r="E55" s="188"/>
      <c r="F55" s="257"/>
      <c r="G55" s="217"/>
      <c r="H55" s="217"/>
      <c r="I55" s="217"/>
      <c r="J55" s="217"/>
      <c r="K55" s="193" t="s">
        <v>292</v>
      </c>
      <c r="L55" s="193" t="s">
        <v>66</v>
      </c>
      <c r="M55" s="193" t="s">
        <v>363</v>
      </c>
      <c r="N55" s="20" t="s">
        <v>28</v>
      </c>
      <c r="O55" s="127">
        <v>12951465.51</v>
      </c>
      <c r="P55" s="160">
        <v>12943416.220000001</v>
      </c>
      <c r="Q55" s="160">
        <v>13894300</v>
      </c>
      <c r="R55" s="160">
        <v>13894300</v>
      </c>
      <c r="S55" s="160">
        <v>13894300</v>
      </c>
    </row>
    <row r="56" spans="1:19" s="1" customFormat="1" ht="34.5" customHeight="1" x14ac:dyDescent="0.2">
      <c r="A56" s="188"/>
      <c r="B56" s="188"/>
      <c r="C56" s="188"/>
      <c r="D56" s="188"/>
      <c r="E56" s="188"/>
      <c r="F56" s="257"/>
      <c r="G56" s="217"/>
      <c r="H56" s="217"/>
      <c r="I56" s="217"/>
      <c r="J56" s="217"/>
      <c r="K56" s="219"/>
      <c r="L56" s="219"/>
      <c r="M56" s="219"/>
      <c r="N56" s="20" t="s">
        <v>315</v>
      </c>
      <c r="O56" s="127">
        <v>3820030.49</v>
      </c>
      <c r="P56" s="160">
        <v>3819424.85</v>
      </c>
      <c r="Q56" s="160">
        <v>4139800</v>
      </c>
      <c r="R56" s="160">
        <v>4139800</v>
      </c>
      <c r="S56" s="160">
        <v>4139800</v>
      </c>
    </row>
    <row r="57" spans="1:19" s="1" customFormat="1" ht="34.5" customHeight="1" x14ac:dyDescent="0.2">
      <c r="A57" s="188"/>
      <c r="B57" s="188"/>
      <c r="C57" s="188"/>
      <c r="D57" s="188"/>
      <c r="E57" s="188"/>
      <c r="F57" s="257"/>
      <c r="G57" s="217"/>
      <c r="H57" s="217"/>
      <c r="I57" s="217"/>
      <c r="J57" s="217"/>
      <c r="K57" s="219"/>
      <c r="L57" s="219"/>
      <c r="M57" s="219"/>
      <c r="N57" s="20" t="s">
        <v>285</v>
      </c>
      <c r="O57" s="127">
        <v>1083800</v>
      </c>
      <c r="P57" s="160">
        <v>1022272.5</v>
      </c>
      <c r="Q57" s="160">
        <v>1099400</v>
      </c>
      <c r="R57" s="158">
        <v>442500</v>
      </c>
      <c r="S57" s="158">
        <v>415000</v>
      </c>
    </row>
    <row r="58" spans="1:19" s="1" customFormat="1" ht="34.5" customHeight="1" x14ac:dyDescent="0.2">
      <c r="A58" s="188"/>
      <c r="B58" s="188"/>
      <c r="C58" s="188"/>
      <c r="D58" s="299" t="s">
        <v>423</v>
      </c>
      <c r="E58" s="217" t="s">
        <v>42</v>
      </c>
      <c r="F58" s="217"/>
      <c r="G58" s="217"/>
      <c r="H58" s="217"/>
      <c r="I58" s="217"/>
      <c r="J58" s="217"/>
      <c r="K58" s="219"/>
      <c r="L58" s="219"/>
      <c r="M58" s="219"/>
      <c r="N58" s="20" t="s">
        <v>319</v>
      </c>
      <c r="O58" s="127">
        <v>500</v>
      </c>
      <c r="P58" s="160">
        <v>157.38999999999999</v>
      </c>
      <c r="Q58" s="160">
        <v>500</v>
      </c>
      <c r="R58" s="158">
        <v>400</v>
      </c>
      <c r="S58" s="158">
        <v>400</v>
      </c>
    </row>
    <row r="59" spans="1:19" s="1" customFormat="1" ht="34.5" customHeight="1" x14ac:dyDescent="0.2">
      <c r="A59" s="188"/>
      <c r="B59" s="188"/>
      <c r="C59" s="188"/>
      <c r="D59" s="299"/>
      <c r="E59" s="217"/>
      <c r="F59" s="217"/>
      <c r="G59" s="217"/>
      <c r="H59" s="217"/>
      <c r="I59" s="217"/>
      <c r="J59" s="217"/>
      <c r="K59" s="219"/>
      <c r="L59" s="219"/>
      <c r="M59" s="219"/>
      <c r="N59" s="20" t="s">
        <v>284</v>
      </c>
      <c r="O59" s="127">
        <v>5980</v>
      </c>
      <c r="P59" s="160">
        <v>5970</v>
      </c>
      <c r="Q59" s="160">
        <v>10500</v>
      </c>
      <c r="R59" s="158">
        <v>6000</v>
      </c>
      <c r="S59" s="158">
        <v>6000</v>
      </c>
    </row>
    <row r="60" spans="1:19" s="1" customFormat="1" ht="34.5" customHeight="1" x14ac:dyDescent="0.2">
      <c r="A60" s="188"/>
      <c r="B60" s="188"/>
      <c r="C60" s="188"/>
      <c r="D60" s="299"/>
      <c r="E60" s="217"/>
      <c r="F60" s="217"/>
      <c r="G60" s="217"/>
      <c r="H60" s="217"/>
      <c r="I60" s="217"/>
      <c r="J60" s="217"/>
      <c r="K60" s="219"/>
      <c r="L60" s="219"/>
      <c r="M60" s="219"/>
      <c r="N60" s="15" t="s">
        <v>292</v>
      </c>
      <c r="O60" s="127">
        <v>14486.54</v>
      </c>
      <c r="P60" s="160">
        <v>14486</v>
      </c>
      <c r="Q60" s="160">
        <v>12100</v>
      </c>
      <c r="R60" s="160">
        <v>6000</v>
      </c>
      <c r="S60" s="160">
        <v>6000</v>
      </c>
    </row>
    <row r="61" spans="1:19" s="1" customFormat="1" ht="34.5" customHeight="1" x14ac:dyDescent="0.2">
      <c r="A61" s="188"/>
      <c r="B61" s="188"/>
      <c r="C61" s="188"/>
      <c r="D61" s="299"/>
      <c r="E61" s="217"/>
      <c r="F61" s="217"/>
      <c r="G61" s="217"/>
      <c r="H61" s="217"/>
      <c r="I61" s="217"/>
      <c r="J61" s="217"/>
      <c r="K61" s="219"/>
      <c r="L61" s="219"/>
      <c r="M61" s="194"/>
      <c r="N61" s="15" t="s">
        <v>289</v>
      </c>
      <c r="O61" s="127">
        <v>184.46</v>
      </c>
      <c r="P61" s="160">
        <v>184.46</v>
      </c>
      <c r="Q61" s="160"/>
      <c r="R61" s="160"/>
      <c r="S61" s="160"/>
    </row>
    <row r="62" spans="1:19" s="1" customFormat="1" ht="34.5" customHeight="1" x14ac:dyDescent="0.2">
      <c r="A62" s="188"/>
      <c r="B62" s="188"/>
      <c r="C62" s="188"/>
      <c r="D62" s="299"/>
      <c r="E62" s="217"/>
      <c r="F62" s="217"/>
      <c r="G62" s="217"/>
      <c r="H62" s="217"/>
      <c r="I62" s="217"/>
      <c r="J62" s="217"/>
      <c r="K62" s="219"/>
      <c r="L62" s="219"/>
      <c r="M62" s="193" t="s">
        <v>322</v>
      </c>
      <c r="N62" s="15" t="s">
        <v>28</v>
      </c>
      <c r="O62" s="127"/>
      <c r="P62" s="160"/>
      <c r="Q62" s="160"/>
      <c r="R62" s="160"/>
      <c r="S62" s="160"/>
    </row>
    <row r="63" spans="1:19" s="1" customFormat="1" ht="34.5" customHeight="1" x14ac:dyDescent="0.2">
      <c r="A63" s="188"/>
      <c r="B63" s="188"/>
      <c r="C63" s="188"/>
      <c r="D63" s="299"/>
      <c r="E63" s="208"/>
      <c r="F63" s="208"/>
      <c r="G63" s="208"/>
      <c r="H63" s="208"/>
      <c r="I63" s="208"/>
      <c r="J63" s="208"/>
      <c r="K63" s="194"/>
      <c r="L63" s="194"/>
      <c r="M63" s="194"/>
      <c r="N63" s="15" t="s">
        <v>315</v>
      </c>
      <c r="O63" s="127"/>
      <c r="P63" s="160"/>
      <c r="Q63" s="160"/>
      <c r="R63" s="160"/>
      <c r="S63" s="160"/>
    </row>
    <row r="64" spans="1:19" s="1" customFormat="1" ht="51" customHeight="1" x14ac:dyDescent="0.2">
      <c r="A64" s="268" t="s">
        <v>67</v>
      </c>
      <c r="B64" s="217" t="s">
        <v>68</v>
      </c>
      <c r="C64" s="190" t="s">
        <v>69</v>
      </c>
      <c r="D64" s="285" t="s">
        <v>70</v>
      </c>
      <c r="E64" s="298" t="s">
        <v>42</v>
      </c>
      <c r="F64" s="207" t="s">
        <v>504</v>
      </c>
      <c r="G64" s="207" t="s">
        <v>42</v>
      </c>
      <c r="H64" s="207" t="s">
        <v>503</v>
      </c>
      <c r="I64" s="207" t="s">
        <v>42</v>
      </c>
      <c r="J64" s="207" t="s">
        <v>6</v>
      </c>
      <c r="K64" s="15" t="s">
        <v>284</v>
      </c>
      <c r="L64" s="15" t="s">
        <v>305</v>
      </c>
      <c r="M64" s="15" t="s">
        <v>287</v>
      </c>
      <c r="N64" s="15" t="s">
        <v>288</v>
      </c>
      <c r="O64" s="127">
        <f>SUM(O65:O71)</f>
        <v>881079.25</v>
      </c>
      <c r="P64" s="160">
        <f>SUM(P65:P71)</f>
        <v>881079.25</v>
      </c>
      <c r="Q64" s="160">
        <f>SUM(Q65:Q71)</f>
        <v>1387462.53</v>
      </c>
      <c r="R64" s="160">
        <f>SUM(R65:R71)</f>
        <v>395119.83999999997</v>
      </c>
      <c r="S64" s="160">
        <f>SUM(S65:S71)</f>
        <v>3061423.19</v>
      </c>
    </row>
    <row r="65" spans="1:19" s="1" customFormat="1" ht="51" customHeight="1" x14ac:dyDescent="0.2">
      <c r="A65" s="217"/>
      <c r="B65" s="217"/>
      <c r="C65" s="190"/>
      <c r="D65" s="286"/>
      <c r="E65" s="299"/>
      <c r="F65" s="217"/>
      <c r="G65" s="217"/>
      <c r="H65" s="217"/>
      <c r="I65" s="217"/>
      <c r="J65" s="217"/>
      <c r="K65" s="151" t="s">
        <v>284</v>
      </c>
      <c r="L65" s="151" t="s">
        <v>152</v>
      </c>
      <c r="M65" s="70" t="s">
        <v>392</v>
      </c>
      <c r="N65" s="70" t="s">
        <v>285</v>
      </c>
      <c r="O65" s="167">
        <v>463139.8</v>
      </c>
      <c r="P65" s="167">
        <v>463139.8</v>
      </c>
      <c r="Q65" s="167">
        <v>579500</v>
      </c>
      <c r="R65" s="160"/>
      <c r="S65" s="160"/>
    </row>
    <row r="66" spans="1:19" s="1" customFormat="1" ht="51" customHeight="1" x14ac:dyDescent="0.2">
      <c r="A66" s="217"/>
      <c r="B66" s="217"/>
      <c r="C66" s="190"/>
      <c r="D66" s="286"/>
      <c r="E66" s="299"/>
      <c r="F66" s="217"/>
      <c r="G66" s="217"/>
      <c r="H66" s="217"/>
      <c r="I66" s="217"/>
      <c r="J66" s="190"/>
      <c r="K66" s="149" t="s">
        <v>284</v>
      </c>
      <c r="L66" s="149" t="s">
        <v>152</v>
      </c>
      <c r="M66" s="149" t="s">
        <v>558</v>
      </c>
      <c r="N66" s="149" t="s">
        <v>285</v>
      </c>
      <c r="O66" s="111"/>
      <c r="P66" s="111"/>
      <c r="Q66" s="111">
        <v>630100</v>
      </c>
      <c r="R66" s="160"/>
      <c r="S66" s="160"/>
    </row>
    <row r="67" spans="1:19" s="1" customFormat="1" ht="51" customHeight="1" x14ac:dyDescent="0.2">
      <c r="A67" s="217"/>
      <c r="B67" s="217"/>
      <c r="C67" s="190"/>
      <c r="D67" s="286"/>
      <c r="E67" s="299"/>
      <c r="F67" s="217"/>
      <c r="G67" s="217"/>
      <c r="H67" s="217"/>
      <c r="I67" s="217"/>
      <c r="J67" s="217"/>
      <c r="K67" s="152" t="s">
        <v>284</v>
      </c>
      <c r="L67" s="168" t="s">
        <v>111</v>
      </c>
      <c r="M67" s="148" t="s">
        <v>390</v>
      </c>
      <c r="N67" s="148" t="s">
        <v>292</v>
      </c>
      <c r="O67" s="169">
        <v>55100</v>
      </c>
      <c r="P67" s="169">
        <v>55100</v>
      </c>
      <c r="Q67" s="169">
        <v>46343</v>
      </c>
      <c r="R67" s="111">
        <v>46343</v>
      </c>
      <c r="S67" s="111">
        <v>46343</v>
      </c>
    </row>
    <row r="68" spans="1:19" s="1" customFormat="1" ht="51" customHeight="1" x14ac:dyDescent="0.2">
      <c r="A68" s="217"/>
      <c r="B68" s="217"/>
      <c r="C68" s="190"/>
      <c r="D68" s="286"/>
      <c r="E68" s="299"/>
      <c r="F68" s="217"/>
      <c r="G68" s="217"/>
      <c r="H68" s="217"/>
      <c r="I68" s="217"/>
      <c r="J68" s="217"/>
      <c r="K68" s="134" t="s">
        <v>284</v>
      </c>
      <c r="L68" s="31" t="s">
        <v>94</v>
      </c>
      <c r="M68" s="130" t="s">
        <v>529</v>
      </c>
      <c r="N68" s="131"/>
      <c r="O68" s="111"/>
      <c r="P68" s="111"/>
      <c r="Q68" s="111"/>
      <c r="R68" s="111">
        <f>346181.05+2595.79</f>
        <v>348776.83999999997</v>
      </c>
      <c r="S68" s="111">
        <v>3015080.19</v>
      </c>
    </row>
    <row r="69" spans="1:19" s="1" customFormat="1" ht="51" customHeight="1" x14ac:dyDescent="0.2">
      <c r="A69" s="217"/>
      <c r="B69" s="217"/>
      <c r="C69" s="190"/>
      <c r="D69" s="286"/>
      <c r="E69" s="299"/>
      <c r="F69" s="217"/>
      <c r="G69" s="217"/>
      <c r="H69" s="217"/>
      <c r="I69" s="217"/>
      <c r="J69" s="217"/>
      <c r="K69" s="103" t="s">
        <v>284</v>
      </c>
      <c r="L69" s="31" t="s">
        <v>259</v>
      </c>
      <c r="M69" s="105" t="s">
        <v>326</v>
      </c>
      <c r="N69" s="106" t="s">
        <v>285</v>
      </c>
      <c r="O69" s="111">
        <v>257460.75</v>
      </c>
      <c r="P69" s="111">
        <v>257460.75</v>
      </c>
      <c r="Q69" s="111">
        <v>131519.53</v>
      </c>
      <c r="R69" s="160"/>
      <c r="S69" s="160"/>
    </row>
    <row r="70" spans="1:19" s="1" customFormat="1" ht="51" customHeight="1" x14ac:dyDescent="0.2">
      <c r="A70" s="217"/>
      <c r="B70" s="217"/>
      <c r="C70" s="190"/>
      <c r="D70" s="286"/>
      <c r="E70" s="299"/>
      <c r="F70" s="217"/>
      <c r="G70" s="217"/>
      <c r="H70" s="217"/>
      <c r="I70" s="217"/>
      <c r="J70" s="217"/>
      <c r="K70" s="103" t="s">
        <v>284</v>
      </c>
      <c r="L70" s="31" t="s">
        <v>259</v>
      </c>
      <c r="M70" s="105" t="s">
        <v>326</v>
      </c>
      <c r="N70" s="106" t="s">
        <v>524</v>
      </c>
      <c r="O70" s="111">
        <v>5378.7</v>
      </c>
      <c r="P70" s="111">
        <v>5378.7</v>
      </c>
      <c r="Q70" s="111"/>
      <c r="R70" s="160"/>
      <c r="S70" s="160"/>
    </row>
    <row r="71" spans="1:19" s="1" customFormat="1" ht="51" customHeight="1" x14ac:dyDescent="0.2">
      <c r="A71" s="208"/>
      <c r="B71" s="208"/>
      <c r="C71" s="191"/>
      <c r="D71" s="287"/>
      <c r="E71" s="300"/>
      <c r="F71" s="208"/>
      <c r="G71" s="208"/>
      <c r="H71" s="208"/>
      <c r="I71" s="208"/>
      <c r="J71" s="208"/>
      <c r="K71" s="70" t="s">
        <v>284</v>
      </c>
      <c r="L71" s="31" t="s">
        <v>259</v>
      </c>
      <c r="M71" s="91" t="s">
        <v>326</v>
      </c>
      <c r="N71" s="92" t="s">
        <v>289</v>
      </c>
      <c r="O71" s="111">
        <v>100000</v>
      </c>
      <c r="P71" s="111">
        <v>100000</v>
      </c>
      <c r="Q71" s="111"/>
      <c r="R71" s="160"/>
      <c r="S71" s="160"/>
    </row>
    <row r="72" spans="1:19" s="1" customFormat="1" ht="26.45" customHeight="1" x14ac:dyDescent="0.2">
      <c r="A72" s="209" t="s">
        <v>71</v>
      </c>
      <c r="B72" s="207" t="s">
        <v>72</v>
      </c>
      <c r="C72" s="210" t="s">
        <v>73</v>
      </c>
      <c r="D72" s="268" t="s">
        <v>270</v>
      </c>
      <c r="E72" s="207" t="s">
        <v>271</v>
      </c>
      <c r="F72" s="207" t="s">
        <v>74</v>
      </c>
      <c r="G72" s="207" t="s">
        <v>42</v>
      </c>
      <c r="H72" s="207" t="s">
        <v>435</v>
      </c>
      <c r="I72" s="207" t="s">
        <v>42</v>
      </c>
      <c r="J72" s="215" t="s">
        <v>12</v>
      </c>
      <c r="K72" s="297" t="s">
        <v>284</v>
      </c>
      <c r="L72" s="297" t="s">
        <v>75</v>
      </c>
      <c r="M72" s="41" t="s">
        <v>288</v>
      </c>
      <c r="N72" s="24" t="s">
        <v>288</v>
      </c>
      <c r="O72" s="25">
        <f t="shared" ref="O72" si="8">SUM(O73:O78)</f>
        <v>11163300.699999999</v>
      </c>
      <c r="P72" s="25">
        <f t="shared" ref="P72:Q72" si="9">SUM(P73:P78)</f>
        <v>11163300.699999999</v>
      </c>
      <c r="Q72" s="25">
        <f t="shared" si="9"/>
        <v>10073840</v>
      </c>
      <c r="R72" s="25">
        <f t="shared" ref="R72:S72" si="10">SUM(R73:R78)</f>
        <v>8761076</v>
      </c>
      <c r="S72" s="25">
        <f t="shared" si="10"/>
        <v>8958005</v>
      </c>
    </row>
    <row r="73" spans="1:19" s="1" customFormat="1" ht="26.45" customHeight="1" x14ac:dyDescent="0.2">
      <c r="A73" s="209"/>
      <c r="B73" s="217"/>
      <c r="C73" s="210"/>
      <c r="D73" s="217"/>
      <c r="E73" s="217"/>
      <c r="F73" s="217"/>
      <c r="G73" s="217"/>
      <c r="H73" s="217"/>
      <c r="I73" s="217"/>
      <c r="J73" s="228"/>
      <c r="K73" s="297"/>
      <c r="L73" s="297"/>
      <c r="M73" s="292" t="s">
        <v>354</v>
      </c>
      <c r="N73" s="90" t="s">
        <v>296</v>
      </c>
      <c r="O73" s="111">
        <v>8293400</v>
      </c>
      <c r="P73" s="111">
        <v>8293400</v>
      </c>
      <c r="Q73" s="111">
        <f>9014800</f>
        <v>9014800</v>
      </c>
      <c r="R73" s="160">
        <f>8184000+500000</f>
        <v>8684000</v>
      </c>
      <c r="S73" s="160">
        <f>8184000+700000</f>
        <v>8884000</v>
      </c>
    </row>
    <row r="74" spans="1:19" s="1" customFormat="1" ht="26.45" customHeight="1" x14ac:dyDescent="0.2">
      <c r="A74" s="209"/>
      <c r="B74" s="217"/>
      <c r="C74" s="210"/>
      <c r="D74" s="217"/>
      <c r="E74" s="217"/>
      <c r="F74" s="217"/>
      <c r="G74" s="217"/>
      <c r="H74" s="217"/>
      <c r="I74" s="217"/>
      <c r="J74" s="228"/>
      <c r="K74" s="297"/>
      <c r="L74" s="297"/>
      <c r="M74" s="293"/>
      <c r="N74" s="91" t="s">
        <v>297</v>
      </c>
      <c r="O74" s="111">
        <v>2603775.7000000002</v>
      </c>
      <c r="P74" s="111">
        <v>2603775.7000000002</v>
      </c>
      <c r="Q74" s="111">
        <v>276249</v>
      </c>
      <c r="R74" s="160"/>
      <c r="S74" s="160"/>
    </row>
    <row r="75" spans="1:19" s="1" customFormat="1" ht="26.45" customHeight="1" x14ac:dyDescent="0.2">
      <c r="A75" s="209"/>
      <c r="B75" s="217"/>
      <c r="C75" s="210"/>
      <c r="D75" s="217"/>
      <c r="E75" s="208"/>
      <c r="F75" s="217"/>
      <c r="G75" s="217"/>
      <c r="H75" s="217"/>
      <c r="I75" s="217"/>
      <c r="J75" s="228"/>
      <c r="K75" s="297"/>
      <c r="L75" s="297"/>
      <c r="M75" s="15" t="s">
        <v>517</v>
      </c>
      <c r="N75" s="15" t="s">
        <v>297</v>
      </c>
      <c r="O75" s="111">
        <v>70000</v>
      </c>
      <c r="P75" s="111">
        <v>70000</v>
      </c>
      <c r="Q75" s="111">
        <v>705715</v>
      </c>
      <c r="R75" s="160"/>
      <c r="S75" s="160"/>
    </row>
    <row r="76" spans="1:19" s="1" customFormat="1" ht="34.5" customHeight="1" x14ac:dyDescent="0.2">
      <c r="A76" s="209"/>
      <c r="B76" s="217"/>
      <c r="C76" s="210"/>
      <c r="D76" s="283" t="s">
        <v>425</v>
      </c>
      <c r="E76" s="207" t="s">
        <v>42</v>
      </c>
      <c r="F76" s="217"/>
      <c r="G76" s="217"/>
      <c r="H76" s="217" t="s">
        <v>436</v>
      </c>
      <c r="I76" s="217"/>
      <c r="J76" s="228"/>
      <c r="K76" s="297"/>
      <c r="L76" s="297"/>
      <c r="M76" s="15" t="s">
        <v>352</v>
      </c>
      <c r="N76" s="15" t="s">
        <v>297</v>
      </c>
      <c r="O76" s="111">
        <v>107458</v>
      </c>
      <c r="P76" s="111">
        <v>107458</v>
      </c>
      <c r="Q76" s="111"/>
      <c r="R76" s="160"/>
      <c r="S76" s="160"/>
    </row>
    <row r="77" spans="1:19" s="1" customFormat="1" ht="34.5" customHeight="1" x14ac:dyDescent="0.2">
      <c r="A77" s="209"/>
      <c r="B77" s="217"/>
      <c r="C77" s="210"/>
      <c r="D77" s="283"/>
      <c r="E77" s="217"/>
      <c r="F77" s="217"/>
      <c r="G77" s="217"/>
      <c r="H77" s="295"/>
      <c r="I77" s="217"/>
      <c r="J77" s="228"/>
      <c r="K77" s="297"/>
      <c r="L77" s="297"/>
      <c r="M77" s="15" t="s">
        <v>302</v>
      </c>
      <c r="N77" s="15" t="s">
        <v>297</v>
      </c>
      <c r="O77" s="127"/>
      <c r="P77" s="160"/>
      <c r="Q77" s="160"/>
      <c r="R77" s="160"/>
      <c r="S77" s="160"/>
    </row>
    <row r="78" spans="1:19" s="1" customFormat="1" ht="34.5" customHeight="1" x14ac:dyDescent="0.2">
      <c r="A78" s="209"/>
      <c r="B78" s="208"/>
      <c r="C78" s="210"/>
      <c r="D78" s="294"/>
      <c r="E78" s="208"/>
      <c r="F78" s="208"/>
      <c r="G78" s="208"/>
      <c r="H78" s="296"/>
      <c r="I78" s="208"/>
      <c r="J78" s="216"/>
      <c r="K78" s="297"/>
      <c r="L78" s="297"/>
      <c r="M78" s="19" t="s">
        <v>353</v>
      </c>
      <c r="N78" s="71" t="s">
        <v>297</v>
      </c>
      <c r="O78" s="127">
        <v>88667</v>
      </c>
      <c r="P78" s="160">
        <v>88667</v>
      </c>
      <c r="Q78" s="160">
        <f>77099-23</f>
        <v>77076</v>
      </c>
      <c r="R78" s="160">
        <f>77099-23</f>
        <v>77076</v>
      </c>
      <c r="S78" s="160">
        <f>74005</f>
        <v>74005</v>
      </c>
    </row>
    <row r="79" spans="1:19" s="1" customFormat="1" ht="26.45" customHeight="1" x14ac:dyDescent="0.2">
      <c r="A79" s="209" t="s">
        <v>76</v>
      </c>
      <c r="B79" s="207" t="s">
        <v>77</v>
      </c>
      <c r="C79" s="210" t="s">
        <v>78</v>
      </c>
      <c r="D79" s="207" t="s">
        <v>270</v>
      </c>
      <c r="E79" s="207" t="s">
        <v>271</v>
      </c>
      <c r="F79" s="207" t="s">
        <v>79</v>
      </c>
      <c r="G79" s="207" t="s">
        <v>42</v>
      </c>
      <c r="H79" s="207" t="s">
        <v>505</v>
      </c>
      <c r="I79" s="207" t="s">
        <v>42</v>
      </c>
      <c r="J79" s="215" t="s">
        <v>12</v>
      </c>
      <c r="K79" s="289" t="s">
        <v>284</v>
      </c>
      <c r="L79" s="289" t="s">
        <v>75</v>
      </c>
      <c r="M79" s="16" t="s">
        <v>288</v>
      </c>
      <c r="N79" s="16" t="s">
        <v>288</v>
      </c>
      <c r="O79" s="25">
        <f>SUM(O81:O87)</f>
        <v>8457072</v>
      </c>
      <c r="P79" s="25">
        <f>SUM(P81:P87)</f>
        <v>8457072</v>
      </c>
      <c r="Q79" s="25">
        <f>SUM(Q80:Q87)</f>
        <v>10558458</v>
      </c>
      <c r="R79" s="25">
        <f t="shared" ref="R79:S79" si="11">SUM(R80:R87)</f>
        <v>13928567.969999999</v>
      </c>
      <c r="S79" s="25">
        <f t="shared" si="11"/>
        <v>6902600.8399999999</v>
      </c>
    </row>
    <row r="80" spans="1:19" s="1" customFormat="1" ht="26.45" customHeight="1" x14ac:dyDescent="0.2">
      <c r="A80" s="209"/>
      <c r="B80" s="217"/>
      <c r="C80" s="210"/>
      <c r="D80" s="217"/>
      <c r="E80" s="217"/>
      <c r="F80" s="217"/>
      <c r="G80" s="217"/>
      <c r="H80" s="217"/>
      <c r="I80" s="217"/>
      <c r="J80" s="228"/>
      <c r="K80" s="290"/>
      <c r="L80" s="290"/>
      <c r="M80" s="15" t="s">
        <v>352</v>
      </c>
      <c r="N80" s="15" t="s">
        <v>297</v>
      </c>
      <c r="O80" s="156"/>
      <c r="P80" s="160"/>
      <c r="Q80" s="160">
        <v>107458</v>
      </c>
      <c r="R80" s="160"/>
      <c r="S80" s="160"/>
    </row>
    <row r="81" spans="1:19" s="1" customFormat="1" ht="26.45" customHeight="1" x14ac:dyDescent="0.2">
      <c r="A81" s="209"/>
      <c r="B81" s="217"/>
      <c r="C81" s="210"/>
      <c r="D81" s="217"/>
      <c r="E81" s="217"/>
      <c r="F81" s="217"/>
      <c r="G81" s="217"/>
      <c r="H81" s="217"/>
      <c r="I81" s="217"/>
      <c r="J81" s="228"/>
      <c r="K81" s="290"/>
      <c r="L81" s="290"/>
      <c r="M81" s="193" t="s">
        <v>349</v>
      </c>
      <c r="N81" s="15" t="s">
        <v>296</v>
      </c>
      <c r="O81" s="111">
        <v>7549576</v>
      </c>
      <c r="P81" s="111">
        <v>7549576</v>
      </c>
      <c r="Q81" s="111">
        <v>8746000</v>
      </c>
      <c r="R81" s="160">
        <f>6902600-881.03</f>
        <v>6901718.9699999997</v>
      </c>
      <c r="S81" s="160">
        <f>6902600+0.84</f>
        <v>6902600.8399999999</v>
      </c>
    </row>
    <row r="82" spans="1:19" s="1" customFormat="1" ht="26.45" customHeight="1" x14ac:dyDescent="0.2">
      <c r="A82" s="209"/>
      <c r="B82" s="217"/>
      <c r="C82" s="210"/>
      <c r="D82" s="217"/>
      <c r="E82" s="217"/>
      <c r="F82" s="217"/>
      <c r="G82" s="217"/>
      <c r="H82" s="217"/>
      <c r="I82" s="217"/>
      <c r="J82" s="228"/>
      <c r="K82" s="290"/>
      <c r="L82" s="290"/>
      <c r="M82" s="194"/>
      <c r="N82" s="15" t="s">
        <v>297</v>
      </c>
      <c r="O82" s="111">
        <v>50000</v>
      </c>
      <c r="P82" s="111">
        <v>50000</v>
      </c>
      <c r="Q82" s="111"/>
      <c r="R82" s="160"/>
      <c r="S82" s="160"/>
    </row>
    <row r="83" spans="1:19" s="1" customFormat="1" ht="26.45" customHeight="1" x14ac:dyDescent="0.2">
      <c r="A83" s="209"/>
      <c r="B83" s="217"/>
      <c r="C83" s="210"/>
      <c r="D83" s="208"/>
      <c r="E83" s="208"/>
      <c r="F83" s="217"/>
      <c r="G83" s="217"/>
      <c r="H83" s="217"/>
      <c r="I83" s="217"/>
      <c r="J83" s="228"/>
      <c r="K83" s="290"/>
      <c r="L83" s="290"/>
      <c r="M83" s="15" t="s">
        <v>350</v>
      </c>
      <c r="N83" s="15" t="s">
        <v>285</v>
      </c>
      <c r="O83" s="111">
        <v>83136</v>
      </c>
      <c r="P83" s="111">
        <v>83136</v>
      </c>
      <c r="Q83" s="111">
        <v>145000</v>
      </c>
      <c r="R83" s="160"/>
      <c r="S83" s="160"/>
    </row>
    <row r="84" spans="1:19" s="1" customFormat="1" ht="26.45" customHeight="1" x14ac:dyDescent="0.2">
      <c r="A84" s="209"/>
      <c r="B84" s="217"/>
      <c r="C84" s="210"/>
      <c r="D84" s="282" t="s">
        <v>426</v>
      </c>
      <c r="E84" s="269" t="s">
        <v>42</v>
      </c>
      <c r="F84" s="217"/>
      <c r="G84" s="217"/>
      <c r="H84" s="217"/>
      <c r="I84" s="217"/>
      <c r="J84" s="228"/>
      <c r="K84" s="290"/>
      <c r="L84" s="290"/>
      <c r="M84" s="15" t="s">
        <v>350</v>
      </c>
      <c r="N84" s="15" t="s">
        <v>297</v>
      </c>
      <c r="O84" s="111">
        <v>774360</v>
      </c>
      <c r="P84" s="111">
        <v>774360</v>
      </c>
      <c r="Q84" s="111">
        <v>1560000</v>
      </c>
      <c r="R84" s="160"/>
      <c r="S84" s="160"/>
    </row>
    <row r="85" spans="1:19" s="1" customFormat="1" ht="26.45" customHeight="1" x14ac:dyDescent="0.2">
      <c r="A85" s="209"/>
      <c r="B85" s="217"/>
      <c r="C85" s="210"/>
      <c r="D85" s="283"/>
      <c r="E85" s="270"/>
      <c r="F85" s="217"/>
      <c r="G85" s="217"/>
      <c r="H85" s="217"/>
      <c r="I85" s="217"/>
      <c r="J85" s="228"/>
      <c r="K85" s="290"/>
      <c r="L85" s="290"/>
      <c r="M85" s="15" t="s">
        <v>351</v>
      </c>
      <c r="N85" s="15" t="s">
        <v>297</v>
      </c>
      <c r="O85" s="141"/>
      <c r="P85" s="160"/>
      <c r="Q85" s="160"/>
      <c r="R85" s="160">
        <v>3690077</v>
      </c>
      <c r="S85" s="160"/>
    </row>
    <row r="86" spans="1:19" s="1" customFormat="1" ht="26.45" customHeight="1" x14ac:dyDescent="0.2">
      <c r="A86" s="209"/>
      <c r="B86" s="217"/>
      <c r="C86" s="210"/>
      <c r="D86" s="283"/>
      <c r="E86" s="270"/>
      <c r="F86" s="217"/>
      <c r="G86" s="217"/>
      <c r="H86" s="217"/>
      <c r="I86" s="217"/>
      <c r="J86" s="228"/>
      <c r="K86" s="290"/>
      <c r="L86" s="290"/>
      <c r="M86" s="15" t="s">
        <v>534</v>
      </c>
      <c r="N86" s="15" t="s">
        <v>297</v>
      </c>
      <c r="O86" s="141"/>
      <c r="P86" s="160"/>
      <c r="Q86" s="160"/>
      <c r="R86" s="160">
        <v>3336772</v>
      </c>
      <c r="S86" s="160"/>
    </row>
    <row r="87" spans="1:19" s="1" customFormat="1" ht="26.45" customHeight="1" x14ac:dyDescent="0.2">
      <c r="A87" s="209"/>
      <c r="B87" s="288"/>
      <c r="C87" s="210"/>
      <c r="D87" s="283"/>
      <c r="E87" s="270"/>
      <c r="F87" s="288"/>
      <c r="G87" s="288"/>
      <c r="H87" s="288"/>
      <c r="I87" s="288"/>
      <c r="J87" s="241"/>
      <c r="K87" s="291"/>
      <c r="L87" s="291"/>
      <c r="M87" s="15" t="s">
        <v>303</v>
      </c>
      <c r="N87" s="15" t="s">
        <v>297</v>
      </c>
      <c r="O87" s="141"/>
      <c r="P87" s="160"/>
      <c r="Q87" s="160"/>
      <c r="R87" s="160"/>
      <c r="S87" s="160"/>
    </row>
    <row r="88" spans="1:19" s="1" customFormat="1" ht="36.75" customHeight="1" x14ac:dyDescent="0.2">
      <c r="A88" s="222" t="s">
        <v>80</v>
      </c>
      <c r="B88" s="285" t="s">
        <v>81</v>
      </c>
      <c r="C88" s="285" t="s">
        <v>82</v>
      </c>
      <c r="D88" s="40" t="s">
        <v>270</v>
      </c>
      <c r="E88" s="102" t="s">
        <v>271</v>
      </c>
      <c r="F88" s="285" t="s">
        <v>506</v>
      </c>
      <c r="G88" s="285" t="s">
        <v>42</v>
      </c>
      <c r="H88" s="285" t="s">
        <v>467</v>
      </c>
      <c r="I88" s="285" t="s">
        <v>42</v>
      </c>
      <c r="J88" s="285" t="s">
        <v>12</v>
      </c>
      <c r="K88" s="280" t="s">
        <v>284</v>
      </c>
      <c r="L88" s="24" t="s">
        <v>305</v>
      </c>
      <c r="M88" s="24" t="s">
        <v>288</v>
      </c>
      <c r="N88" s="24" t="s">
        <v>288</v>
      </c>
      <c r="O88" s="25">
        <f t="shared" ref="O88" si="12">O89+O90</f>
        <v>209203</v>
      </c>
      <c r="P88" s="25">
        <f t="shared" ref="P88:Q88" si="13">P89+P90</f>
        <v>209203</v>
      </c>
      <c r="Q88" s="25">
        <f t="shared" si="13"/>
        <v>4249596.8599999994</v>
      </c>
      <c r="R88" s="25">
        <f t="shared" ref="R88:S88" si="14">R89+R90</f>
        <v>1215316</v>
      </c>
      <c r="S88" s="25">
        <f t="shared" si="14"/>
        <v>0</v>
      </c>
    </row>
    <row r="89" spans="1:19" s="1" customFormat="1" ht="36.75" customHeight="1" x14ac:dyDescent="0.2">
      <c r="A89" s="284"/>
      <c r="B89" s="286"/>
      <c r="C89" s="286"/>
      <c r="D89" s="188" t="s">
        <v>427</v>
      </c>
      <c r="E89" s="188" t="s">
        <v>42</v>
      </c>
      <c r="F89" s="286"/>
      <c r="G89" s="286"/>
      <c r="H89" s="286"/>
      <c r="I89" s="286"/>
      <c r="J89" s="286"/>
      <c r="K89" s="281"/>
      <c r="L89" s="130" t="s">
        <v>304</v>
      </c>
      <c r="M89" s="130" t="s">
        <v>416</v>
      </c>
      <c r="N89" s="130" t="s">
        <v>285</v>
      </c>
      <c r="O89" s="141"/>
      <c r="P89" s="160"/>
      <c r="Q89" s="160">
        <v>3917761.86</v>
      </c>
      <c r="R89" s="160">
        <f>1199814.05+15501.95</f>
        <v>1215316</v>
      </c>
      <c r="S89" s="160"/>
    </row>
    <row r="90" spans="1:19" s="1" customFormat="1" ht="36.75" customHeight="1" x14ac:dyDescent="0.2">
      <c r="A90" s="223"/>
      <c r="B90" s="287"/>
      <c r="C90" s="287"/>
      <c r="D90" s="188"/>
      <c r="E90" s="188"/>
      <c r="F90" s="287"/>
      <c r="G90" s="287"/>
      <c r="H90" s="287"/>
      <c r="I90" s="287"/>
      <c r="J90" s="287"/>
      <c r="K90" s="278"/>
      <c r="L90" s="130" t="s">
        <v>75</v>
      </c>
      <c r="M90" s="130" t="s">
        <v>348</v>
      </c>
      <c r="N90" s="130" t="s">
        <v>285</v>
      </c>
      <c r="O90" s="141">
        <v>209203</v>
      </c>
      <c r="P90" s="160">
        <v>209203</v>
      </c>
      <c r="Q90" s="160">
        <v>331835</v>
      </c>
      <c r="R90" s="160"/>
      <c r="S90" s="160"/>
    </row>
    <row r="91" spans="1:19" s="1" customFormat="1" ht="26.45" customHeight="1" x14ac:dyDescent="0.2">
      <c r="A91" s="242" t="s">
        <v>83</v>
      </c>
      <c r="B91" s="228" t="s">
        <v>84</v>
      </c>
      <c r="C91" s="206" t="s">
        <v>85</v>
      </c>
      <c r="D91" s="268" t="s">
        <v>270</v>
      </c>
      <c r="E91" s="268" t="s">
        <v>271</v>
      </c>
      <c r="F91" s="268" t="s">
        <v>428</v>
      </c>
      <c r="G91" s="268" t="s">
        <v>42</v>
      </c>
      <c r="H91" s="268" t="s">
        <v>507</v>
      </c>
      <c r="I91" s="268" t="s">
        <v>42</v>
      </c>
      <c r="J91" s="268" t="s">
        <v>16</v>
      </c>
      <c r="K91" s="278" t="s">
        <v>284</v>
      </c>
      <c r="L91" s="280" t="s">
        <v>86</v>
      </c>
      <c r="M91" s="28" t="s">
        <v>287</v>
      </c>
      <c r="N91" s="135" t="s">
        <v>288</v>
      </c>
      <c r="O91" s="141">
        <f>SUM(O92:O97)</f>
        <v>478300</v>
      </c>
      <c r="P91" s="160">
        <f>SUM(P92:P97)</f>
        <v>478300</v>
      </c>
      <c r="Q91" s="160">
        <f>SUM(Q92:Q97)</f>
        <v>411500</v>
      </c>
      <c r="R91" s="160">
        <f>SUM(R92:R97)</f>
        <v>0</v>
      </c>
      <c r="S91" s="160">
        <f>SUM(S92:S97)</f>
        <v>0</v>
      </c>
    </row>
    <row r="92" spans="1:19" s="1" customFormat="1" ht="26.45" customHeight="1" x14ac:dyDescent="0.2">
      <c r="A92" s="242"/>
      <c r="B92" s="228"/>
      <c r="C92" s="243"/>
      <c r="D92" s="217"/>
      <c r="E92" s="217"/>
      <c r="F92" s="217"/>
      <c r="G92" s="217"/>
      <c r="H92" s="217"/>
      <c r="I92" s="217"/>
      <c r="J92" s="217"/>
      <c r="K92" s="279"/>
      <c r="L92" s="281"/>
      <c r="M92" s="272" t="s">
        <v>336</v>
      </c>
      <c r="N92" s="15" t="s">
        <v>26</v>
      </c>
      <c r="O92" s="111">
        <v>26000</v>
      </c>
      <c r="P92" s="111">
        <v>26000</v>
      </c>
      <c r="Q92" s="111">
        <f>26000+211200</f>
        <v>237200</v>
      </c>
      <c r="R92" s="160"/>
      <c r="S92" s="160"/>
    </row>
    <row r="93" spans="1:19" s="1" customFormat="1" ht="26.45" customHeight="1" x14ac:dyDescent="0.2">
      <c r="A93" s="242"/>
      <c r="B93" s="228"/>
      <c r="C93" s="243"/>
      <c r="D93" s="217"/>
      <c r="E93" s="217"/>
      <c r="F93" s="217"/>
      <c r="G93" s="217"/>
      <c r="H93" s="217"/>
      <c r="I93" s="217"/>
      <c r="J93" s="217"/>
      <c r="K93" s="279"/>
      <c r="L93" s="281"/>
      <c r="M93" s="273"/>
      <c r="N93" s="15" t="s">
        <v>285</v>
      </c>
      <c r="O93" s="111">
        <v>28600</v>
      </c>
      <c r="P93" s="111">
        <v>28600</v>
      </c>
      <c r="Q93" s="111">
        <f>51970+112330</f>
        <v>164300</v>
      </c>
      <c r="R93" s="160"/>
      <c r="S93" s="160"/>
    </row>
    <row r="94" spans="1:19" s="1" customFormat="1" ht="26.45" customHeight="1" x14ac:dyDescent="0.2">
      <c r="A94" s="242"/>
      <c r="B94" s="228"/>
      <c r="C94" s="243"/>
      <c r="D94" s="217"/>
      <c r="E94" s="217"/>
      <c r="F94" s="217"/>
      <c r="G94" s="217"/>
      <c r="H94" s="217"/>
      <c r="I94" s="217"/>
      <c r="J94" s="217"/>
      <c r="K94" s="279"/>
      <c r="L94" s="281"/>
      <c r="M94" s="272" t="s">
        <v>337</v>
      </c>
      <c r="N94" s="134" t="s">
        <v>26</v>
      </c>
      <c r="O94" s="111">
        <v>211200</v>
      </c>
      <c r="P94" s="111">
        <v>211200</v>
      </c>
      <c r="Q94" s="111">
        <f>211200-211200</f>
        <v>0</v>
      </c>
      <c r="R94" s="160"/>
      <c r="S94" s="160"/>
    </row>
    <row r="95" spans="1:19" s="1" customFormat="1" ht="26.45" customHeight="1" x14ac:dyDescent="0.2">
      <c r="A95" s="242"/>
      <c r="B95" s="228"/>
      <c r="C95" s="243"/>
      <c r="D95" s="217"/>
      <c r="E95" s="217"/>
      <c r="F95" s="217"/>
      <c r="G95" s="217"/>
      <c r="H95" s="217"/>
      <c r="I95" s="217"/>
      <c r="J95" s="217"/>
      <c r="K95" s="279"/>
      <c r="L95" s="281"/>
      <c r="M95" s="274"/>
      <c r="N95" s="130" t="s">
        <v>285</v>
      </c>
      <c r="O95" s="111">
        <v>208700</v>
      </c>
      <c r="P95" s="111">
        <v>208700</v>
      </c>
      <c r="Q95" s="111">
        <f>221330-221330</f>
        <v>0</v>
      </c>
      <c r="R95" s="160"/>
      <c r="S95" s="160"/>
    </row>
    <row r="96" spans="1:19" s="1" customFormat="1" ht="26.45" customHeight="1" x14ac:dyDescent="0.2">
      <c r="A96" s="242"/>
      <c r="B96" s="228"/>
      <c r="C96" s="243"/>
      <c r="D96" s="217"/>
      <c r="E96" s="217"/>
      <c r="F96" s="217"/>
      <c r="G96" s="217"/>
      <c r="H96" s="217"/>
      <c r="I96" s="217"/>
      <c r="J96" s="217"/>
      <c r="K96" s="279"/>
      <c r="L96" s="281"/>
      <c r="M96" s="138" t="s">
        <v>338</v>
      </c>
      <c r="N96" s="130" t="s">
        <v>285</v>
      </c>
      <c r="O96" s="111">
        <v>3800</v>
      </c>
      <c r="P96" s="111">
        <v>3800</v>
      </c>
      <c r="Q96" s="111">
        <v>10000</v>
      </c>
      <c r="R96" s="160"/>
      <c r="S96" s="160"/>
    </row>
    <row r="97" spans="1:19" s="1" customFormat="1" ht="26.45" customHeight="1" x14ac:dyDescent="0.2">
      <c r="A97" s="242" t="s">
        <v>0</v>
      </c>
      <c r="B97" s="216"/>
      <c r="C97" s="243" t="s">
        <v>0</v>
      </c>
      <c r="D97" s="208"/>
      <c r="E97" s="208"/>
      <c r="F97" s="208"/>
      <c r="G97" s="208"/>
      <c r="H97" s="208"/>
      <c r="I97" s="208"/>
      <c r="J97" s="208"/>
      <c r="K97" s="279"/>
      <c r="L97" s="130" t="s">
        <v>86</v>
      </c>
      <c r="M97" s="33" t="s">
        <v>286</v>
      </c>
      <c r="N97" s="130" t="s">
        <v>285</v>
      </c>
      <c r="O97" s="141"/>
      <c r="P97" s="160"/>
      <c r="Q97" s="160"/>
      <c r="R97" s="160"/>
      <c r="S97" s="160"/>
    </row>
    <row r="98" spans="1:19" s="1" customFormat="1" ht="26.45" customHeight="1" x14ac:dyDescent="0.2">
      <c r="A98" s="207" t="s">
        <v>87</v>
      </c>
      <c r="B98" s="207" t="s">
        <v>88</v>
      </c>
      <c r="C98" s="207" t="s">
        <v>89</v>
      </c>
      <c r="D98" s="207" t="s">
        <v>270</v>
      </c>
      <c r="E98" s="207" t="s">
        <v>271</v>
      </c>
      <c r="F98" s="275"/>
      <c r="G98" s="207"/>
      <c r="H98" s="207" t="s">
        <v>508</v>
      </c>
      <c r="I98" s="207" t="s">
        <v>42</v>
      </c>
      <c r="J98" s="207" t="s">
        <v>11</v>
      </c>
      <c r="K98" s="135" t="s">
        <v>288</v>
      </c>
      <c r="L98" s="135" t="s">
        <v>288</v>
      </c>
      <c r="M98" s="26" t="s">
        <v>288</v>
      </c>
      <c r="N98" s="130" t="s">
        <v>288</v>
      </c>
      <c r="O98" s="141">
        <f t="shared" ref="O98" si="15">O99+O100+O101</f>
        <v>128400</v>
      </c>
      <c r="P98" s="160">
        <f t="shared" ref="P98:Q98" si="16">P99+P100+P101</f>
        <v>128280.4</v>
      </c>
      <c r="Q98" s="160">
        <f t="shared" si="16"/>
        <v>128400</v>
      </c>
      <c r="R98" s="160">
        <f t="shared" ref="R98:S98" si="17">R99+R100+R101</f>
        <v>0</v>
      </c>
      <c r="S98" s="160">
        <f t="shared" si="17"/>
        <v>0</v>
      </c>
    </row>
    <row r="99" spans="1:19" s="1" customFormat="1" ht="26.45" customHeight="1" x14ac:dyDescent="0.2">
      <c r="A99" s="217"/>
      <c r="B99" s="217"/>
      <c r="C99" s="217"/>
      <c r="D99" s="217"/>
      <c r="E99" s="217"/>
      <c r="F99" s="276"/>
      <c r="G99" s="217"/>
      <c r="H99" s="217"/>
      <c r="I99" s="217"/>
      <c r="J99" s="217"/>
      <c r="K99" s="135" t="s">
        <v>284</v>
      </c>
      <c r="L99" s="135" t="s">
        <v>306</v>
      </c>
      <c r="M99" s="15" t="s">
        <v>347</v>
      </c>
      <c r="N99" s="135" t="s">
        <v>285</v>
      </c>
      <c r="O99" s="111">
        <v>5000</v>
      </c>
      <c r="P99" s="111">
        <v>5000</v>
      </c>
      <c r="Q99" s="111">
        <v>5000</v>
      </c>
      <c r="R99" s="160"/>
      <c r="S99" s="160"/>
    </row>
    <row r="100" spans="1:19" s="1" customFormat="1" ht="26.45" customHeight="1" x14ac:dyDescent="0.2">
      <c r="A100" s="217"/>
      <c r="B100" s="217"/>
      <c r="C100" s="217"/>
      <c r="D100" s="217"/>
      <c r="E100" s="217"/>
      <c r="F100" s="276"/>
      <c r="G100" s="217"/>
      <c r="H100" s="217"/>
      <c r="I100" s="217"/>
      <c r="J100" s="217"/>
      <c r="K100" s="196" t="s">
        <v>292</v>
      </c>
      <c r="L100" s="196" t="s">
        <v>307</v>
      </c>
      <c r="M100" s="196" t="s">
        <v>361</v>
      </c>
      <c r="N100" s="15" t="s">
        <v>26</v>
      </c>
      <c r="O100" s="111">
        <v>2850</v>
      </c>
      <c r="P100" s="111">
        <v>2850</v>
      </c>
      <c r="Q100" s="111">
        <v>16900</v>
      </c>
      <c r="R100" s="160"/>
      <c r="S100" s="160"/>
    </row>
    <row r="101" spans="1:19" s="1" customFormat="1" ht="26.45" customHeight="1" x14ac:dyDescent="0.2">
      <c r="A101" s="208"/>
      <c r="B101" s="208"/>
      <c r="C101" s="208"/>
      <c r="D101" s="208"/>
      <c r="E101" s="208"/>
      <c r="F101" s="277"/>
      <c r="G101" s="208"/>
      <c r="H101" s="208"/>
      <c r="I101" s="208"/>
      <c r="J101" s="208"/>
      <c r="K101" s="197"/>
      <c r="L101" s="197"/>
      <c r="M101" s="197"/>
      <c r="N101" s="15" t="s">
        <v>285</v>
      </c>
      <c r="O101" s="111">
        <v>120550</v>
      </c>
      <c r="P101" s="111">
        <v>120430.39999999999</v>
      </c>
      <c r="Q101" s="111">
        <v>106500</v>
      </c>
      <c r="R101" s="160"/>
      <c r="S101" s="160"/>
    </row>
    <row r="102" spans="1:19" s="1" customFormat="1" ht="98.25" customHeight="1" x14ac:dyDescent="0.2">
      <c r="A102" s="207" t="s">
        <v>90</v>
      </c>
      <c r="B102" s="207" t="s">
        <v>91</v>
      </c>
      <c r="C102" s="207" t="s">
        <v>92</v>
      </c>
      <c r="D102" s="207" t="s">
        <v>93</v>
      </c>
      <c r="E102" s="207" t="s">
        <v>42</v>
      </c>
      <c r="F102" s="165" t="s">
        <v>510</v>
      </c>
      <c r="G102" s="165" t="s">
        <v>42</v>
      </c>
      <c r="H102" s="165" t="s">
        <v>467</v>
      </c>
      <c r="I102" s="165" t="s">
        <v>42</v>
      </c>
      <c r="J102" s="165" t="s">
        <v>21</v>
      </c>
      <c r="K102" s="15" t="s">
        <v>284</v>
      </c>
      <c r="L102" s="15" t="s">
        <v>94</v>
      </c>
      <c r="M102" s="15" t="s">
        <v>391</v>
      </c>
      <c r="N102" s="15" t="s">
        <v>285</v>
      </c>
      <c r="O102" s="111">
        <v>315000</v>
      </c>
      <c r="P102" s="111">
        <v>315000</v>
      </c>
      <c r="Q102" s="111"/>
      <c r="R102" s="160"/>
      <c r="S102" s="160"/>
    </row>
    <row r="103" spans="1:19" s="1" customFormat="1" ht="93" customHeight="1" x14ac:dyDescent="0.2">
      <c r="A103" s="208"/>
      <c r="B103" s="208"/>
      <c r="C103" s="208"/>
      <c r="D103" s="208"/>
      <c r="E103" s="208"/>
      <c r="F103" s="42" t="s">
        <v>546</v>
      </c>
      <c r="G103" s="162" t="s">
        <v>42</v>
      </c>
      <c r="H103" s="162" t="s">
        <v>560</v>
      </c>
      <c r="I103" s="161"/>
      <c r="J103" s="155"/>
      <c r="K103" s="159" t="s">
        <v>284</v>
      </c>
      <c r="L103" s="164" t="s">
        <v>127</v>
      </c>
      <c r="M103" s="159" t="s">
        <v>547</v>
      </c>
      <c r="N103" s="15"/>
      <c r="O103" s="113"/>
      <c r="P103" s="113"/>
      <c r="Q103" s="113">
        <v>450</v>
      </c>
      <c r="R103" s="160"/>
      <c r="S103" s="160"/>
    </row>
    <row r="104" spans="1:19" s="1" customFormat="1" ht="98.25" customHeight="1" x14ac:dyDescent="0.2">
      <c r="A104" s="139" t="s">
        <v>531</v>
      </c>
      <c r="B104" s="129" t="s">
        <v>530</v>
      </c>
      <c r="C104" s="129">
        <v>1055</v>
      </c>
      <c r="D104" s="129" t="s">
        <v>270</v>
      </c>
      <c r="E104" s="129" t="s">
        <v>544</v>
      </c>
      <c r="F104" s="129"/>
      <c r="G104" s="129"/>
      <c r="H104" s="129"/>
      <c r="I104" s="129"/>
      <c r="J104" s="129"/>
      <c r="K104" s="134" t="s">
        <v>284</v>
      </c>
      <c r="L104" s="15" t="s">
        <v>532</v>
      </c>
      <c r="M104" s="15" t="s">
        <v>533</v>
      </c>
      <c r="N104" s="15" t="s">
        <v>285</v>
      </c>
      <c r="O104" s="111"/>
      <c r="P104" s="111"/>
      <c r="Q104" s="111">
        <f>35600+81716.09</f>
        <v>117316.09</v>
      </c>
      <c r="R104" s="160">
        <v>35600</v>
      </c>
      <c r="S104" s="160">
        <v>35600</v>
      </c>
    </row>
    <row r="105" spans="1:19" s="1" customFormat="1" ht="26.45" customHeight="1" x14ac:dyDescent="0.2">
      <c r="A105" s="209" t="s">
        <v>95</v>
      </c>
      <c r="B105" s="207" t="s">
        <v>96</v>
      </c>
      <c r="C105" s="269" t="s">
        <v>97</v>
      </c>
      <c r="D105" s="207" t="s">
        <v>270</v>
      </c>
      <c r="E105" s="207" t="s">
        <v>543</v>
      </c>
      <c r="F105" s="207" t="s">
        <v>511</v>
      </c>
      <c r="G105" s="207" t="s">
        <v>42</v>
      </c>
      <c r="H105" s="207" t="s">
        <v>467</v>
      </c>
      <c r="I105" s="207" t="s">
        <v>42</v>
      </c>
      <c r="J105" s="207" t="s">
        <v>20</v>
      </c>
      <c r="K105" s="196" t="s">
        <v>284</v>
      </c>
      <c r="L105" s="15" t="s">
        <v>305</v>
      </c>
      <c r="M105" s="15" t="s">
        <v>288</v>
      </c>
      <c r="N105" s="15" t="s">
        <v>288</v>
      </c>
      <c r="O105" s="127">
        <f>SUM(O106:O110)</f>
        <v>15006404.540000001</v>
      </c>
      <c r="P105" s="160">
        <f>SUM(P106:P110)</f>
        <v>8349832.2999999998</v>
      </c>
      <c r="Q105" s="160">
        <f>SUM(Q106:Q110)</f>
        <v>18761325.16</v>
      </c>
      <c r="R105" s="160">
        <f>SUM(R106:R110)</f>
        <v>21177785.52</v>
      </c>
      <c r="S105" s="160">
        <f>SUM(S106:S110)</f>
        <v>0</v>
      </c>
    </row>
    <row r="106" spans="1:19" s="1" customFormat="1" ht="26.45" customHeight="1" x14ac:dyDescent="0.2">
      <c r="A106" s="209"/>
      <c r="B106" s="217"/>
      <c r="C106" s="270"/>
      <c r="D106" s="217"/>
      <c r="E106" s="217"/>
      <c r="F106" s="217"/>
      <c r="G106" s="217"/>
      <c r="H106" s="217"/>
      <c r="I106" s="217"/>
      <c r="J106" s="217"/>
      <c r="K106" s="258"/>
      <c r="L106" s="15" t="s">
        <v>138</v>
      </c>
      <c r="M106" s="15" t="s">
        <v>383</v>
      </c>
      <c r="N106" s="15" t="s">
        <v>285</v>
      </c>
      <c r="O106" s="111">
        <v>79056</v>
      </c>
      <c r="P106" s="111">
        <v>79056</v>
      </c>
      <c r="Q106" s="111">
        <v>86962.31</v>
      </c>
      <c r="R106" s="160"/>
      <c r="S106" s="160"/>
    </row>
    <row r="107" spans="1:19" s="1" customFormat="1" ht="26.45" customHeight="1" x14ac:dyDescent="0.2">
      <c r="A107" s="209"/>
      <c r="B107" s="217"/>
      <c r="C107" s="270"/>
      <c r="D107" s="217"/>
      <c r="E107" s="217"/>
      <c r="F107" s="217"/>
      <c r="G107" s="217"/>
      <c r="H107" s="217"/>
      <c r="I107" s="217"/>
      <c r="J107" s="217"/>
      <c r="K107" s="258"/>
      <c r="L107" s="15" t="s">
        <v>138</v>
      </c>
      <c r="M107" s="15" t="s">
        <v>387</v>
      </c>
      <c r="N107" s="15" t="s">
        <v>308</v>
      </c>
      <c r="O107" s="111">
        <v>1096303.58</v>
      </c>
      <c r="P107" s="111">
        <v>1096303.58</v>
      </c>
      <c r="Q107" s="111">
        <v>600370</v>
      </c>
      <c r="R107" s="160"/>
      <c r="S107" s="160"/>
    </row>
    <row r="108" spans="1:19" s="1" customFormat="1" ht="26.45" customHeight="1" x14ac:dyDescent="0.2">
      <c r="A108" s="209"/>
      <c r="B108" s="217"/>
      <c r="C108" s="270"/>
      <c r="D108" s="217"/>
      <c r="E108" s="217"/>
      <c r="F108" s="217"/>
      <c r="G108" s="217"/>
      <c r="H108" s="217"/>
      <c r="I108" s="217"/>
      <c r="J108" s="217"/>
      <c r="K108" s="258"/>
      <c r="L108" s="15" t="s">
        <v>138</v>
      </c>
      <c r="M108" s="15" t="s">
        <v>384</v>
      </c>
      <c r="N108" s="15" t="s">
        <v>308</v>
      </c>
      <c r="O108" s="127"/>
      <c r="P108" s="160"/>
      <c r="Q108" s="160">
        <v>0</v>
      </c>
      <c r="R108" s="160"/>
      <c r="S108" s="160"/>
    </row>
    <row r="109" spans="1:19" s="1" customFormat="1" ht="26.45" customHeight="1" x14ac:dyDescent="0.2">
      <c r="A109" s="209"/>
      <c r="B109" s="217"/>
      <c r="C109" s="270"/>
      <c r="D109" s="217"/>
      <c r="E109" s="217"/>
      <c r="F109" s="217"/>
      <c r="G109" s="217"/>
      <c r="H109" s="217"/>
      <c r="I109" s="217"/>
      <c r="J109" s="217"/>
      <c r="K109" s="258"/>
      <c r="L109" s="15" t="s">
        <v>98</v>
      </c>
      <c r="M109" s="15" t="s">
        <v>564</v>
      </c>
      <c r="N109" s="15" t="s">
        <v>308</v>
      </c>
      <c r="O109" s="186"/>
      <c r="P109" s="186"/>
      <c r="Q109" s="186">
        <v>8049490</v>
      </c>
      <c r="R109" s="186"/>
      <c r="S109" s="186"/>
    </row>
    <row r="110" spans="1:19" s="1" customFormat="1" ht="26.45" customHeight="1" x14ac:dyDescent="0.2">
      <c r="A110" s="209"/>
      <c r="B110" s="208"/>
      <c r="C110" s="271"/>
      <c r="D110" s="208"/>
      <c r="E110" s="208"/>
      <c r="F110" s="208"/>
      <c r="G110" s="208"/>
      <c r="H110" s="208"/>
      <c r="I110" s="208"/>
      <c r="J110" s="208"/>
      <c r="K110" s="197"/>
      <c r="L110" s="15" t="s">
        <v>98</v>
      </c>
      <c r="M110" s="15" t="s">
        <v>385</v>
      </c>
      <c r="N110" s="15" t="s">
        <v>308</v>
      </c>
      <c r="O110" s="127">
        <v>13831044.960000001</v>
      </c>
      <c r="P110" s="160">
        <v>7174472.7199999997</v>
      </c>
      <c r="Q110" s="160">
        <f>10024502.85</f>
        <v>10024502.85</v>
      </c>
      <c r="R110" s="160">
        <v>21177785.52</v>
      </c>
      <c r="S110" s="160"/>
    </row>
    <row r="111" spans="1:19" s="1" customFormat="1" ht="48.75" customHeight="1" x14ac:dyDescent="0.2">
      <c r="A111" s="266" t="s">
        <v>99</v>
      </c>
      <c r="B111" s="207" t="s">
        <v>100</v>
      </c>
      <c r="C111" s="267" t="s">
        <v>101</v>
      </c>
      <c r="D111" s="207" t="s">
        <v>270</v>
      </c>
      <c r="E111" s="207" t="s">
        <v>271</v>
      </c>
      <c r="F111" s="207" t="s">
        <v>429</v>
      </c>
      <c r="G111" s="207" t="s">
        <v>42</v>
      </c>
      <c r="H111" s="207" t="s">
        <v>559</v>
      </c>
      <c r="I111" s="207" t="s">
        <v>42</v>
      </c>
      <c r="J111" s="207" t="s">
        <v>19</v>
      </c>
      <c r="K111" s="196" t="s">
        <v>284</v>
      </c>
      <c r="L111" s="16" t="s">
        <v>305</v>
      </c>
      <c r="M111" s="16" t="s">
        <v>288</v>
      </c>
      <c r="N111" s="16" t="s">
        <v>288</v>
      </c>
      <c r="O111" s="25">
        <f>O113+O115</f>
        <v>3246328.3899999997</v>
      </c>
      <c r="P111" s="25">
        <f>SUM(P113:P115)</f>
        <v>3246328.3899999997</v>
      </c>
      <c r="Q111" s="25">
        <f>SUM(Q112:Q115)</f>
        <v>5262118.96</v>
      </c>
      <c r="R111" s="25">
        <f t="shared" ref="R111:S111" si="18">SUM(R112:R115)</f>
        <v>3942022.28</v>
      </c>
      <c r="S111" s="25">
        <f t="shared" si="18"/>
        <v>3942022.28</v>
      </c>
    </row>
    <row r="112" spans="1:19" s="47" customFormat="1" ht="24" customHeight="1" x14ac:dyDescent="0.2">
      <c r="A112" s="266"/>
      <c r="B112" s="217"/>
      <c r="C112" s="267"/>
      <c r="D112" s="217"/>
      <c r="E112" s="217"/>
      <c r="F112" s="217"/>
      <c r="G112" s="217"/>
      <c r="H112" s="217"/>
      <c r="I112" s="217"/>
      <c r="J112" s="217"/>
      <c r="K112" s="258"/>
      <c r="L112" s="20" t="s">
        <v>127</v>
      </c>
      <c r="M112" s="20" t="s">
        <v>554</v>
      </c>
      <c r="N112" s="20" t="s">
        <v>285</v>
      </c>
      <c r="O112" s="113"/>
      <c r="P112" s="113"/>
      <c r="Q112" s="113">
        <v>450</v>
      </c>
      <c r="R112" s="160"/>
      <c r="S112" s="160"/>
    </row>
    <row r="113" spans="1:19" s="1" customFormat="1" ht="24" customHeight="1" x14ac:dyDescent="0.2">
      <c r="A113" s="266"/>
      <c r="B113" s="217"/>
      <c r="C113" s="267"/>
      <c r="D113" s="217"/>
      <c r="E113" s="217"/>
      <c r="F113" s="217"/>
      <c r="G113" s="217"/>
      <c r="H113" s="217"/>
      <c r="I113" s="217"/>
      <c r="J113" s="217"/>
      <c r="K113" s="258"/>
      <c r="L113" s="15" t="s">
        <v>259</v>
      </c>
      <c r="M113" s="15" t="s">
        <v>382</v>
      </c>
      <c r="N113" s="15" t="s">
        <v>285</v>
      </c>
      <c r="O113" s="127">
        <v>95030.59</v>
      </c>
      <c r="P113" s="160">
        <v>95030.59</v>
      </c>
      <c r="Q113" s="160">
        <f>94851+8128.68</f>
        <v>102979.68</v>
      </c>
      <c r="R113" s="160"/>
      <c r="S113" s="160"/>
    </row>
    <row r="114" spans="1:19" s="1" customFormat="1" ht="24" customHeight="1" x14ac:dyDescent="0.2">
      <c r="A114" s="266"/>
      <c r="B114" s="217"/>
      <c r="C114" s="267"/>
      <c r="D114" s="217"/>
      <c r="E114" s="217"/>
      <c r="F114" s="217"/>
      <c r="G114" s="217"/>
      <c r="H114" s="217"/>
      <c r="I114" s="217"/>
      <c r="J114" s="217"/>
      <c r="K114" s="258"/>
      <c r="L114" s="15" t="s">
        <v>514</v>
      </c>
      <c r="M114" s="15" t="s">
        <v>535</v>
      </c>
      <c r="N114" s="15" t="s">
        <v>295</v>
      </c>
      <c r="O114" s="127"/>
      <c r="P114" s="160"/>
      <c r="Q114" s="160">
        <v>1216667</v>
      </c>
      <c r="R114" s="160"/>
      <c r="S114" s="160"/>
    </row>
    <row r="115" spans="1:19" s="1" customFormat="1" ht="24" customHeight="1" x14ac:dyDescent="0.2">
      <c r="A115" s="266" t="s">
        <v>0</v>
      </c>
      <c r="B115" s="208"/>
      <c r="C115" s="267" t="s">
        <v>0</v>
      </c>
      <c r="D115" s="208"/>
      <c r="E115" s="208"/>
      <c r="F115" s="208"/>
      <c r="G115" s="208"/>
      <c r="H115" s="208"/>
      <c r="I115" s="208"/>
      <c r="J115" s="208"/>
      <c r="K115" s="197"/>
      <c r="L115" s="15" t="s">
        <v>102</v>
      </c>
      <c r="M115" s="15" t="s">
        <v>340</v>
      </c>
      <c r="N115" s="15" t="s">
        <v>291</v>
      </c>
      <c r="O115" s="127">
        <v>3151297.8</v>
      </c>
      <c r="P115" s="160">
        <v>3151297.8</v>
      </c>
      <c r="Q115" s="160">
        <v>3942022.28</v>
      </c>
      <c r="R115" s="160">
        <v>3942022.28</v>
      </c>
      <c r="S115" s="160">
        <v>3942022.28</v>
      </c>
    </row>
    <row r="116" spans="1:19" s="1" customFormat="1" ht="41.25" customHeight="1" x14ac:dyDescent="0.2">
      <c r="A116" s="207" t="s">
        <v>103</v>
      </c>
      <c r="B116" s="207" t="s">
        <v>104</v>
      </c>
      <c r="C116" s="207" t="s">
        <v>105</v>
      </c>
      <c r="D116" s="207" t="s">
        <v>270</v>
      </c>
      <c r="E116" s="207" t="s">
        <v>271</v>
      </c>
      <c r="F116" s="207" t="s">
        <v>430</v>
      </c>
      <c r="G116" s="207" t="s">
        <v>42</v>
      </c>
      <c r="H116" s="207" t="s">
        <v>509</v>
      </c>
      <c r="I116" s="207" t="s">
        <v>42</v>
      </c>
      <c r="J116" s="207" t="s">
        <v>17</v>
      </c>
      <c r="K116" s="261" t="s">
        <v>284</v>
      </c>
      <c r="L116" s="261" t="s">
        <v>106</v>
      </c>
      <c r="M116" s="16" t="s">
        <v>288</v>
      </c>
      <c r="N116" s="16" t="s">
        <v>288</v>
      </c>
      <c r="O116" s="25">
        <f t="shared" ref="O116" si="19">O117+O118+O119+O120+O121</f>
        <v>3684368.8599999994</v>
      </c>
      <c r="P116" s="25">
        <f t="shared" ref="P116:Q116" si="20">P117+P118+P119+P120+P121</f>
        <v>3683402.3</v>
      </c>
      <c r="Q116" s="25">
        <f t="shared" si="20"/>
        <v>3810800</v>
      </c>
      <c r="R116" s="25">
        <f t="shared" ref="R116:S116" si="21">R117+R118+R119+R120+R121</f>
        <v>3319900</v>
      </c>
      <c r="S116" s="25">
        <f t="shared" si="21"/>
        <v>3319900</v>
      </c>
    </row>
    <row r="117" spans="1:19" s="1" customFormat="1" ht="41.25" customHeight="1" x14ac:dyDescent="0.2">
      <c r="A117" s="217"/>
      <c r="B117" s="217"/>
      <c r="C117" s="217"/>
      <c r="D117" s="217"/>
      <c r="E117" s="217"/>
      <c r="F117" s="217"/>
      <c r="G117" s="217"/>
      <c r="H117" s="217"/>
      <c r="I117" s="217"/>
      <c r="J117" s="217"/>
      <c r="K117" s="262"/>
      <c r="L117" s="262"/>
      <c r="M117" s="193" t="s">
        <v>414</v>
      </c>
      <c r="N117" s="15" t="s">
        <v>25</v>
      </c>
      <c r="O117" s="111">
        <v>1922581.43</v>
      </c>
      <c r="P117" s="111">
        <v>1922581.43</v>
      </c>
      <c r="Q117" s="111">
        <v>2042600</v>
      </c>
      <c r="R117" s="111">
        <v>2042600</v>
      </c>
      <c r="S117" s="111">
        <v>2042600</v>
      </c>
    </row>
    <row r="118" spans="1:19" s="1" customFormat="1" ht="41.25" customHeight="1" x14ac:dyDescent="0.2">
      <c r="A118" s="217"/>
      <c r="B118" s="217"/>
      <c r="C118" s="217"/>
      <c r="D118" s="217"/>
      <c r="E118" s="217"/>
      <c r="F118" s="217"/>
      <c r="G118" s="217"/>
      <c r="H118" s="217"/>
      <c r="I118" s="217"/>
      <c r="J118" s="217"/>
      <c r="K118" s="262"/>
      <c r="L118" s="262"/>
      <c r="M118" s="219"/>
      <c r="N118" s="15" t="s">
        <v>27</v>
      </c>
      <c r="O118" s="111">
        <v>561798.21</v>
      </c>
      <c r="P118" s="111">
        <v>561605.89</v>
      </c>
      <c r="Q118" s="111">
        <v>616900</v>
      </c>
      <c r="R118" s="111">
        <v>616900</v>
      </c>
      <c r="S118" s="111">
        <v>616900</v>
      </c>
    </row>
    <row r="119" spans="1:19" s="1" customFormat="1" ht="41.25" customHeight="1" x14ac:dyDescent="0.2">
      <c r="A119" s="217"/>
      <c r="B119" s="217"/>
      <c r="C119" s="217"/>
      <c r="D119" s="217"/>
      <c r="E119" s="217"/>
      <c r="F119" s="217"/>
      <c r="G119" s="217"/>
      <c r="H119" s="217"/>
      <c r="I119" s="217"/>
      <c r="J119" s="217"/>
      <c r="K119" s="262"/>
      <c r="L119" s="262"/>
      <c r="M119" s="219"/>
      <c r="N119" s="15" t="s">
        <v>285</v>
      </c>
      <c r="O119" s="111">
        <v>1041361.22</v>
      </c>
      <c r="P119" s="111">
        <v>1040586.98</v>
      </c>
      <c r="Q119" s="111">
        <v>1002500</v>
      </c>
      <c r="R119" s="160">
        <v>520000</v>
      </c>
      <c r="S119" s="160">
        <v>520000</v>
      </c>
    </row>
    <row r="120" spans="1:19" s="1" customFormat="1" ht="41.25" customHeight="1" x14ac:dyDescent="0.2">
      <c r="A120" s="217"/>
      <c r="B120" s="217"/>
      <c r="C120" s="217"/>
      <c r="D120" s="217"/>
      <c r="E120" s="217"/>
      <c r="F120" s="217"/>
      <c r="G120" s="217"/>
      <c r="H120" s="217"/>
      <c r="I120" s="217"/>
      <c r="J120" s="217"/>
      <c r="K120" s="262"/>
      <c r="L120" s="262"/>
      <c r="M120" s="194"/>
      <c r="N120" s="15" t="s">
        <v>284</v>
      </c>
      <c r="O120" s="111">
        <v>22668</v>
      </c>
      <c r="P120" s="111">
        <v>22668</v>
      </c>
      <c r="Q120" s="111">
        <v>26400</v>
      </c>
      <c r="R120" s="160">
        <v>18000</v>
      </c>
      <c r="S120" s="160">
        <v>18000</v>
      </c>
    </row>
    <row r="121" spans="1:19" s="1" customFormat="1" ht="41.25" customHeight="1" x14ac:dyDescent="0.2">
      <c r="A121" s="208"/>
      <c r="B121" s="208"/>
      <c r="C121" s="208"/>
      <c r="D121" s="208"/>
      <c r="E121" s="208"/>
      <c r="F121" s="208"/>
      <c r="G121" s="208"/>
      <c r="H121" s="208"/>
      <c r="I121" s="208"/>
      <c r="J121" s="208"/>
      <c r="K121" s="263"/>
      <c r="L121" s="263"/>
      <c r="M121" s="151" t="s">
        <v>415</v>
      </c>
      <c r="N121" s="15" t="s">
        <v>285</v>
      </c>
      <c r="O121" s="111">
        <v>135960</v>
      </c>
      <c r="P121" s="111">
        <v>135960</v>
      </c>
      <c r="Q121" s="111">
        <v>122400</v>
      </c>
      <c r="R121" s="111">
        <v>122400</v>
      </c>
      <c r="S121" s="111">
        <v>122400</v>
      </c>
    </row>
    <row r="122" spans="1:19" s="1" customFormat="1" ht="61.5" customHeight="1" x14ac:dyDescent="0.2">
      <c r="A122" s="207" t="s">
        <v>107</v>
      </c>
      <c r="B122" s="207" t="s">
        <v>108</v>
      </c>
      <c r="C122" s="207" t="s">
        <v>109</v>
      </c>
      <c r="D122" s="207" t="s">
        <v>110</v>
      </c>
      <c r="E122" s="207" t="s">
        <v>42</v>
      </c>
      <c r="F122" s="207" t="s">
        <v>512</v>
      </c>
      <c r="G122" s="207" t="s">
        <v>42</v>
      </c>
      <c r="H122" s="207" t="s">
        <v>437</v>
      </c>
      <c r="I122" s="207" t="s">
        <v>42</v>
      </c>
      <c r="J122" s="207" t="s">
        <v>9</v>
      </c>
      <c r="K122" s="193" t="s">
        <v>284</v>
      </c>
      <c r="L122" s="264" t="s">
        <v>111</v>
      </c>
      <c r="M122" s="166" t="s">
        <v>287</v>
      </c>
      <c r="N122" s="19" t="s">
        <v>288</v>
      </c>
      <c r="O122" s="127">
        <f t="shared" ref="O122" si="22">O124+O125+O126</f>
        <v>4479293.2</v>
      </c>
      <c r="P122" s="160">
        <f t="shared" ref="P122" si="23">P124+P125+P126</f>
        <v>3257793.2</v>
      </c>
      <c r="Q122" s="160">
        <f>Q123+Q124+Q125+Q126</f>
        <v>3942476.8</v>
      </c>
      <c r="R122" s="160">
        <f t="shared" ref="R122:S122" si="24">R123+R124+R125+R126</f>
        <v>2300000</v>
      </c>
      <c r="S122" s="160">
        <f t="shared" si="24"/>
        <v>2800000</v>
      </c>
    </row>
    <row r="123" spans="1:19" s="1" customFormat="1" ht="32.25" customHeight="1" x14ac:dyDescent="0.2">
      <c r="A123" s="217"/>
      <c r="B123" s="217"/>
      <c r="C123" s="217"/>
      <c r="D123" s="217"/>
      <c r="E123" s="217"/>
      <c r="F123" s="217"/>
      <c r="G123" s="217"/>
      <c r="H123" s="217"/>
      <c r="I123" s="217"/>
      <c r="J123" s="217"/>
      <c r="K123" s="219"/>
      <c r="L123" s="265"/>
      <c r="M123" s="150" t="s">
        <v>557</v>
      </c>
      <c r="N123" s="19" t="s">
        <v>285</v>
      </c>
      <c r="O123" s="156"/>
      <c r="P123" s="160"/>
      <c r="Q123" s="160">
        <v>100800</v>
      </c>
      <c r="R123" s="160"/>
      <c r="S123" s="160"/>
    </row>
    <row r="124" spans="1:19" s="1" customFormat="1" ht="32.25" customHeight="1" x14ac:dyDescent="0.2">
      <c r="A124" s="217"/>
      <c r="B124" s="217"/>
      <c r="C124" s="217"/>
      <c r="D124" s="217"/>
      <c r="E124" s="217"/>
      <c r="F124" s="217"/>
      <c r="G124" s="217"/>
      <c r="H124" s="217"/>
      <c r="I124" s="217"/>
      <c r="J124" s="217"/>
      <c r="K124" s="219"/>
      <c r="L124" s="219"/>
      <c r="M124" s="150" t="s">
        <v>413</v>
      </c>
      <c r="N124" s="15" t="s">
        <v>309</v>
      </c>
      <c r="O124" s="111">
        <v>3124293.2</v>
      </c>
      <c r="P124" s="111">
        <v>3124293.2</v>
      </c>
      <c r="Q124" s="111">
        <v>3841676.8</v>
      </c>
      <c r="R124" s="160">
        <f>1300000+1000000</f>
        <v>2300000</v>
      </c>
      <c r="S124" s="160">
        <f>1300000+1500000</f>
        <v>2800000</v>
      </c>
    </row>
    <row r="125" spans="1:19" s="1" customFormat="1" ht="32.25" customHeight="1" x14ac:dyDescent="0.2">
      <c r="A125" s="217"/>
      <c r="B125" s="217"/>
      <c r="C125" s="217"/>
      <c r="D125" s="217"/>
      <c r="E125" s="217"/>
      <c r="F125" s="217"/>
      <c r="G125" s="217"/>
      <c r="H125" s="217"/>
      <c r="I125" s="217"/>
      <c r="J125" s="217"/>
      <c r="K125" s="219"/>
      <c r="L125" s="219"/>
      <c r="M125" s="193" t="s">
        <v>516</v>
      </c>
      <c r="N125" s="15" t="s">
        <v>324</v>
      </c>
      <c r="O125" s="111">
        <v>1000000</v>
      </c>
      <c r="P125" s="111">
        <v>0</v>
      </c>
      <c r="Q125" s="111"/>
      <c r="R125" s="160"/>
      <c r="S125" s="160"/>
    </row>
    <row r="126" spans="1:19" s="1" customFormat="1" ht="32.25" customHeight="1" x14ac:dyDescent="0.2">
      <c r="A126" s="208"/>
      <c r="B126" s="208"/>
      <c r="C126" s="208"/>
      <c r="D126" s="208"/>
      <c r="E126" s="208"/>
      <c r="F126" s="208"/>
      <c r="G126" s="208"/>
      <c r="H126" s="208"/>
      <c r="I126" s="208"/>
      <c r="J126" s="208"/>
      <c r="K126" s="194"/>
      <c r="L126" s="194"/>
      <c r="M126" s="194"/>
      <c r="N126" s="15" t="s">
        <v>285</v>
      </c>
      <c r="O126" s="111">
        <v>355000</v>
      </c>
      <c r="P126" s="111">
        <v>133500</v>
      </c>
      <c r="Q126" s="111"/>
      <c r="R126" s="160"/>
      <c r="S126" s="160"/>
    </row>
    <row r="127" spans="1:19" s="1" customFormat="1" ht="26.45" customHeight="1" x14ac:dyDescent="0.2">
      <c r="A127" s="7" t="s">
        <v>112</v>
      </c>
      <c r="B127" s="97" t="s">
        <v>113</v>
      </c>
      <c r="C127" s="97" t="s">
        <v>114</v>
      </c>
      <c r="D127" s="97" t="s">
        <v>270</v>
      </c>
      <c r="E127" s="97" t="s">
        <v>271</v>
      </c>
      <c r="F127" s="97" t="s">
        <v>0</v>
      </c>
      <c r="G127" s="97" t="s">
        <v>0</v>
      </c>
      <c r="H127" s="97" t="s">
        <v>0</v>
      </c>
      <c r="I127" s="97" t="s">
        <v>0</v>
      </c>
      <c r="J127" s="97" t="s">
        <v>0</v>
      </c>
      <c r="K127" s="15"/>
      <c r="L127" s="15"/>
      <c r="M127" s="15"/>
      <c r="N127" s="15"/>
      <c r="O127" s="112">
        <f>O128+O132+O135+O136+O137</f>
        <v>5826873.4000000004</v>
      </c>
      <c r="P127" s="160">
        <f>P128+P132+P135+P136+P137</f>
        <v>5826873.4000000004</v>
      </c>
      <c r="Q127" s="160">
        <f>Q128+Q132+Q135+Q136+Q137+Q138+Q139</f>
        <v>5892925</v>
      </c>
      <c r="R127" s="160">
        <f t="shared" ref="R127:S127" si="25">R128+R132+R135+R136+R137+R138+R139</f>
        <v>5890900</v>
      </c>
      <c r="S127" s="160">
        <f t="shared" si="25"/>
        <v>5890900</v>
      </c>
    </row>
    <row r="128" spans="1:19" s="1" customFormat="1" ht="28.5" customHeight="1" x14ac:dyDescent="0.2">
      <c r="A128" s="207" t="s">
        <v>115</v>
      </c>
      <c r="B128" s="207" t="s">
        <v>116</v>
      </c>
      <c r="C128" s="207" t="s">
        <v>117</v>
      </c>
      <c r="D128" s="207" t="s">
        <v>270</v>
      </c>
      <c r="E128" s="207" t="s">
        <v>271</v>
      </c>
      <c r="F128" s="207" t="s">
        <v>79</v>
      </c>
      <c r="G128" s="207" t="s">
        <v>42</v>
      </c>
      <c r="H128" s="207" t="s">
        <v>513</v>
      </c>
      <c r="I128" s="207" t="s">
        <v>42</v>
      </c>
      <c r="J128" s="207" t="s">
        <v>12</v>
      </c>
      <c r="K128" s="196" t="s">
        <v>284</v>
      </c>
      <c r="L128" s="196" t="s">
        <v>75</v>
      </c>
      <c r="M128" s="196" t="s">
        <v>346</v>
      </c>
      <c r="N128" s="15" t="s">
        <v>288</v>
      </c>
      <c r="O128" s="127">
        <f t="shared" ref="O128" si="26">O129+O130+O131</f>
        <v>5575489</v>
      </c>
      <c r="P128" s="160">
        <f t="shared" ref="P128:Q128" si="27">P129+P130+P131</f>
        <v>5575489</v>
      </c>
      <c r="Q128" s="160">
        <f t="shared" si="27"/>
        <v>5600000</v>
      </c>
      <c r="R128" s="160">
        <f t="shared" ref="R128:S128" si="28">R129+R130+R131</f>
        <v>5600000</v>
      </c>
      <c r="S128" s="160">
        <f t="shared" si="28"/>
        <v>5600000</v>
      </c>
    </row>
    <row r="129" spans="1:19" s="1" customFormat="1" ht="28.5" customHeight="1" x14ac:dyDescent="0.2">
      <c r="A129" s="217"/>
      <c r="B129" s="217"/>
      <c r="C129" s="217"/>
      <c r="D129" s="217"/>
      <c r="E129" s="217"/>
      <c r="F129" s="217"/>
      <c r="G129" s="217"/>
      <c r="H129" s="217"/>
      <c r="I129" s="217"/>
      <c r="J129" s="217"/>
      <c r="K129" s="258"/>
      <c r="L129" s="258"/>
      <c r="M129" s="258"/>
      <c r="N129" s="15" t="s">
        <v>285</v>
      </c>
      <c r="O129" s="127">
        <v>238000</v>
      </c>
      <c r="P129" s="160">
        <v>238000</v>
      </c>
      <c r="Q129" s="160">
        <v>375000</v>
      </c>
      <c r="R129" s="160">
        <v>375000</v>
      </c>
      <c r="S129" s="160">
        <v>375000</v>
      </c>
    </row>
    <row r="130" spans="1:19" s="1" customFormat="1" ht="28.5" customHeight="1" x14ac:dyDescent="0.2">
      <c r="A130" s="217"/>
      <c r="B130" s="217"/>
      <c r="C130" s="217"/>
      <c r="D130" s="217"/>
      <c r="E130" s="217"/>
      <c r="F130" s="217"/>
      <c r="G130" s="217"/>
      <c r="H130" s="217"/>
      <c r="I130" s="217"/>
      <c r="J130" s="217"/>
      <c r="K130" s="258"/>
      <c r="L130" s="258"/>
      <c r="M130" s="258"/>
      <c r="N130" s="15" t="s">
        <v>296</v>
      </c>
      <c r="O130" s="127">
        <v>5245100</v>
      </c>
      <c r="P130" s="160">
        <v>5245100</v>
      </c>
      <c r="Q130" s="160">
        <v>5107400</v>
      </c>
      <c r="R130" s="160">
        <v>5107400</v>
      </c>
      <c r="S130" s="160">
        <v>5107400</v>
      </c>
    </row>
    <row r="131" spans="1:19" s="1" customFormat="1" ht="28.5" customHeight="1" x14ac:dyDescent="0.2">
      <c r="A131" s="208"/>
      <c r="B131" s="208"/>
      <c r="C131" s="208"/>
      <c r="D131" s="208"/>
      <c r="E131" s="208"/>
      <c r="F131" s="217"/>
      <c r="G131" s="217"/>
      <c r="H131" s="217"/>
      <c r="I131" s="217"/>
      <c r="J131" s="208"/>
      <c r="K131" s="197"/>
      <c r="L131" s="197"/>
      <c r="M131" s="197"/>
      <c r="N131" s="15" t="s">
        <v>297</v>
      </c>
      <c r="O131" s="127">
        <v>92389</v>
      </c>
      <c r="P131" s="160">
        <v>92389</v>
      </c>
      <c r="Q131" s="160">
        <v>117600</v>
      </c>
      <c r="R131" s="160">
        <v>117600</v>
      </c>
      <c r="S131" s="160">
        <v>117600</v>
      </c>
    </row>
    <row r="132" spans="1:19" s="1" customFormat="1" ht="93" customHeight="1" x14ac:dyDescent="0.2">
      <c r="A132" s="207" t="s">
        <v>118</v>
      </c>
      <c r="B132" s="207" t="s">
        <v>119</v>
      </c>
      <c r="C132" s="207" t="s">
        <v>86</v>
      </c>
      <c r="D132" s="207" t="s">
        <v>270</v>
      </c>
      <c r="E132" s="189" t="s">
        <v>271</v>
      </c>
      <c r="F132" s="188" t="s">
        <v>542</v>
      </c>
      <c r="G132" s="188" t="s">
        <v>42</v>
      </c>
      <c r="H132" s="188" t="s">
        <v>498</v>
      </c>
      <c r="I132" s="162" t="s">
        <v>42</v>
      </c>
      <c r="J132" s="44" t="s">
        <v>6</v>
      </c>
      <c r="K132" s="15" t="s">
        <v>288</v>
      </c>
      <c r="L132" s="15" t="s">
        <v>288</v>
      </c>
      <c r="M132" s="15" t="s">
        <v>288</v>
      </c>
      <c r="N132" s="15" t="s">
        <v>288</v>
      </c>
      <c r="O132" s="127">
        <f t="shared" ref="O132" si="29">O133+O134</f>
        <v>20400</v>
      </c>
      <c r="P132" s="160">
        <f t="shared" ref="P132" si="30">P133+P134</f>
        <v>20400</v>
      </c>
      <c r="Q132" s="160">
        <f>Q133+Q134</f>
        <v>20400</v>
      </c>
      <c r="R132" s="160">
        <f t="shared" ref="R132:S132" si="31">R133+R134</f>
        <v>20400</v>
      </c>
      <c r="S132" s="160">
        <f t="shared" si="31"/>
        <v>20400</v>
      </c>
    </row>
    <row r="133" spans="1:19" s="1" customFormat="1" ht="93" customHeight="1" x14ac:dyDescent="0.2">
      <c r="A133" s="217"/>
      <c r="B133" s="217"/>
      <c r="C133" s="217"/>
      <c r="D133" s="217"/>
      <c r="E133" s="190"/>
      <c r="F133" s="188"/>
      <c r="G133" s="188"/>
      <c r="H133" s="188"/>
      <c r="I133" s="162"/>
      <c r="J133" s="44"/>
      <c r="K133" s="70" t="s">
        <v>289</v>
      </c>
      <c r="L133" s="193" t="s">
        <v>120</v>
      </c>
      <c r="M133" s="70" t="s">
        <v>396</v>
      </c>
      <c r="N133" s="15" t="s">
        <v>285</v>
      </c>
      <c r="O133" s="113">
        <v>2400</v>
      </c>
      <c r="P133" s="113">
        <v>2400</v>
      </c>
      <c r="Q133" s="113">
        <v>2400</v>
      </c>
      <c r="R133" s="160">
        <v>2400</v>
      </c>
      <c r="S133" s="160">
        <v>2400</v>
      </c>
    </row>
    <row r="134" spans="1:19" s="1" customFormat="1" ht="93" customHeight="1" x14ac:dyDescent="0.2">
      <c r="A134" s="208"/>
      <c r="B134" s="208"/>
      <c r="C134" s="208"/>
      <c r="D134" s="208"/>
      <c r="E134" s="191"/>
      <c r="F134" s="188"/>
      <c r="G134" s="188"/>
      <c r="H134" s="188"/>
      <c r="I134" s="162"/>
      <c r="J134" s="44"/>
      <c r="K134" s="70" t="s">
        <v>311</v>
      </c>
      <c r="L134" s="194"/>
      <c r="M134" s="70" t="s">
        <v>310</v>
      </c>
      <c r="N134" s="15" t="s">
        <v>285</v>
      </c>
      <c r="O134" s="113">
        <v>18000</v>
      </c>
      <c r="P134" s="113">
        <v>18000</v>
      </c>
      <c r="Q134" s="113">
        <v>18000</v>
      </c>
      <c r="R134" s="160">
        <v>18000</v>
      </c>
      <c r="S134" s="160">
        <v>18000</v>
      </c>
    </row>
    <row r="135" spans="1:19" s="47" customFormat="1" ht="106.5" customHeight="1" x14ac:dyDescent="0.2">
      <c r="A135" s="213" t="s">
        <v>121</v>
      </c>
      <c r="B135" s="215" t="s">
        <v>122</v>
      </c>
      <c r="C135" s="215" t="s">
        <v>123</v>
      </c>
      <c r="D135" s="215" t="s">
        <v>270</v>
      </c>
      <c r="E135" s="224" t="s">
        <v>271</v>
      </c>
      <c r="F135" s="202" t="s">
        <v>495</v>
      </c>
      <c r="G135" s="202" t="s">
        <v>42</v>
      </c>
      <c r="H135" s="161" t="s">
        <v>467</v>
      </c>
      <c r="I135" s="202" t="s">
        <v>42</v>
      </c>
      <c r="J135" s="259" t="s">
        <v>16</v>
      </c>
      <c r="K135" s="193" t="s">
        <v>284</v>
      </c>
      <c r="L135" s="193" t="s">
        <v>86</v>
      </c>
      <c r="M135" s="193" t="s">
        <v>335</v>
      </c>
      <c r="N135" s="20" t="s">
        <v>26</v>
      </c>
      <c r="O135" s="113">
        <v>71000</v>
      </c>
      <c r="P135" s="113">
        <v>71000</v>
      </c>
      <c r="Q135" s="113">
        <v>71000</v>
      </c>
      <c r="R135" s="160">
        <v>71000</v>
      </c>
      <c r="S135" s="160">
        <v>71000</v>
      </c>
    </row>
    <row r="136" spans="1:19" s="47" customFormat="1" ht="146.25" customHeight="1" x14ac:dyDescent="0.2">
      <c r="A136" s="214"/>
      <c r="B136" s="216"/>
      <c r="C136" s="216"/>
      <c r="D136" s="216"/>
      <c r="E136" s="226"/>
      <c r="F136" s="202"/>
      <c r="G136" s="202"/>
      <c r="H136" s="161" t="s">
        <v>496</v>
      </c>
      <c r="I136" s="202"/>
      <c r="J136" s="260"/>
      <c r="K136" s="194"/>
      <c r="L136" s="194"/>
      <c r="M136" s="194"/>
      <c r="N136" s="20" t="s">
        <v>285</v>
      </c>
      <c r="O136" s="113">
        <v>157484.4</v>
      </c>
      <c r="P136" s="113">
        <v>157484.4</v>
      </c>
      <c r="Q136" s="160">
        <v>197000</v>
      </c>
      <c r="R136" s="160">
        <v>197000</v>
      </c>
      <c r="S136" s="160">
        <v>197000</v>
      </c>
    </row>
    <row r="137" spans="1:19" s="47" customFormat="1" ht="222" customHeight="1" x14ac:dyDescent="0.2">
      <c r="A137" s="45" t="s">
        <v>124</v>
      </c>
      <c r="B137" s="43" t="s">
        <v>125</v>
      </c>
      <c r="C137" s="43" t="s">
        <v>126</v>
      </c>
      <c r="D137" s="43" t="s">
        <v>270</v>
      </c>
      <c r="E137" s="43" t="s">
        <v>271</v>
      </c>
      <c r="F137" s="163" t="s">
        <v>432</v>
      </c>
      <c r="G137" s="163" t="s">
        <v>42</v>
      </c>
      <c r="H137" s="153" t="s">
        <v>497</v>
      </c>
      <c r="I137" s="163" t="s">
        <v>42</v>
      </c>
      <c r="J137" s="43" t="s">
        <v>6</v>
      </c>
      <c r="K137" s="20" t="s">
        <v>284</v>
      </c>
      <c r="L137" s="20" t="s">
        <v>127</v>
      </c>
      <c r="M137" s="20" t="s">
        <v>397</v>
      </c>
      <c r="N137" s="20" t="s">
        <v>285</v>
      </c>
      <c r="O137" s="113">
        <v>2500</v>
      </c>
      <c r="P137" s="113">
        <v>2500</v>
      </c>
      <c r="Q137" s="113">
        <v>2500</v>
      </c>
      <c r="R137" s="160">
        <v>2500</v>
      </c>
      <c r="S137" s="160">
        <v>2500</v>
      </c>
    </row>
    <row r="138" spans="1:19" s="47" customFormat="1" ht="162.75" customHeight="1" x14ac:dyDescent="0.2">
      <c r="A138" s="170" t="s">
        <v>548</v>
      </c>
      <c r="B138" s="43" t="s">
        <v>552</v>
      </c>
      <c r="C138" s="43" t="s">
        <v>550</v>
      </c>
      <c r="D138" s="43" t="s">
        <v>270</v>
      </c>
      <c r="E138" s="43" t="s">
        <v>271</v>
      </c>
      <c r="F138" s="43"/>
      <c r="G138" s="43" t="s">
        <v>42</v>
      </c>
      <c r="H138" s="161" t="s">
        <v>562</v>
      </c>
      <c r="I138" s="43" t="s">
        <v>42</v>
      </c>
      <c r="J138" s="43" t="s">
        <v>6</v>
      </c>
      <c r="K138" s="20" t="s">
        <v>284</v>
      </c>
      <c r="L138" s="20" t="s">
        <v>127</v>
      </c>
      <c r="M138" s="20" t="s">
        <v>555</v>
      </c>
      <c r="N138" s="20" t="s">
        <v>285</v>
      </c>
      <c r="O138" s="113"/>
      <c r="P138" s="113"/>
      <c r="Q138" s="113">
        <v>450</v>
      </c>
      <c r="R138" s="160"/>
      <c r="S138" s="160"/>
    </row>
    <row r="139" spans="1:19" s="47" customFormat="1" ht="106.5" customHeight="1" x14ac:dyDescent="0.2">
      <c r="A139" s="170" t="s">
        <v>549</v>
      </c>
      <c r="B139" s="43" t="s">
        <v>553</v>
      </c>
      <c r="C139" s="43" t="s">
        <v>551</v>
      </c>
      <c r="D139" s="43" t="s">
        <v>270</v>
      </c>
      <c r="E139" s="43" t="s">
        <v>271</v>
      </c>
      <c r="F139" s="43"/>
      <c r="G139" s="43" t="s">
        <v>42</v>
      </c>
      <c r="H139" s="161" t="s">
        <v>561</v>
      </c>
      <c r="I139" s="43" t="s">
        <v>42</v>
      </c>
      <c r="J139" s="43" t="s">
        <v>6</v>
      </c>
      <c r="K139" s="20" t="s">
        <v>284</v>
      </c>
      <c r="L139" s="20" t="s">
        <v>127</v>
      </c>
      <c r="M139" s="20" t="s">
        <v>556</v>
      </c>
      <c r="N139" s="20" t="s">
        <v>285</v>
      </c>
      <c r="O139" s="113"/>
      <c r="P139" s="113"/>
      <c r="Q139" s="113">
        <v>1575</v>
      </c>
      <c r="R139" s="160"/>
      <c r="S139" s="160"/>
    </row>
    <row r="140" spans="1:19" ht="26.45" customHeight="1" x14ac:dyDescent="0.2">
      <c r="A140" s="5" t="s">
        <v>128</v>
      </c>
      <c r="B140" s="93" t="s">
        <v>129</v>
      </c>
      <c r="C140" s="94" t="s">
        <v>130</v>
      </c>
      <c r="D140" s="94" t="s">
        <v>0</v>
      </c>
      <c r="E140" s="94" t="s">
        <v>0</v>
      </c>
      <c r="F140" s="94" t="s">
        <v>0</v>
      </c>
      <c r="G140" s="94" t="s">
        <v>0</v>
      </c>
      <c r="H140" s="154" t="s">
        <v>0</v>
      </c>
      <c r="I140" s="94" t="s">
        <v>0</v>
      </c>
      <c r="J140" s="93" t="s">
        <v>0</v>
      </c>
      <c r="K140" s="14"/>
      <c r="L140" s="14"/>
      <c r="M140" s="14"/>
      <c r="N140" s="14"/>
      <c r="O140" s="114">
        <f>O141+O167+O168+O169+O170+O171+O184+O185+O187+O189+O190</f>
        <v>43266935.640000001</v>
      </c>
      <c r="P140" s="172">
        <f>P141+P167+P168+P169+P170+P171+P184+P185+P187+P189+P190</f>
        <v>42509458.759999998</v>
      </c>
      <c r="Q140" s="172">
        <f>Q141+Q167+Q168+Q169+Q170+Q171+Q184+Q185+Q187+Q189+Q190</f>
        <v>47378864.549999997</v>
      </c>
      <c r="R140" s="172">
        <f>R141+R167+R168+R169+R170+R171+R184+R185+R187+R189+R190</f>
        <v>42797614.549999997</v>
      </c>
      <c r="S140" s="172">
        <f>S141+S167+S168+S169+S170+S171+S184+S185+S187+S189+S190</f>
        <v>42593923.230000004</v>
      </c>
    </row>
    <row r="141" spans="1:19" s="1" customFormat="1" ht="26.45" customHeight="1" x14ac:dyDescent="0.2">
      <c r="A141" s="242" t="s">
        <v>131</v>
      </c>
      <c r="B141" s="224" t="s">
        <v>132</v>
      </c>
      <c r="C141" s="201" t="s">
        <v>133</v>
      </c>
      <c r="D141" s="202" t="s">
        <v>270</v>
      </c>
      <c r="E141" s="188" t="s">
        <v>42</v>
      </c>
      <c r="F141" s="202" t="s">
        <v>493</v>
      </c>
      <c r="G141" s="202" t="s">
        <v>42</v>
      </c>
      <c r="H141" s="102" t="s">
        <v>0</v>
      </c>
      <c r="I141" s="102" t="s">
        <v>0</v>
      </c>
      <c r="J141" s="211" t="s">
        <v>6</v>
      </c>
      <c r="K141" s="65" t="s">
        <v>475</v>
      </c>
      <c r="L141" s="65"/>
      <c r="M141" s="65"/>
      <c r="N141" s="53"/>
      <c r="O141" s="115">
        <f t="shared" ref="O141" si="32">SUM(O142:O166)</f>
        <v>11300052.74</v>
      </c>
      <c r="P141" s="115">
        <f t="shared" ref="P141:Q141" si="33">SUM(P142:P166)</f>
        <v>10850995.9</v>
      </c>
      <c r="Q141" s="115">
        <f t="shared" si="33"/>
        <v>13190459.680000002</v>
      </c>
      <c r="R141" s="115">
        <f t="shared" ref="R141:S141" si="34">SUM(R142:R166)</f>
        <v>9668800</v>
      </c>
      <c r="S141" s="115">
        <f t="shared" si="34"/>
        <v>9669300</v>
      </c>
    </row>
    <row r="142" spans="1:19" s="1" customFormat="1" ht="26.45" customHeight="1" x14ac:dyDescent="0.2">
      <c r="A142" s="242"/>
      <c r="B142" s="225"/>
      <c r="C142" s="201"/>
      <c r="D142" s="202"/>
      <c r="E142" s="188"/>
      <c r="F142" s="202"/>
      <c r="G142" s="202"/>
      <c r="H142" s="188" t="s">
        <v>467</v>
      </c>
      <c r="I142" s="202" t="s">
        <v>42</v>
      </c>
      <c r="J142" s="257"/>
      <c r="K142" s="220" t="s">
        <v>284</v>
      </c>
      <c r="L142" s="86" t="s">
        <v>127</v>
      </c>
      <c r="M142" s="70" t="s">
        <v>401</v>
      </c>
      <c r="N142" s="70" t="s">
        <v>315</v>
      </c>
      <c r="O142" s="111">
        <v>350405</v>
      </c>
      <c r="P142" s="111">
        <v>350405</v>
      </c>
      <c r="Q142" s="111">
        <v>380200</v>
      </c>
      <c r="R142" s="111">
        <v>380200</v>
      </c>
      <c r="S142" s="111">
        <v>380200</v>
      </c>
    </row>
    <row r="143" spans="1:19" s="1" customFormat="1" ht="26.45" customHeight="1" x14ac:dyDescent="0.2">
      <c r="A143" s="242"/>
      <c r="B143" s="225"/>
      <c r="C143" s="201"/>
      <c r="D143" s="202"/>
      <c r="E143" s="188"/>
      <c r="F143" s="202"/>
      <c r="G143" s="202"/>
      <c r="H143" s="188"/>
      <c r="I143" s="202"/>
      <c r="J143" s="257"/>
      <c r="K143" s="227"/>
      <c r="L143" s="220" t="s">
        <v>127</v>
      </c>
      <c r="M143" s="255" t="s">
        <v>402</v>
      </c>
      <c r="N143" s="15" t="s">
        <v>29</v>
      </c>
      <c r="O143" s="111">
        <v>2120</v>
      </c>
      <c r="P143" s="111">
        <v>2120</v>
      </c>
      <c r="Q143" s="160">
        <v>109400</v>
      </c>
      <c r="R143" s="160"/>
      <c r="S143" s="160"/>
    </row>
    <row r="144" spans="1:19" s="1" customFormat="1" ht="26.45" customHeight="1" x14ac:dyDescent="0.2">
      <c r="A144" s="242"/>
      <c r="B144" s="225"/>
      <c r="C144" s="201"/>
      <c r="D144" s="202"/>
      <c r="E144" s="188"/>
      <c r="F144" s="202"/>
      <c r="G144" s="202"/>
      <c r="H144" s="188"/>
      <c r="I144" s="202"/>
      <c r="J144" s="257"/>
      <c r="K144" s="227"/>
      <c r="L144" s="227"/>
      <c r="M144" s="255"/>
      <c r="N144" s="15" t="s">
        <v>315</v>
      </c>
      <c r="O144" s="111">
        <v>4069700</v>
      </c>
      <c r="P144" s="111">
        <v>3943974.55</v>
      </c>
      <c r="Q144" s="111">
        <v>4265500</v>
      </c>
      <c r="R144" s="111">
        <v>4265500</v>
      </c>
      <c r="S144" s="111">
        <v>4265500</v>
      </c>
    </row>
    <row r="145" spans="1:19" s="1" customFormat="1" ht="26.45" customHeight="1" x14ac:dyDescent="0.2">
      <c r="A145" s="242"/>
      <c r="B145" s="225"/>
      <c r="C145" s="201"/>
      <c r="D145" s="202"/>
      <c r="E145" s="188"/>
      <c r="F145" s="202"/>
      <c r="G145" s="202"/>
      <c r="H145" s="188"/>
      <c r="I145" s="202"/>
      <c r="J145" s="257"/>
      <c r="K145" s="227"/>
      <c r="L145" s="227"/>
      <c r="M145" s="255"/>
      <c r="N145" s="91" t="s">
        <v>285</v>
      </c>
      <c r="O145" s="111">
        <v>2574975</v>
      </c>
      <c r="P145" s="111">
        <v>2505774.0099999998</v>
      </c>
      <c r="Q145" s="111">
        <v>3878600</v>
      </c>
      <c r="R145" s="160">
        <v>1481000</v>
      </c>
      <c r="S145" s="160">
        <v>1481000</v>
      </c>
    </row>
    <row r="146" spans="1:19" s="1" customFormat="1" ht="26.45" customHeight="1" x14ac:dyDescent="0.2">
      <c r="A146" s="242"/>
      <c r="B146" s="225"/>
      <c r="C146" s="201"/>
      <c r="D146" s="202"/>
      <c r="E146" s="188"/>
      <c r="F146" s="202"/>
      <c r="G146" s="202"/>
      <c r="H146" s="188"/>
      <c r="I146" s="202"/>
      <c r="J146" s="257"/>
      <c r="K146" s="227"/>
      <c r="L146" s="227"/>
      <c r="M146" s="255"/>
      <c r="N146" s="91" t="s">
        <v>319</v>
      </c>
      <c r="O146" s="111">
        <v>1858700</v>
      </c>
      <c r="P146" s="111">
        <v>1637081.85</v>
      </c>
      <c r="Q146" s="111">
        <v>1972800</v>
      </c>
      <c r="R146" s="160">
        <v>1300000</v>
      </c>
      <c r="S146" s="160">
        <v>1300000</v>
      </c>
    </row>
    <row r="147" spans="1:19" s="1" customFormat="1" ht="26.45" customHeight="1" x14ac:dyDescent="0.2">
      <c r="A147" s="242"/>
      <c r="B147" s="225"/>
      <c r="C147" s="201"/>
      <c r="D147" s="202"/>
      <c r="E147" s="188"/>
      <c r="F147" s="202"/>
      <c r="G147" s="202"/>
      <c r="H147" s="188"/>
      <c r="I147" s="202"/>
      <c r="J147" s="257"/>
      <c r="K147" s="227"/>
      <c r="L147" s="227"/>
      <c r="M147" s="255"/>
      <c r="N147" s="91" t="s">
        <v>291</v>
      </c>
      <c r="O147" s="111"/>
      <c r="P147" s="111"/>
      <c r="Q147" s="111"/>
      <c r="R147" s="160"/>
      <c r="S147" s="160"/>
    </row>
    <row r="148" spans="1:19" s="1" customFormat="1" ht="26.45" customHeight="1" x14ac:dyDescent="0.2">
      <c r="A148" s="242"/>
      <c r="B148" s="225"/>
      <c r="C148" s="201"/>
      <c r="D148" s="202"/>
      <c r="E148" s="188"/>
      <c r="F148" s="202"/>
      <c r="G148" s="202"/>
      <c r="H148" s="188"/>
      <c r="I148" s="202"/>
      <c r="J148" s="257"/>
      <c r="K148" s="227"/>
      <c r="L148" s="227"/>
      <c r="M148" s="255"/>
      <c r="N148" s="91" t="s">
        <v>284</v>
      </c>
      <c r="O148" s="111">
        <v>64808</v>
      </c>
      <c r="P148" s="111">
        <v>64808</v>
      </c>
      <c r="Q148" s="111">
        <v>65500</v>
      </c>
      <c r="R148" s="160">
        <v>34000</v>
      </c>
      <c r="S148" s="160">
        <v>34000</v>
      </c>
    </row>
    <row r="149" spans="1:19" s="1" customFormat="1" ht="26.45" customHeight="1" x14ac:dyDescent="0.2">
      <c r="A149" s="242"/>
      <c r="B149" s="225"/>
      <c r="C149" s="201"/>
      <c r="D149" s="202"/>
      <c r="E149" s="188"/>
      <c r="F149" s="202"/>
      <c r="G149" s="202"/>
      <c r="H149" s="188"/>
      <c r="I149" s="202"/>
      <c r="J149" s="257"/>
      <c r="K149" s="227"/>
      <c r="L149" s="227"/>
      <c r="M149" s="255"/>
      <c r="N149" s="91" t="s">
        <v>292</v>
      </c>
      <c r="O149" s="111">
        <v>24800</v>
      </c>
      <c r="P149" s="111">
        <v>24800</v>
      </c>
      <c r="Q149" s="111">
        <v>19200</v>
      </c>
      <c r="R149" s="160">
        <v>10000</v>
      </c>
      <c r="S149" s="160">
        <v>10000</v>
      </c>
    </row>
    <row r="150" spans="1:19" s="1" customFormat="1" ht="26.45" customHeight="1" x14ac:dyDescent="0.2">
      <c r="A150" s="242"/>
      <c r="B150" s="225"/>
      <c r="C150" s="201"/>
      <c r="D150" s="202"/>
      <c r="E150" s="188"/>
      <c r="F150" s="202"/>
      <c r="G150" s="202"/>
      <c r="H150" s="188"/>
      <c r="I150" s="202"/>
      <c r="J150" s="257"/>
      <c r="K150" s="227"/>
      <c r="L150" s="227"/>
      <c r="M150" s="256"/>
      <c r="N150" s="91" t="s">
        <v>289</v>
      </c>
      <c r="O150" s="111"/>
      <c r="P150" s="111"/>
      <c r="Q150" s="111"/>
      <c r="R150" s="160"/>
      <c r="S150" s="160"/>
    </row>
    <row r="151" spans="1:19" s="1" customFormat="1" ht="26.45" customHeight="1" x14ac:dyDescent="0.2">
      <c r="A151" s="242"/>
      <c r="B151" s="225"/>
      <c r="C151" s="201"/>
      <c r="D151" s="202"/>
      <c r="E151" s="188"/>
      <c r="F151" s="202"/>
      <c r="G151" s="202"/>
      <c r="H151" s="188" t="s">
        <v>469</v>
      </c>
      <c r="I151" s="202" t="s">
        <v>42</v>
      </c>
      <c r="J151" s="257"/>
      <c r="K151" s="227"/>
      <c r="L151" s="227"/>
      <c r="M151" s="29" t="s">
        <v>318</v>
      </c>
      <c r="N151" s="91" t="s">
        <v>315</v>
      </c>
      <c r="O151" s="111"/>
      <c r="P151" s="111"/>
      <c r="Q151" s="111"/>
      <c r="R151" s="160"/>
      <c r="S151" s="160"/>
    </row>
    <row r="152" spans="1:19" s="1" customFormat="1" ht="26.45" customHeight="1" x14ac:dyDescent="0.2">
      <c r="A152" s="242"/>
      <c r="B152" s="225"/>
      <c r="C152" s="201"/>
      <c r="D152" s="202"/>
      <c r="E152" s="188"/>
      <c r="F152" s="202"/>
      <c r="G152" s="202"/>
      <c r="H152" s="188"/>
      <c r="I152" s="202"/>
      <c r="J152" s="257"/>
      <c r="K152" s="221"/>
      <c r="L152" s="221"/>
      <c r="M152" s="29" t="s">
        <v>317</v>
      </c>
      <c r="N152" s="91" t="s">
        <v>315</v>
      </c>
      <c r="O152" s="127">
        <v>76897.14</v>
      </c>
      <c r="P152" s="160">
        <v>76897.14</v>
      </c>
      <c r="Q152" s="160">
        <v>104395.46</v>
      </c>
      <c r="R152" s="160"/>
      <c r="S152" s="160"/>
    </row>
    <row r="153" spans="1:19" s="1" customFormat="1" ht="26.45" customHeight="1" x14ac:dyDescent="0.2">
      <c r="A153" s="242"/>
      <c r="B153" s="225"/>
      <c r="C153" s="201"/>
      <c r="D153" s="202"/>
      <c r="E153" s="188"/>
      <c r="F153" s="202"/>
      <c r="G153" s="202"/>
      <c r="H153" s="188"/>
      <c r="I153" s="202"/>
      <c r="J153" s="257"/>
      <c r="K153" s="220" t="s">
        <v>292</v>
      </c>
      <c r="L153" s="220" t="s">
        <v>66</v>
      </c>
      <c r="M153" s="220" t="s">
        <v>360</v>
      </c>
      <c r="N153" s="91" t="s">
        <v>29</v>
      </c>
      <c r="O153" s="127"/>
      <c r="P153" s="160"/>
      <c r="Q153" s="160"/>
      <c r="R153" s="160"/>
      <c r="S153" s="160"/>
    </row>
    <row r="154" spans="1:19" s="1" customFormat="1" ht="26.45" customHeight="1" x14ac:dyDescent="0.2">
      <c r="A154" s="242"/>
      <c r="B154" s="225"/>
      <c r="C154" s="201"/>
      <c r="D154" s="202" t="s">
        <v>134</v>
      </c>
      <c r="E154" s="188" t="s">
        <v>42</v>
      </c>
      <c r="F154" s="202"/>
      <c r="G154" s="202"/>
      <c r="H154" s="188" t="s">
        <v>488</v>
      </c>
      <c r="I154" s="202" t="s">
        <v>42</v>
      </c>
      <c r="J154" s="257"/>
      <c r="K154" s="227"/>
      <c r="L154" s="227"/>
      <c r="M154" s="221"/>
      <c r="N154" s="91" t="s">
        <v>315</v>
      </c>
      <c r="O154" s="127">
        <v>298683.98</v>
      </c>
      <c r="P154" s="160">
        <v>298682.86</v>
      </c>
      <c r="Q154" s="160">
        <v>316200</v>
      </c>
      <c r="R154" s="160">
        <v>316200</v>
      </c>
      <c r="S154" s="160">
        <v>316200</v>
      </c>
    </row>
    <row r="155" spans="1:19" s="1" customFormat="1" ht="26.45" customHeight="1" x14ac:dyDescent="0.2">
      <c r="A155" s="242"/>
      <c r="B155" s="225"/>
      <c r="C155" s="201"/>
      <c r="D155" s="202"/>
      <c r="E155" s="188"/>
      <c r="F155" s="202"/>
      <c r="G155" s="202"/>
      <c r="H155" s="188"/>
      <c r="I155" s="202"/>
      <c r="J155" s="257"/>
      <c r="K155" s="227"/>
      <c r="L155" s="227"/>
      <c r="M155" s="29" t="s">
        <v>322</v>
      </c>
      <c r="N155" s="91" t="s">
        <v>315</v>
      </c>
      <c r="O155" s="127"/>
      <c r="P155" s="160"/>
      <c r="Q155" s="160"/>
      <c r="R155" s="160"/>
      <c r="S155" s="160"/>
    </row>
    <row r="156" spans="1:19" s="1" customFormat="1" ht="26.45" customHeight="1" x14ac:dyDescent="0.2">
      <c r="A156" s="242"/>
      <c r="B156" s="225"/>
      <c r="C156" s="201"/>
      <c r="D156" s="202"/>
      <c r="E156" s="188"/>
      <c r="F156" s="202"/>
      <c r="G156" s="202"/>
      <c r="H156" s="188"/>
      <c r="I156" s="202"/>
      <c r="J156" s="257"/>
      <c r="K156" s="221"/>
      <c r="L156" s="221"/>
      <c r="M156" s="29" t="s">
        <v>317</v>
      </c>
      <c r="N156" s="91" t="s">
        <v>315</v>
      </c>
      <c r="O156" s="127">
        <v>9386.61</v>
      </c>
      <c r="P156" s="160">
        <v>9386.61</v>
      </c>
      <c r="Q156" s="160">
        <v>13016.8</v>
      </c>
      <c r="R156" s="160"/>
      <c r="S156" s="160"/>
    </row>
    <row r="157" spans="1:19" s="1" customFormat="1" ht="26.45" customHeight="1" x14ac:dyDescent="0.2">
      <c r="A157" s="242"/>
      <c r="B157" s="225"/>
      <c r="C157" s="201"/>
      <c r="D157" s="202"/>
      <c r="E157" s="188"/>
      <c r="F157" s="202"/>
      <c r="G157" s="202"/>
      <c r="H157" s="188"/>
      <c r="I157" s="202"/>
      <c r="J157" s="257"/>
      <c r="K157" s="220" t="s">
        <v>289</v>
      </c>
      <c r="L157" s="220" t="s">
        <v>120</v>
      </c>
      <c r="M157" s="220" t="s">
        <v>406</v>
      </c>
      <c r="N157" s="91" t="s">
        <v>29</v>
      </c>
      <c r="O157" s="127">
        <v>1140</v>
      </c>
      <c r="P157" s="160">
        <v>1140</v>
      </c>
      <c r="Q157" s="160">
        <v>14000</v>
      </c>
      <c r="R157" s="160"/>
      <c r="S157" s="160"/>
    </row>
    <row r="158" spans="1:19" s="1" customFormat="1" ht="26.45" customHeight="1" x14ac:dyDescent="0.2">
      <c r="A158" s="242"/>
      <c r="B158" s="225"/>
      <c r="C158" s="201"/>
      <c r="D158" s="202"/>
      <c r="E158" s="188"/>
      <c r="F158" s="202"/>
      <c r="G158" s="202"/>
      <c r="H158" s="188"/>
      <c r="I158" s="202"/>
      <c r="J158" s="257"/>
      <c r="K158" s="227"/>
      <c r="L158" s="227"/>
      <c r="M158" s="227"/>
      <c r="N158" s="91" t="s">
        <v>315</v>
      </c>
      <c r="O158" s="127">
        <v>1368400</v>
      </c>
      <c r="P158" s="160">
        <v>1343250.12</v>
      </c>
      <c r="Q158" s="160">
        <v>1430800</v>
      </c>
      <c r="R158" s="160">
        <v>1430800</v>
      </c>
      <c r="S158" s="160">
        <v>1430800</v>
      </c>
    </row>
    <row r="159" spans="1:19" s="1" customFormat="1" ht="26.45" customHeight="1" x14ac:dyDescent="0.2">
      <c r="A159" s="242"/>
      <c r="B159" s="225"/>
      <c r="C159" s="201"/>
      <c r="D159" s="202"/>
      <c r="E159" s="188"/>
      <c r="F159" s="202"/>
      <c r="G159" s="202"/>
      <c r="H159" s="188"/>
      <c r="I159" s="202"/>
      <c r="J159" s="257"/>
      <c r="K159" s="227"/>
      <c r="L159" s="227"/>
      <c r="M159" s="221"/>
      <c r="N159" s="91" t="s">
        <v>285</v>
      </c>
      <c r="O159" s="127">
        <v>267800</v>
      </c>
      <c r="P159" s="160">
        <v>260938.75</v>
      </c>
      <c r="Q159" s="160">
        <v>270100</v>
      </c>
      <c r="R159" s="160">
        <v>157900</v>
      </c>
      <c r="S159" s="160">
        <v>157900</v>
      </c>
    </row>
    <row r="160" spans="1:19" s="1" customFormat="1" ht="26.45" customHeight="1" x14ac:dyDescent="0.2">
      <c r="A160" s="242"/>
      <c r="B160" s="225"/>
      <c r="C160" s="201"/>
      <c r="D160" s="202"/>
      <c r="E160" s="188"/>
      <c r="F160" s="202"/>
      <c r="G160" s="202"/>
      <c r="H160" s="188" t="s">
        <v>494</v>
      </c>
      <c r="I160" s="202" t="s">
        <v>42</v>
      </c>
      <c r="J160" s="257"/>
      <c r="K160" s="227"/>
      <c r="L160" s="227"/>
      <c r="M160" s="29" t="s">
        <v>316</v>
      </c>
      <c r="N160" s="91" t="s">
        <v>315</v>
      </c>
      <c r="O160" s="127"/>
      <c r="P160" s="160"/>
      <c r="Q160" s="160"/>
      <c r="R160" s="160"/>
      <c r="S160" s="160"/>
    </row>
    <row r="161" spans="1:19" s="1" customFormat="1" ht="26.45" customHeight="1" x14ac:dyDescent="0.2">
      <c r="A161" s="242"/>
      <c r="B161" s="225"/>
      <c r="C161" s="201"/>
      <c r="D161" s="202"/>
      <c r="E161" s="188"/>
      <c r="F161" s="202"/>
      <c r="G161" s="202"/>
      <c r="H161" s="188"/>
      <c r="I161" s="202"/>
      <c r="J161" s="257"/>
      <c r="K161" s="221"/>
      <c r="L161" s="221"/>
      <c r="M161" s="29" t="s">
        <v>317</v>
      </c>
      <c r="N161" s="91" t="s">
        <v>315</v>
      </c>
      <c r="O161" s="127">
        <v>35126.53</v>
      </c>
      <c r="P161" s="160">
        <v>35126.53</v>
      </c>
      <c r="Q161" s="160">
        <v>44547.42</v>
      </c>
      <c r="R161" s="160"/>
      <c r="S161" s="160"/>
    </row>
    <row r="162" spans="1:19" s="1" customFormat="1" ht="26.45" customHeight="1" x14ac:dyDescent="0.2">
      <c r="A162" s="242"/>
      <c r="B162" s="225"/>
      <c r="C162" s="201"/>
      <c r="D162" s="202"/>
      <c r="E162" s="188"/>
      <c r="F162" s="202"/>
      <c r="G162" s="202"/>
      <c r="H162" s="188"/>
      <c r="I162" s="202"/>
      <c r="J162" s="257"/>
      <c r="K162" s="255" t="s">
        <v>312</v>
      </c>
      <c r="L162" s="255" t="s">
        <v>313</v>
      </c>
      <c r="M162" s="255" t="s">
        <v>314</v>
      </c>
      <c r="N162" s="91" t="s">
        <v>315</v>
      </c>
      <c r="O162" s="127">
        <v>75132.160000000003</v>
      </c>
      <c r="P162" s="160">
        <v>75132.160000000003</v>
      </c>
      <c r="Q162" s="160">
        <v>80300</v>
      </c>
      <c r="R162" s="160">
        <v>80300</v>
      </c>
      <c r="S162" s="160">
        <v>80300</v>
      </c>
    </row>
    <row r="163" spans="1:19" s="1" customFormat="1" ht="26.45" customHeight="1" x14ac:dyDescent="0.2">
      <c r="A163" s="242"/>
      <c r="B163" s="225"/>
      <c r="C163" s="201"/>
      <c r="D163" s="202"/>
      <c r="E163" s="188"/>
      <c r="F163" s="202"/>
      <c r="G163" s="202"/>
      <c r="H163" s="188"/>
      <c r="I163" s="202"/>
      <c r="J163" s="257"/>
      <c r="K163" s="255"/>
      <c r="L163" s="255"/>
      <c r="M163" s="255"/>
      <c r="N163" s="91" t="s">
        <v>285</v>
      </c>
      <c r="O163" s="127">
        <v>47918.09</v>
      </c>
      <c r="P163" s="160">
        <v>47418.09</v>
      </c>
      <c r="Q163" s="160">
        <v>46600</v>
      </c>
      <c r="R163" s="160">
        <v>36300</v>
      </c>
      <c r="S163" s="160">
        <v>36800</v>
      </c>
    </row>
    <row r="164" spans="1:19" s="1" customFormat="1" ht="26.45" customHeight="1" x14ac:dyDescent="0.2">
      <c r="A164" s="242"/>
      <c r="B164" s="225"/>
      <c r="C164" s="201"/>
      <c r="D164" s="202"/>
      <c r="E164" s="188"/>
      <c r="F164" s="202"/>
      <c r="G164" s="202"/>
      <c r="H164" s="188"/>
      <c r="I164" s="202"/>
      <c r="J164" s="257"/>
      <c r="K164" s="255" t="s">
        <v>311</v>
      </c>
      <c r="L164" s="255" t="s">
        <v>120</v>
      </c>
      <c r="M164" s="255" t="s">
        <v>314</v>
      </c>
      <c r="N164" s="91" t="s">
        <v>29</v>
      </c>
      <c r="O164" s="127">
        <v>1908</v>
      </c>
      <c r="P164" s="160">
        <v>1908</v>
      </c>
      <c r="Q164" s="160">
        <v>2400</v>
      </c>
      <c r="R164" s="160">
        <v>1200</v>
      </c>
      <c r="S164" s="160">
        <v>1200</v>
      </c>
    </row>
    <row r="165" spans="1:19" s="1" customFormat="1" ht="26.45" customHeight="1" x14ac:dyDescent="0.2">
      <c r="A165" s="242"/>
      <c r="B165" s="225"/>
      <c r="C165" s="201"/>
      <c r="D165" s="202"/>
      <c r="E165" s="188"/>
      <c r="F165" s="202"/>
      <c r="G165" s="202"/>
      <c r="H165" s="188"/>
      <c r="I165" s="202"/>
      <c r="J165" s="257"/>
      <c r="K165" s="255"/>
      <c r="L165" s="255"/>
      <c r="M165" s="255"/>
      <c r="N165" s="91" t="s">
        <v>315</v>
      </c>
      <c r="O165" s="127">
        <v>167652.23000000001</v>
      </c>
      <c r="P165" s="160">
        <v>167652.23000000001</v>
      </c>
      <c r="Q165" s="160">
        <v>172400</v>
      </c>
      <c r="R165" s="160">
        <v>172400</v>
      </c>
      <c r="S165" s="160">
        <v>172400</v>
      </c>
    </row>
    <row r="166" spans="1:19" s="1" customFormat="1" ht="26.45" customHeight="1" x14ac:dyDescent="0.2">
      <c r="A166" s="242"/>
      <c r="B166" s="226"/>
      <c r="C166" s="201"/>
      <c r="D166" s="202"/>
      <c r="E166" s="188"/>
      <c r="F166" s="202"/>
      <c r="G166" s="202"/>
      <c r="H166" s="188"/>
      <c r="I166" s="202"/>
      <c r="J166" s="212"/>
      <c r="K166" s="255"/>
      <c r="L166" s="255"/>
      <c r="M166" s="255"/>
      <c r="N166" s="91" t="s">
        <v>285</v>
      </c>
      <c r="O166" s="127">
        <v>4500</v>
      </c>
      <c r="P166" s="160">
        <v>4500</v>
      </c>
      <c r="Q166" s="160">
        <v>4500</v>
      </c>
      <c r="R166" s="160">
        <v>3000</v>
      </c>
      <c r="S166" s="160">
        <v>3000</v>
      </c>
    </row>
    <row r="167" spans="1:19" s="1" customFormat="1" ht="96.75" customHeight="1" x14ac:dyDescent="0.2">
      <c r="A167" s="96" t="s">
        <v>135</v>
      </c>
      <c r="B167" s="97" t="s">
        <v>136</v>
      </c>
      <c r="C167" s="72" t="s">
        <v>137</v>
      </c>
      <c r="D167" s="72" t="s">
        <v>270</v>
      </c>
      <c r="E167" s="72" t="s">
        <v>271</v>
      </c>
      <c r="F167" s="72" t="s">
        <v>492</v>
      </c>
      <c r="G167" s="72" t="s">
        <v>42</v>
      </c>
      <c r="H167" s="72" t="s">
        <v>467</v>
      </c>
      <c r="I167" s="72" t="s">
        <v>0</v>
      </c>
      <c r="J167" s="97" t="s">
        <v>20</v>
      </c>
      <c r="K167" s="15" t="s">
        <v>284</v>
      </c>
      <c r="L167" s="15" t="s">
        <v>138</v>
      </c>
      <c r="M167" s="15" t="s">
        <v>323</v>
      </c>
      <c r="N167" s="15" t="s">
        <v>324</v>
      </c>
      <c r="O167" s="127"/>
      <c r="P167" s="160"/>
      <c r="Q167" s="160"/>
      <c r="R167" s="160"/>
      <c r="S167" s="160"/>
    </row>
    <row r="168" spans="1:19" s="1" customFormat="1" ht="100.5" customHeight="1" x14ac:dyDescent="0.2">
      <c r="A168" s="96" t="s">
        <v>139</v>
      </c>
      <c r="B168" s="97" t="s">
        <v>140</v>
      </c>
      <c r="C168" s="97" t="s">
        <v>141</v>
      </c>
      <c r="D168" s="97" t="s">
        <v>270</v>
      </c>
      <c r="E168" s="97" t="s">
        <v>271</v>
      </c>
      <c r="F168" s="97" t="s">
        <v>433</v>
      </c>
      <c r="G168" s="97" t="s">
        <v>42</v>
      </c>
      <c r="H168" s="97" t="s">
        <v>467</v>
      </c>
      <c r="I168" s="97" t="s">
        <v>0</v>
      </c>
      <c r="J168" s="97" t="s">
        <v>6</v>
      </c>
      <c r="K168" s="70" t="s">
        <v>284</v>
      </c>
      <c r="L168" s="70" t="s">
        <v>127</v>
      </c>
      <c r="M168" s="91" t="s">
        <v>405</v>
      </c>
      <c r="N168" s="19" t="s">
        <v>289</v>
      </c>
      <c r="O168" s="127">
        <v>78000</v>
      </c>
      <c r="P168" s="160">
        <v>78000</v>
      </c>
      <c r="Q168" s="160">
        <v>78000</v>
      </c>
      <c r="R168" s="160"/>
      <c r="S168" s="160"/>
    </row>
    <row r="169" spans="1:19" s="1" customFormat="1" ht="73.5" customHeight="1" x14ac:dyDescent="0.2">
      <c r="A169" s="207" t="s">
        <v>142</v>
      </c>
      <c r="B169" s="207" t="s">
        <v>143</v>
      </c>
      <c r="C169" s="207" t="s">
        <v>144</v>
      </c>
      <c r="D169" s="207" t="s">
        <v>145</v>
      </c>
      <c r="E169" s="207" t="s">
        <v>42</v>
      </c>
      <c r="F169" s="215" t="s">
        <v>540</v>
      </c>
      <c r="G169" s="207" t="s">
        <v>541</v>
      </c>
      <c r="H169" s="207" t="s">
        <v>467</v>
      </c>
      <c r="I169" s="207" t="s">
        <v>42</v>
      </c>
      <c r="J169" s="18" t="s">
        <v>6</v>
      </c>
      <c r="K169" s="91" t="s">
        <v>284</v>
      </c>
      <c r="L169" s="91" t="s">
        <v>127</v>
      </c>
      <c r="M169" s="91" t="s">
        <v>403</v>
      </c>
      <c r="N169" s="19" t="s">
        <v>285</v>
      </c>
      <c r="O169" s="127">
        <v>100000</v>
      </c>
      <c r="P169" s="160">
        <v>100000</v>
      </c>
      <c r="Q169" s="160">
        <v>100000</v>
      </c>
      <c r="R169" s="160"/>
      <c r="S169" s="160"/>
    </row>
    <row r="170" spans="1:19" s="1" customFormat="1" ht="73.5" customHeight="1" x14ac:dyDescent="0.2">
      <c r="A170" s="208"/>
      <c r="B170" s="208"/>
      <c r="C170" s="208"/>
      <c r="D170" s="208"/>
      <c r="E170" s="208"/>
      <c r="F170" s="216"/>
      <c r="G170" s="208"/>
      <c r="H170" s="208"/>
      <c r="I170" s="208"/>
      <c r="J170" s="18"/>
      <c r="K170" s="91" t="s">
        <v>284</v>
      </c>
      <c r="L170" s="91" t="s">
        <v>127</v>
      </c>
      <c r="M170" s="91" t="s">
        <v>404</v>
      </c>
      <c r="N170" s="19" t="s">
        <v>285</v>
      </c>
      <c r="O170" s="127">
        <v>55120.2</v>
      </c>
      <c r="P170" s="160">
        <v>55120.2</v>
      </c>
      <c r="Q170" s="160">
        <v>100000</v>
      </c>
      <c r="R170" s="160"/>
      <c r="S170" s="160"/>
    </row>
    <row r="171" spans="1:19" s="47" customFormat="1" ht="26.45" customHeight="1" x14ac:dyDescent="0.2">
      <c r="A171" s="242" t="s">
        <v>146</v>
      </c>
      <c r="B171" s="43" t="s">
        <v>147</v>
      </c>
      <c r="C171" s="243" t="s">
        <v>148</v>
      </c>
      <c r="D171" s="215" t="s">
        <v>270</v>
      </c>
      <c r="E171" s="215" t="s">
        <v>271</v>
      </c>
      <c r="F171" s="240" t="s">
        <v>444</v>
      </c>
      <c r="G171" s="215" t="s">
        <v>42</v>
      </c>
      <c r="H171" s="215" t="s">
        <v>442</v>
      </c>
      <c r="I171" s="246" t="s">
        <v>0</v>
      </c>
      <c r="J171" s="246" t="s">
        <v>6</v>
      </c>
      <c r="K171" s="68"/>
      <c r="L171" s="68"/>
      <c r="M171" s="49"/>
      <c r="N171" s="49"/>
      <c r="O171" s="128">
        <f t="shared" ref="O171" si="35">SUM(O172:O183)</f>
        <v>21436176.510000002</v>
      </c>
      <c r="P171" s="157">
        <f t="shared" ref="P171:Q171" si="36">SUM(P172:P183)</f>
        <v>21348237.870000001</v>
      </c>
      <c r="Q171" s="157">
        <f t="shared" si="36"/>
        <v>22540890.32</v>
      </c>
      <c r="R171" s="157">
        <f t="shared" ref="R171:S171" si="37">SUM(R172:R183)</f>
        <v>22004600</v>
      </c>
      <c r="S171" s="157">
        <f t="shared" si="37"/>
        <v>22004600</v>
      </c>
    </row>
    <row r="172" spans="1:19" s="47" customFormat="1" ht="26.45" customHeight="1" x14ac:dyDescent="0.2">
      <c r="A172" s="242"/>
      <c r="B172" s="43"/>
      <c r="C172" s="243"/>
      <c r="D172" s="228"/>
      <c r="E172" s="228"/>
      <c r="F172" s="253"/>
      <c r="G172" s="228"/>
      <c r="H172" s="228"/>
      <c r="I172" s="248"/>
      <c r="J172" s="247"/>
      <c r="K172" s="85" t="s">
        <v>284</v>
      </c>
      <c r="L172" s="85" t="s">
        <v>127</v>
      </c>
      <c r="M172" s="88" t="s">
        <v>401</v>
      </c>
      <c r="N172" s="20" t="s">
        <v>28</v>
      </c>
      <c r="O172" s="111">
        <v>1206000</v>
      </c>
      <c r="P172" s="111">
        <v>1206000</v>
      </c>
      <c r="Q172" s="111">
        <v>1259000</v>
      </c>
      <c r="R172" s="111">
        <v>1259000</v>
      </c>
      <c r="S172" s="111">
        <v>1259000</v>
      </c>
    </row>
    <row r="173" spans="1:19" s="47" customFormat="1" ht="26.45" customHeight="1" x14ac:dyDescent="0.2">
      <c r="A173" s="242"/>
      <c r="B173" s="43"/>
      <c r="C173" s="243"/>
      <c r="D173" s="228"/>
      <c r="E173" s="228"/>
      <c r="F173" s="253"/>
      <c r="G173" s="228"/>
      <c r="H173" s="228"/>
      <c r="I173" s="248"/>
      <c r="J173" s="248"/>
      <c r="K173" s="85" t="s">
        <v>284</v>
      </c>
      <c r="L173" s="85" t="s">
        <v>127</v>
      </c>
      <c r="M173" s="82" t="s">
        <v>402</v>
      </c>
      <c r="N173" s="20" t="s">
        <v>28</v>
      </c>
      <c r="O173" s="111">
        <v>13475800</v>
      </c>
      <c r="P173" s="111">
        <v>13392466.619999999</v>
      </c>
      <c r="Q173" s="111">
        <v>14124100</v>
      </c>
      <c r="R173" s="111">
        <v>14124100</v>
      </c>
      <c r="S173" s="111">
        <v>14124100</v>
      </c>
    </row>
    <row r="174" spans="1:19" s="47" customFormat="1" ht="26.45" customHeight="1" x14ac:dyDescent="0.2">
      <c r="A174" s="242"/>
      <c r="B174" s="43"/>
      <c r="C174" s="243"/>
      <c r="D174" s="228"/>
      <c r="E174" s="228"/>
      <c r="F174" s="253"/>
      <c r="G174" s="228"/>
      <c r="H174" s="228"/>
      <c r="I174" s="248"/>
      <c r="J174" s="248"/>
      <c r="K174" s="85" t="s">
        <v>284</v>
      </c>
      <c r="L174" s="85" t="s">
        <v>127</v>
      </c>
      <c r="M174" s="86" t="s">
        <v>318</v>
      </c>
      <c r="N174" s="46" t="s">
        <v>28</v>
      </c>
      <c r="O174" s="111"/>
      <c r="P174" s="111"/>
      <c r="Q174" s="111"/>
      <c r="R174" s="158"/>
      <c r="S174" s="158"/>
    </row>
    <row r="175" spans="1:19" s="47" customFormat="1" ht="26.45" customHeight="1" x14ac:dyDescent="0.2">
      <c r="A175" s="242"/>
      <c r="B175" s="43"/>
      <c r="C175" s="243"/>
      <c r="D175" s="216"/>
      <c r="E175" s="216"/>
      <c r="F175" s="253"/>
      <c r="G175" s="228"/>
      <c r="H175" s="228"/>
      <c r="I175" s="248"/>
      <c r="J175" s="248"/>
      <c r="K175" s="85" t="s">
        <v>284</v>
      </c>
      <c r="L175" s="85" t="s">
        <v>127</v>
      </c>
      <c r="M175" s="86" t="s">
        <v>317</v>
      </c>
      <c r="N175" s="46" t="s">
        <v>28</v>
      </c>
      <c r="O175" s="127">
        <v>254626.22</v>
      </c>
      <c r="P175" s="160">
        <v>254626.22</v>
      </c>
      <c r="Q175" s="160">
        <v>345680.32</v>
      </c>
      <c r="R175" s="158"/>
      <c r="S175" s="158"/>
    </row>
    <row r="176" spans="1:19" s="47" customFormat="1" ht="26.45" customHeight="1" x14ac:dyDescent="0.2">
      <c r="A176" s="242"/>
      <c r="B176" s="43"/>
      <c r="C176" s="243"/>
      <c r="D176" s="215" t="s">
        <v>434</v>
      </c>
      <c r="E176" s="215" t="s">
        <v>42</v>
      </c>
      <c r="F176" s="253"/>
      <c r="G176" s="228"/>
      <c r="H176" s="215" t="s">
        <v>443</v>
      </c>
      <c r="I176" s="248"/>
      <c r="J176" s="248"/>
      <c r="K176" s="85" t="s">
        <v>292</v>
      </c>
      <c r="L176" s="85" t="s">
        <v>66</v>
      </c>
      <c r="M176" s="86" t="s">
        <v>360</v>
      </c>
      <c r="N176" s="85" t="s">
        <v>28</v>
      </c>
      <c r="O176" s="127">
        <v>1007316.02</v>
      </c>
      <c r="P176" s="160">
        <v>1007316.02</v>
      </c>
      <c r="Q176" s="160">
        <v>1047000</v>
      </c>
      <c r="R176" s="158">
        <v>1047000</v>
      </c>
      <c r="S176" s="158">
        <v>1047000</v>
      </c>
    </row>
    <row r="177" spans="1:19" s="47" customFormat="1" ht="26.45" customHeight="1" x14ac:dyDescent="0.2">
      <c r="A177" s="242"/>
      <c r="B177" s="43"/>
      <c r="C177" s="243"/>
      <c r="D177" s="228"/>
      <c r="E177" s="228"/>
      <c r="F177" s="253"/>
      <c r="G177" s="228"/>
      <c r="H177" s="228"/>
      <c r="I177" s="248"/>
      <c r="J177" s="248"/>
      <c r="K177" s="85" t="s">
        <v>292</v>
      </c>
      <c r="L177" s="85" t="s">
        <v>66</v>
      </c>
      <c r="M177" s="86" t="s">
        <v>322</v>
      </c>
      <c r="N177" s="85" t="s">
        <v>28</v>
      </c>
      <c r="O177" s="127"/>
      <c r="P177" s="160"/>
      <c r="Q177" s="160"/>
      <c r="R177" s="158"/>
      <c r="S177" s="158"/>
    </row>
    <row r="178" spans="1:19" s="47" customFormat="1" ht="26.45" customHeight="1" x14ac:dyDescent="0.2">
      <c r="A178" s="242"/>
      <c r="B178" s="43"/>
      <c r="C178" s="243"/>
      <c r="D178" s="228"/>
      <c r="E178" s="228"/>
      <c r="F178" s="253"/>
      <c r="G178" s="228"/>
      <c r="H178" s="228"/>
      <c r="I178" s="248"/>
      <c r="J178" s="248"/>
      <c r="K178" s="85" t="s">
        <v>292</v>
      </c>
      <c r="L178" s="85" t="s">
        <v>66</v>
      </c>
      <c r="M178" s="86" t="s">
        <v>317</v>
      </c>
      <c r="N178" s="85" t="s">
        <v>28</v>
      </c>
      <c r="O178" s="127">
        <v>31081.5</v>
      </c>
      <c r="P178" s="160">
        <v>31081.5</v>
      </c>
      <c r="Q178" s="160">
        <v>43102</v>
      </c>
      <c r="R178" s="158"/>
      <c r="S178" s="158"/>
    </row>
    <row r="179" spans="1:19" s="47" customFormat="1" ht="26.45" customHeight="1" x14ac:dyDescent="0.2">
      <c r="A179" s="242"/>
      <c r="B179" s="43"/>
      <c r="C179" s="243"/>
      <c r="D179" s="228"/>
      <c r="E179" s="228"/>
      <c r="F179" s="253"/>
      <c r="G179" s="228"/>
      <c r="H179" s="228"/>
      <c r="I179" s="248"/>
      <c r="J179" s="247"/>
      <c r="K179" s="85" t="s">
        <v>289</v>
      </c>
      <c r="L179" s="85" t="s">
        <v>120</v>
      </c>
      <c r="M179" s="86" t="s">
        <v>406</v>
      </c>
      <c r="N179" s="85" t="s">
        <v>28</v>
      </c>
      <c r="O179" s="127">
        <v>4531300</v>
      </c>
      <c r="P179" s="160">
        <v>4526694.74</v>
      </c>
      <c r="Q179" s="160">
        <v>4737800</v>
      </c>
      <c r="R179" s="160">
        <v>4737800</v>
      </c>
      <c r="S179" s="160">
        <v>4737800</v>
      </c>
    </row>
    <row r="180" spans="1:19" s="47" customFormat="1" ht="26.45" customHeight="1" x14ac:dyDescent="0.2">
      <c r="A180" s="242"/>
      <c r="B180" s="43"/>
      <c r="C180" s="243"/>
      <c r="D180" s="228"/>
      <c r="E180" s="228"/>
      <c r="F180" s="253"/>
      <c r="G180" s="228"/>
      <c r="H180" s="228"/>
      <c r="I180" s="248"/>
      <c r="J180" s="248"/>
      <c r="K180" s="85" t="s">
        <v>289</v>
      </c>
      <c r="L180" s="85" t="s">
        <v>120</v>
      </c>
      <c r="M180" s="86" t="s">
        <v>316</v>
      </c>
      <c r="N180" s="85" t="s">
        <v>28</v>
      </c>
      <c r="O180" s="127"/>
      <c r="P180" s="160"/>
      <c r="Q180" s="160"/>
      <c r="R180" s="158"/>
      <c r="S180" s="158"/>
    </row>
    <row r="181" spans="1:19" s="47" customFormat="1" ht="26.45" customHeight="1" x14ac:dyDescent="0.2">
      <c r="A181" s="242"/>
      <c r="B181" s="43"/>
      <c r="C181" s="243"/>
      <c r="D181" s="228"/>
      <c r="E181" s="228"/>
      <c r="F181" s="253"/>
      <c r="G181" s="228"/>
      <c r="H181" s="228"/>
      <c r="I181" s="248"/>
      <c r="J181" s="248"/>
      <c r="K181" s="85" t="s">
        <v>289</v>
      </c>
      <c r="L181" s="85" t="s">
        <v>120</v>
      </c>
      <c r="M181" s="86" t="s">
        <v>317</v>
      </c>
      <c r="N181" s="85" t="s">
        <v>28</v>
      </c>
      <c r="O181" s="127">
        <v>116313</v>
      </c>
      <c r="P181" s="160">
        <v>116313</v>
      </c>
      <c r="Q181" s="160">
        <v>147508</v>
      </c>
      <c r="R181" s="158"/>
      <c r="S181" s="158"/>
    </row>
    <row r="182" spans="1:19" s="47" customFormat="1" ht="26.45" customHeight="1" x14ac:dyDescent="0.2">
      <c r="A182" s="242"/>
      <c r="B182" s="43"/>
      <c r="C182" s="243"/>
      <c r="D182" s="228"/>
      <c r="E182" s="228"/>
      <c r="F182" s="253"/>
      <c r="G182" s="228"/>
      <c r="H182" s="228"/>
      <c r="I182" s="248"/>
      <c r="J182" s="248"/>
      <c r="K182" s="83" t="s">
        <v>312</v>
      </c>
      <c r="L182" s="83" t="s">
        <v>313</v>
      </c>
      <c r="M182" s="30" t="s">
        <v>314</v>
      </c>
      <c r="N182" s="84" t="s">
        <v>28</v>
      </c>
      <c r="O182" s="127">
        <v>254600</v>
      </c>
      <c r="P182" s="160">
        <v>254600</v>
      </c>
      <c r="Q182" s="160">
        <v>265800</v>
      </c>
      <c r="R182" s="160">
        <v>265800</v>
      </c>
      <c r="S182" s="160">
        <v>265800</v>
      </c>
    </row>
    <row r="183" spans="1:19" s="47" customFormat="1" ht="26.45" customHeight="1" x14ac:dyDescent="0.2">
      <c r="A183" s="242"/>
      <c r="B183" s="43"/>
      <c r="C183" s="243"/>
      <c r="D183" s="228"/>
      <c r="E183" s="228"/>
      <c r="F183" s="254"/>
      <c r="G183" s="216"/>
      <c r="H183" s="216"/>
      <c r="I183" s="249"/>
      <c r="J183" s="249"/>
      <c r="K183" s="82" t="s">
        <v>311</v>
      </c>
      <c r="L183" s="82" t="s">
        <v>120</v>
      </c>
      <c r="M183" s="82" t="s">
        <v>321</v>
      </c>
      <c r="N183" s="20" t="s">
        <v>28</v>
      </c>
      <c r="O183" s="127">
        <v>559139.77</v>
      </c>
      <c r="P183" s="160">
        <v>559139.77</v>
      </c>
      <c r="Q183" s="160">
        <v>570900</v>
      </c>
      <c r="R183" s="160">
        <v>570900</v>
      </c>
      <c r="S183" s="160">
        <v>570900</v>
      </c>
    </row>
    <row r="184" spans="1:19" s="47" customFormat="1" ht="162.75" customHeight="1" x14ac:dyDescent="0.2">
      <c r="A184" s="45" t="s">
        <v>149</v>
      </c>
      <c r="B184" s="43" t="s">
        <v>150</v>
      </c>
      <c r="C184" s="43" t="s">
        <v>151</v>
      </c>
      <c r="D184" s="73" t="s">
        <v>270</v>
      </c>
      <c r="E184" s="43" t="s">
        <v>271</v>
      </c>
      <c r="F184" s="43" t="s">
        <v>445</v>
      </c>
      <c r="G184" s="43" t="s">
        <v>42</v>
      </c>
      <c r="H184" s="43" t="s">
        <v>438</v>
      </c>
      <c r="I184" s="43" t="s">
        <v>42</v>
      </c>
      <c r="J184" s="50" t="s">
        <v>20</v>
      </c>
      <c r="K184" s="49" t="s">
        <v>284</v>
      </c>
      <c r="L184" s="51" t="s">
        <v>152</v>
      </c>
      <c r="M184" s="51" t="s">
        <v>407</v>
      </c>
      <c r="N184" s="52" t="s">
        <v>285</v>
      </c>
      <c r="O184" s="128">
        <v>34855</v>
      </c>
      <c r="P184" s="157">
        <v>34855</v>
      </c>
      <c r="Q184" s="157">
        <v>35500</v>
      </c>
      <c r="R184" s="157"/>
      <c r="S184" s="157"/>
    </row>
    <row r="185" spans="1:19" s="47" customFormat="1" ht="78.75" customHeight="1" x14ac:dyDescent="0.2">
      <c r="A185" s="213" t="s">
        <v>153</v>
      </c>
      <c r="B185" s="215" t="s">
        <v>154</v>
      </c>
      <c r="C185" s="224" t="s">
        <v>155</v>
      </c>
      <c r="D185" s="75" t="s">
        <v>270</v>
      </c>
      <c r="E185" s="54" t="s">
        <v>271</v>
      </c>
      <c r="F185" s="215" t="s">
        <v>444</v>
      </c>
      <c r="G185" s="215" t="s">
        <v>448</v>
      </c>
      <c r="H185" s="215" t="s">
        <v>491</v>
      </c>
      <c r="I185" s="215" t="s">
        <v>42</v>
      </c>
      <c r="J185" s="244" t="s">
        <v>15</v>
      </c>
      <c r="K185" s="250" t="s">
        <v>284</v>
      </c>
      <c r="L185" s="252" t="s">
        <v>35</v>
      </c>
      <c r="M185" s="252" t="s">
        <v>341</v>
      </c>
      <c r="N185" s="250" t="s">
        <v>291</v>
      </c>
      <c r="O185" s="187">
        <v>3017551.22</v>
      </c>
      <c r="P185" s="187">
        <v>3017551.22</v>
      </c>
      <c r="Q185" s="187">
        <v>3238400</v>
      </c>
      <c r="R185" s="187">
        <v>3238400</v>
      </c>
      <c r="S185" s="187">
        <v>3238400</v>
      </c>
    </row>
    <row r="186" spans="1:19" s="47" customFormat="1" ht="78.75" customHeight="1" x14ac:dyDescent="0.2">
      <c r="A186" s="214"/>
      <c r="B186" s="216"/>
      <c r="C186" s="226"/>
      <c r="D186" s="75" t="s">
        <v>446</v>
      </c>
      <c r="E186" s="54" t="s">
        <v>447</v>
      </c>
      <c r="F186" s="216"/>
      <c r="G186" s="216"/>
      <c r="H186" s="216"/>
      <c r="I186" s="216"/>
      <c r="J186" s="245"/>
      <c r="K186" s="251"/>
      <c r="L186" s="251"/>
      <c r="M186" s="251"/>
      <c r="N186" s="251"/>
      <c r="O186" s="187"/>
      <c r="P186" s="187"/>
      <c r="Q186" s="187"/>
      <c r="R186" s="187"/>
      <c r="S186" s="187"/>
    </row>
    <row r="187" spans="1:19" s="47" customFormat="1" ht="123" customHeight="1" x14ac:dyDescent="0.2">
      <c r="A187" s="242" t="s">
        <v>156</v>
      </c>
      <c r="B187" s="215" t="s">
        <v>157</v>
      </c>
      <c r="C187" s="243" t="s">
        <v>158</v>
      </c>
      <c r="D187" s="218" t="s">
        <v>270</v>
      </c>
      <c r="E187" s="215" t="s">
        <v>271</v>
      </c>
      <c r="F187" s="215" t="s">
        <v>46</v>
      </c>
      <c r="G187" s="215" t="s">
        <v>42</v>
      </c>
      <c r="H187" s="215" t="s">
        <v>469</v>
      </c>
      <c r="I187" s="215" t="s">
        <v>42</v>
      </c>
      <c r="J187" s="244" t="s">
        <v>11</v>
      </c>
      <c r="K187" s="49" t="s">
        <v>292</v>
      </c>
      <c r="L187" s="49" t="s">
        <v>51</v>
      </c>
      <c r="M187" s="49" t="s">
        <v>359</v>
      </c>
      <c r="N187" s="49" t="s">
        <v>297</v>
      </c>
      <c r="O187" s="128">
        <v>4157332.29</v>
      </c>
      <c r="P187" s="157">
        <v>3936850.89</v>
      </c>
      <c r="Q187" s="157">
        <f>4889415.11-0.56</f>
        <v>4889414.5500000007</v>
      </c>
      <c r="R187" s="157">
        <f>4889415.11-0.56</f>
        <v>4889414.5500000007</v>
      </c>
      <c r="S187" s="157">
        <f>4685224.07-0.84</f>
        <v>4685223.2300000004</v>
      </c>
    </row>
    <row r="188" spans="1:19" s="48" customFormat="1" ht="123" customHeight="1" x14ac:dyDescent="0.2">
      <c r="A188" s="242" t="s">
        <v>0</v>
      </c>
      <c r="B188" s="216"/>
      <c r="C188" s="243" t="s">
        <v>0</v>
      </c>
      <c r="D188" s="216"/>
      <c r="E188" s="216"/>
      <c r="F188" s="216"/>
      <c r="G188" s="216"/>
      <c r="H188" s="216"/>
      <c r="I188" s="216"/>
      <c r="J188" s="245"/>
      <c r="K188" s="67"/>
      <c r="L188" s="67"/>
      <c r="M188" s="67"/>
      <c r="N188" s="13"/>
      <c r="O188" s="116"/>
      <c r="P188" s="116"/>
      <c r="Q188" s="116"/>
      <c r="R188" s="116"/>
      <c r="S188" s="116"/>
    </row>
    <row r="189" spans="1:19" s="47" customFormat="1" ht="108.75" customHeight="1" x14ac:dyDescent="0.2">
      <c r="A189" s="215" t="s">
        <v>159</v>
      </c>
      <c r="B189" s="215" t="s">
        <v>160</v>
      </c>
      <c r="C189" s="215" t="s">
        <v>161</v>
      </c>
      <c r="D189" s="64" t="s">
        <v>450</v>
      </c>
      <c r="E189" s="60" t="s">
        <v>451</v>
      </c>
      <c r="F189" s="215" t="s">
        <v>465</v>
      </c>
      <c r="G189" s="215" t="s">
        <v>42</v>
      </c>
      <c r="H189" s="97" t="s">
        <v>463</v>
      </c>
      <c r="I189" s="43" t="s">
        <v>42</v>
      </c>
      <c r="J189" s="42" t="s">
        <v>6</v>
      </c>
      <c r="K189" s="85" t="s">
        <v>284</v>
      </c>
      <c r="L189" s="85" t="s">
        <v>152</v>
      </c>
      <c r="M189" s="85" t="s">
        <v>408</v>
      </c>
      <c r="N189" s="46" t="s">
        <v>296</v>
      </c>
      <c r="O189" s="126">
        <v>2846536.68</v>
      </c>
      <c r="P189" s="158">
        <v>2846536.68</v>
      </c>
      <c r="Q189" s="158">
        <v>3206200</v>
      </c>
      <c r="R189" s="158">
        <v>2996400</v>
      </c>
      <c r="S189" s="158">
        <v>2996400</v>
      </c>
    </row>
    <row r="190" spans="1:19" s="47" customFormat="1" ht="116.25" customHeight="1" x14ac:dyDescent="0.2">
      <c r="A190" s="216"/>
      <c r="B190" s="216"/>
      <c r="C190" s="216"/>
      <c r="D190" s="43" t="s">
        <v>449</v>
      </c>
      <c r="E190" s="43"/>
      <c r="F190" s="216"/>
      <c r="G190" s="216"/>
      <c r="H190" s="43" t="s">
        <v>464</v>
      </c>
      <c r="I190" s="43" t="s">
        <v>42</v>
      </c>
      <c r="J190" s="43">
        <v>1</v>
      </c>
      <c r="K190" s="85" t="s">
        <v>284</v>
      </c>
      <c r="L190" s="85" t="s">
        <v>152</v>
      </c>
      <c r="M190" s="85" t="s">
        <v>408</v>
      </c>
      <c r="N190" s="20" t="s">
        <v>297</v>
      </c>
      <c r="O190" s="126">
        <v>241311</v>
      </c>
      <c r="P190" s="158">
        <v>241311</v>
      </c>
      <c r="Q190" s="158">
        <v>0</v>
      </c>
      <c r="R190" s="158">
        <v>0</v>
      </c>
      <c r="S190" s="158">
        <v>0</v>
      </c>
    </row>
    <row r="191" spans="1:19" ht="26.45" customHeight="1" x14ac:dyDescent="0.2">
      <c r="A191" s="5" t="s">
        <v>162</v>
      </c>
      <c r="B191" s="93" t="s">
        <v>163</v>
      </c>
      <c r="C191" s="93" t="s">
        <v>164</v>
      </c>
      <c r="D191" s="97"/>
      <c r="E191" s="97"/>
      <c r="F191" s="93" t="s">
        <v>0</v>
      </c>
      <c r="G191" s="93" t="s">
        <v>0</v>
      </c>
      <c r="H191" s="93" t="s">
        <v>0</v>
      </c>
      <c r="I191" s="93" t="s">
        <v>0</v>
      </c>
      <c r="J191" s="93" t="s">
        <v>0</v>
      </c>
      <c r="K191" s="14"/>
      <c r="L191" s="14"/>
      <c r="M191" s="14"/>
      <c r="N191" s="14"/>
      <c r="O191" s="117">
        <f t="shared" ref="O191" si="38">O192+O202</f>
        <v>23681735.080000002</v>
      </c>
      <c r="P191" s="173">
        <f t="shared" ref="P191" si="39">P192+P202</f>
        <v>22905605.550000001</v>
      </c>
      <c r="Q191" s="173">
        <f t="shared" ref="Q191:S191" si="40">Q192+Q202</f>
        <v>20211117.75</v>
      </c>
      <c r="R191" s="173">
        <f t="shared" si="40"/>
        <v>24437763.949999999</v>
      </c>
      <c r="S191" s="173">
        <f t="shared" si="40"/>
        <v>25871580.550000001</v>
      </c>
    </row>
    <row r="192" spans="1:19" ht="26.45" customHeight="1" x14ac:dyDescent="0.2">
      <c r="A192" s="6" t="s">
        <v>165</v>
      </c>
      <c r="B192" s="93" t="s">
        <v>166</v>
      </c>
      <c r="C192" s="93" t="s">
        <v>167</v>
      </c>
      <c r="D192" s="93" t="s">
        <v>0</v>
      </c>
      <c r="E192" s="93" t="s">
        <v>0</v>
      </c>
      <c r="F192" s="93" t="s">
        <v>0</v>
      </c>
      <c r="G192" s="93" t="s">
        <v>0</v>
      </c>
      <c r="H192" s="93" t="s">
        <v>0</v>
      </c>
      <c r="I192" s="93" t="s">
        <v>0</v>
      </c>
      <c r="J192" s="93" t="s">
        <v>168</v>
      </c>
      <c r="K192" s="14"/>
      <c r="L192" s="14"/>
      <c r="M192" s="14"/>
      <c r="N192" s="14"/>
      <c r="O192" s="118">
        <f t="shared" ref="O192" si="41">O193+O195+O196+O201</f>
        <v>806203.20000000007</v>
      </c>
      <c r="P192" s="174">
        <f t="shared" ref="P192:Q192" si="42">P193+P195+P196+P201</f>
        <v>806203.20000000007</v>
      </c>
      <c r="Q192" s="174">
        <f t="shared" si="42"/>
        <v>576103.19999999995</v>
      </c>
      <c r="R192" s="174">
        <f t="shared" ref="R192:S192" si="43">R193+R195+R196+R201</f>
        <v>602061.4</v>
      </c>
      <c r="S192" s="174">
        <f t="shared" si="43"/>
        <v>623078</v>
      </c>
    </row>
    <row r="193" spans="1:19" s="47" customFormat="1" ht="70.5" customHeight="1" x14ac:dyDescent="0.2">
      <c r="A193" s="242" t="s">
        <v>169</v>
      </c>
      <c r="B193" s="43" t="s">
        <v>170</v>
      </c>
      <c r="C193" s="243" t="s">
        <v>171</v>
      </c>
      <c r="D193" s="43" t="s">
        <v>270</v>
      </c>
      <c r="E193" s="43" t="s">
        <v>272</v>
      </c>
      <c r="F193" s="215" t="s">
        <v>453</v>
      </c>
      <c r="G193" s="215" t="s">
        <v>42</v>
      </c>
      <c r="H193" s="215" t="s">
        <v>469</v>
      </c>
      <c r="I193" s="215" t="s">
        <v>42</v>
      </c>
      <c r="J193" s="215" t="s">
        <v>168</v>
      </c>
      <c r="K193" s="193" t="s">
        <v>292</v>
      </c>
      <c r="L193" s="193" t="s">
        <v>102</v>
      </c>
      <c r="M193" s="193" t="s">
        <v>293</v>
      </c>
      <c r="N193" s="193" t="s">
        <v>294</v>
      </c>
      <c r="O193" s="192"/>
      <c r="P193" s="192"/>
      <c r="Q193" s="192"/>
      <c r="R193" s="192"/>
      <c r="S193" s="192"/>
    </row>
    <row r="194" spans="1:19" s="48" customFormat="1" ht="187.5" customHeight="1" x14ac:dyDescent="0.2">
      <c r="A194" s="242" t="s">
        <v>0</v>
      </c>
      <c r="B194" s="76" t="s">
        <v>170</v>
      </c>
      <c r="C194" s="243" t="s">
        <v>0</v>
      </c>
      <c r="D194" s="43" t="s">
        <v>452</v>
      </c>
      <c r="E194" s="43" t="s">
        <v>42</v>
      </c>
      <c r="F194" s="216"/>
      <c r="G194" s="216"/>
      <c r="H194" s="216"/>
      <c r="I194" s="216"/>
      <c r="J194" s="216"/>
      <c r="K194" s="194"/>
      <c r="L194" s="194"/>
      <c r="M194" s="194"/>
      <c r="N194" s="194"/>
      <c r="O194" s="192"/>
      <c r="P194" s="192"/>
      <c r="Q194" s="192"/>
      <c r="R194" s="192"/>
      <c r="S194" s="192"/>
    </row>
    <row r="195" spans="1:19" s="1" customFormat="1" ht="99" customHeight="1" x14ac:dyDescent="0.2">
      <c r="A195" s="96" t="s">
        <v>172</v>
      </c>
      <c r="B195" s="97" t="s">
        <v>173</v>
      </c>
      <c r="C195" s="97" t="s">
        <v>174</v>
      </c>
      <c r="D195" s="97" t="s">
        <v>175</v>
      </c>
      <c r="E195" s="97" t="s">
        <v>42</v>
      </c>
      <c r="F195" s="97" t="s">
        <v>454</v>
      </c>
      <c r="G195" s="97" t="s">
        <v>42</v>
      </c>
      <c r="H195" s="75" t="s">
        <v>467</v>
      </c>
      <c r="I195" s="97" t="s">
        <v>0</v>
      </c>
      <c r="J195" s="97" t="s">
        <v>168</v>
      </c>
      <c r="K195" s="70" t="s">
        <v>284</v>
      </c>
      <c r="L195" s="70" t="s">
        <v>176</v>
      </c>
      <c r="M195" s="70" t="s">
        <v>515</v>
      </c>
      <c r="N195" s="15" t="s">
        <v>285</v>
      </c>
      <c r="O195" s="127">
        <v>51585</v>
      </c>
      <c r="P195" s="160">
        <v>51585</v>
      </c>
      <c r="Q195" s="160">
        <v>1359</v>
      </c>
      <c r="R195" s="160">
        <v>1422</v>
      </c>
      <c r="S195" s="160">
        <v>1264</v>
      </c>
    </row>
    <row r="196" spans="1:19" s="47" customFormat="1" ht="39" customHeight="1" x14ac:dyDescent="0.2">
      <c r="A196" s="242" t="s">
        <v>177</v>
      </c>
      <c r="B196" s="215" t="s">
        <v>178</v>
      </c>
      <c r="C196" s="243" t="s">
        <v>179</v>
      </c>
      <c r="D196" s="215" t="s">
        <v>270</v>
      </c>
      <c r="E196" s="205" t="s">
        <v>42</v>
      </c>
      <c r="F196" s="215" t="s">
        <v>440</v>
      </c>
      <c r="G196" s="215" t="s">
        <v>42</v>
      </c>
      <c r="H196" s="215" t="s">
        <v>439</v>
      </c>
      <c r="I196" s="215" t="s">
        <v>42</v>
      </c>
      <c r="J196" s="224" t="s">
        <v>168</v>
      </c>
      <c r="K196" s="85" t="s">
        <v>284</v>
      </c>
      <c r="L196" s="85" t="s">
        <v>181</v>
      </c>
      <c r="M196" s="85" t="s">
        <v>409</v>
      </c>
      <c r="N196" s="46" t="s">
        <v>288</v>
      </c>
      <c r="O196" s="119">
        <f t="shared" ref="O196" si="44">O197+O198+O199+O200</f>
        <v>754618.20000000007</v>
      </c>
      <c r="P196" s="119">
        <f t="shared" ref="P196:Q196" si="45">P197+P198+P199+P200</f>
        <v>754618.20000000007</v>
      </c>
      <c r="Q196" s="119">
        <f t="shared" si="45"/>
        <v>574744.19999999995</v>
      </c>
      <c r="R196" s="119">
        <f t="shared" ref="R196:S196" si="46">R197+R198+R199+R200</f>
        <v>600639.4</v>
      </c>
      <c r="S196" s="119">
        <f t="shared" si="46"/>
        <v>621814</v>
      </c>
    </row>
    <row r="197" spans="1:19" s="47" customFormat="1" ht="39" customHeight="1" x14ac:dyDescent="0.2">
      <c r="A197" s="242"/>
      <c r="B197" s="228"/>
      <c r="C197" s="243"/>
      <c r="D197" s="216"/>
      <c r="E197" s="206"/>
      <c r="F197" s="228"/>
      <c r="G197" s="228"/>
      <c r="H197" s="228"/>
      <c r="I197" s="228"/>
      <c r="J197" s="228"/>
      <c r="K197" s="85" t="s">
        <v>284</v>
      </c>
      <c r="L197" s="85" t="s">
        <v>181</v>
      </c>
      <c r="M197" s="85" t="s">
        <v>409</v>
      </c>
      <c r="N197" s="20" t="s">
        <v>28</v>
      </c>
      <c r="O197" s="126">
        <v>564036.1</v>
      </c>
      <c r="P197" s="158">
        <v>564036.1</v>
      </c>
      <c r="Q197" s="158">
        <f>622600-212568</f>
        <v>410032</v>
      </c>
      <c r="R197" s="158">
        <f>660200-211460</f>
        <v>448740</v>
      </c>
      <c r="S197" s="158">
        <f>684800-219590</f>
        <v>465210</v>
      </c>
    </row>
    <row r="198" spans="1:19" s="47" customFormat="1" ht="45.75" customHeight="1" x14ac:dyDescent="0.2">
      <c r="A198" s="242"/>
      <c r="B198" s="228"/>
      <c r="C198" s="243"/>
      <c r="D198" s="240" t="s">
        <v>441</v>
      </c>
      <c r="E198" s="215" t="s">
        <v>42</v>
      </c>
      <c r="F198" s="228"/>
      <c r="G198" s="228"/>
      <c r="H198" s="228"/>
      <c r="I198" s="228"/>
      <c r="J198" s="228"/>
      <c r="K198" s="85" t="s">
        <v>284</v>
      </c>
      <c r="L198" s="85" t="s">
        <v>181</v>
      </c>
      <c r="M198" s="85" t="s">
        <v>409</v>
      </c>
      <c r="N198" s="20" t="s">
        <v>29</v>
      </c>
      <c r="O198" s="126"/>
      <c r="P198" s="158"/>
      <c r="Q198" s="158"/>
      <c r="R198" s="158"/>
      <c r="S198" s="158"/>
    </row>
    <row r="199" spans="1:19" s="47" customFormat="1" ht="45.75" customHeight="1" x14ac:dyDescent="0.2">
      <c r="A199" s="242"/>
      <c r="B199" s="228"/>
      <c r="C199" s="243"/>
      <c r="D199" s="206"/>
      <c r="E199" s="216"/>
      <c r="F199" s="228"/>
      <c r="G199" s="228"/>
      <c r="H199" s="228"/>
      <c r="I199" s="228"/>
      <c r="J199" s="228"/>
      <c r="K199" s="85" t="s">
        <v>284</v>
      </c>
      <c r="L199" s="85" t="s">
        <v>181</v>
      </c>
      <c r="M199" s="85" t="s">
        <v>409</v>
      </c>
      <c r="N199" s="20" t="s">
        <v>315</v>
      </c>
      <c r="O199" s="126">
        <v>168156.7</v>
      </c>
      <c r="P199" s="158">
        <v>168156.7</v>
      </c>
      <c r="Q199" s="158">
        <f>188000-64991</f>
        <v>123009</v>
      </c>
      <c r="R199" s="158">
        <f>199400-63860</f>
        <v>135540</v>
      </c>
      <c r="S199" s="158">
        <f>206800-66317</f>
        <v>140483</v>
      </c>
    </row>
    <row r="200" spans="1:19" s="48" customFormat="1" ht="96" customHeight="1" x14ac:dyDescent="0.2">
      <c r="A200" s="242" t="s">
        <v>0</v>
      </c>
      <c r="B200" s="216"/>
      <c r="C200" s="243" t="s">
        <v>0</v>
      </c>
      <c r="D200" s="43" t="s">
        <v>180</v>
      </c>
      <c r="E200" s="99" t="s">
        <v>42</v>
      </c>
      <c r="F200" s="216"/>
      <c r="G200" s="216"/>
      <c r="H200" s="228"/>
      <c r="I200" s="216"/>
      <c r="J200" s="216"/>
      <c r="K200" s="85" t="s">
        <v>284</v>
      </c>
      <c r="L200" s="85" t="s">
        <v>181</v>
      </c>
      <c r="M200" s="85" t="s">
        <v>409</v>
      </c>
      <c r="N200" s="12" t="s">
        <v>285</v>
      </c>
      <c r="O200" s="116">
        <v>22425.4</v>
      </c>
      <c r="P200" s="116">
        <v>22425.4</v>
      </c>
      <c r="Q200" s="116">
        <f>51517.2-9814</f>
        <v>41703.199999999997</v>
      </c>
      <c r="R200" s="116">
        <f>41359.4-25000</f>
        <v>16359.400000000001</v>
      </c>
      <c r="S200" s="116">
        <f>41121-25000</f>
        <v>16121</v>
      </c>
    </row>
    <row r="201" spans="1:19" s="1" customFormat="1" ht="94.5" customHeight="1" x14ac:dyDescent="0.2">
      <c r="A201" s="63" t="s">
        <v>182</v>
      </c>
      <c r="B201" s="97" t="s">
        <v>183</v>
      </c>
      <c r="C201" s="93" t="s">
        <v>184</v>
      </c>
      <c r="D201" s="97" t="s">
        <v>273</v>
      </c>
      <c r="E201" s="97" t="s">
        <v>42</v>
      </c>
      <c r="F201" s="97" t="s">
        <v>466</v>
      </c>
      <c r="G201" s="18" t="s">
        <v>42</v>
      </c>
      <c r="H201" s="75" t="s">
        <v>467</v>
      </c>
      <c r="I201" s="44" t="s">
        <v>42</v>
      </c>
      <c r="J201" s="97" t="s">
        <v>168</v>
      </c>
      <c r="K201" s="15" t="s">
        <v>284</v>
      </c>
      <c r="L201" s="15" t="s">
        <v>152</v>
      </c>
      <c r="M201" s="15" t="s">
        <v>320</v>
      </c>
      <c r="N201" s="15" t="s">
        <v>285</v>
      </c>
      <c r="O201" s="127"/>
      <c r="P201" s="160"/>
      <c r="Q201" s="160"/>
      <c r="R201" s="160"/>
      <c r="S201" s="160"/>
    </row>
    <row r="202" spans="1:19" ht="26.45" customHeight="1" x14ac:dyDescent="0.2">
      <c r="A202" s="6" t="s">
        <v>185</v>
      </c>
      <c r="B202" s="93" t="s">
        <v>186</v>
      </c>
      <c r="C202" s="93" t="s">
        <v>187</v>
      </c>
      <c r="D202" s="93" t="s">
        <v>0</v>
      </c>
      <c r="E202" s="93" t="s">
        <v>0</v>
      </c>
      <c r="F202" s="93" t="s">
        <v>0</v>
      </c>
      <c r="G202" s="93" t="s">
        <v>0</v>
      </c>
      <c r="H202" s="57"/>
      <c r="I202" s="93" t="s">
        <v>0</v>
      </c>
      <c r="J202" s="93" t="s">
        <v>0</v>
      </c>
      <c r="K202" s="14"/>
      <c r="L202" s="14"/>
      <c r="M202" s="14"/>
      <c r="N202" s="14"/>
      <c r="O202" s="120">
        <f>O203+O213+O225+O226+O227+O236+O237+O238+O239</f>
        <v>22875531.880000003</v>
      </c>
      <c r="P202" s="175">
        <f>P203+P213+P225+P226+P227+P236+P237+P238+P239</f>
        <v>22099402.350000001</v>
      </c>
      <c r="Q202" s="175">
        <f>Q203+Q213+Q225+Q226+Q227+Q236+Q237+Q238+Q239</f>
        <v>19635014.550000001</v>
      </c>
      <c r="R202" s="175">
        <f>R203+R213+R225+R226+R227+R236+R237+R238+R239</f>
        <v>23835702.550000001</v>
      </c>
      <c r="S202" s="175">
        <f>S203+S213+S225+S226+S227+S236+S237+S238+S239</f>
        <v>25248502.550000001</v>
      </c>
    </row>
    <row r="203" spans="1:19" s="47" customFormat="1" ht="26.45" customHeight="1" x14ac:dyDescent="0.2">
      <c r="A203" s="215" t="s">
        <v>188</v>
      </c>
      <c r="B203" s="215" t="s">
        <v>189</v>
      </c>
      <c r="C203" s="215" t="s">
        <v>190</v>
      </c>
      <c r="D203" s="215" t="s">
        <v>270</v>
      </c>
      <c r="E203" s="215" t="s">
        <v>272</v>
      </c>
      <c r="G203" s="43"/>
      <c r="H203" s="215" t="s">
        <v>439</v>
      </c>
      <c r="I203" s="215" t="s">
        <v>42</v>
      </c>
      <c r="J203" s="43" t="s">
        <v>6</v>
      </c>
      <c r="K203" s="55" t="s">
        <v>288</v>
      </c>
      <c r="L203" s="55" t="s">
        <v>305</v>
      </c>
      <c r="M203" s="55" t="s">
        <v>288</v>
      </c>
      <c r="N203" s="56" t="s">
        <v>288</v>
      </c>
      <c r="O203" s="128">
        <f>SUM(O204:O212)</f>
        <v>1354429.25</v>
      </c>
      <c r="P203" s="157">
        <f>SUM(P204:P212)</f>
        <v>1354429.25</v>
      </c>
      <c r="Q203" s="157">
        <f>SUM(Q204:Q212)</f>
        <v>1499200</v>
      </c>
      <c r="R203" s="157">
        <f>SUM(R204:R212)</f>
        <v>1499200</v>
      </c>
      <c r="S203" s="157">
        <f>SUM(S204:S212)</f>
        <v>1499200</v>
      </c>
    </row>
    <row r="204" spans="1:19" s="47" customFormat="1" ht="63.75" customHeight="1" x14ac:dyDescent="0.2">
      <c r="A204" s="228"/>
      <c r="B204" s="228"/>
      <c r="C204" s="228"/>
      <c r="D204" s="228"/>
      <c r="E204" s="228"/>
      <c r="F204" s="215" t="s">
        <v>455</v>
      </c>
      <c r="G204" s="215" t="s">
        <v>42</v>
      </c>
      <c r="H204" s="228"/>
      <c r="I204" s="228"/>
      <c r="J204" s="42">
        <v>1</v>
      </c>
      <c r="K204" s="66">
        <v>851</v>
      </c>
      <c r="L204" s="85" t="s">
        <v>127</v>
      </c>
      <c r="M204" s="85" t="s">
        <v>398</v>
      </c>
      <c r="N204" s="46" t="s">
        <v>28</v>
      </c>
      <c r="O204" s="111">
        <v>254019.29</v>
      </c>
      <c r="P204" s="111">
        <v>254019.29</v>
      </c>
      <c r="Q204" s="111">
        <v>292100</v>
      </c>
      <c r="R204" s="111">
        <v>292100</v>
      </c>
      <c r="S204" s="111">
        <v>292100</v>
      </c>
    </row>
    <row r="205" spans="1:19" s="47" customFormat="1" ht="63.75" customHeight="1" x14ac:dyDescent="0.2">
      <c r="A205" s="228"/>
      <c r="B205" s="228"/>
      <c r="C205" s="228"/>
      <c r="D205" s="228"/>
      <c r="E205" s="228"/>
      <c r="F205" s="216"/>
      <c r="G205" s="216"/>
      <c r="H205" s="228"/>
      <c r="I205" s="228"/>
      <c r="J205" s="43">
        <v>1</v>
      </c>
      <c r="K205" s="66">
        <v>851</v>
      </c>
      <c r="L205" s="85" t="s">
        <v>127</v>
      </c>
      <c r="M205" s="85" t="s">
        <v>398</v>
      </c>
      <c r="N205" s="20" t="s">
        <v>315</v>
      </c>
      <c r="O205" s="111"/>
      <c r="P205" s="111"/>
      <c r="Q205" s="111"/>
      <c r="R205" s="158"/>
      <c r="S205" s="158"/>
    </row>
    <row r="206" spans="1:19" s="47" customFormat="1" ht="189.75" customHeight="1" x14ac:dyDescent="0.2">
      <c r="A206" s="228"/>
      <c r="B206" s="228"/>
      <c r="C206" s="228"/>
      <c r="D206" s="228"/>
      <c r="E206" s="228"/>
      <c r="F206" s="137" t="s">
        <v>538</v>
      </c>
      <c r="G206" s="137" t="s">
        <v>42</v>
      </c>
      <c r="H206" s="228"/>
      <c r="I206" s="228"/>
      <c r="J206" s="59">
        <v>1</v>
      </c>
      <c r="K206" s="66">
        <v>851</v>
      </c>
      <c r="L206" s="140" t="s">
        <v>127</v>
      </c>
      <c r="M206" s="140" t="s">
        <v>528</v>
      </c>
      <c r="N206" s="35" t="s">
        <v>28</v>
      </c>
      <c r="O206" s="111"/>
      <c r="P206" s="111"/>
      <c r="Q206" s="111">
        <v>25500</v>
      </c>
      <c r="R206" s="111">
        <v>25500</v>
      </c>
      <c r="S206" s="111">
        <v>25500</v>
      </c>
    </row>
    <row r="207" spans="1:19" s="47" customFormat="1" ht="71.25" customHeight="1" x14ac:dyDescent="0.2">
      <c r="A207" s="228"/>
      <c r="B207" s="228"/>
      <c r="C207" s="228"/>
      <c r="D207" s="228"/>
      <c r="E207" s="228"/>
      <c r="F207" s="215" t="s">
        <v>457</v>
      </c>
      <c r="G207" s="215" t="s">
        <v>42</v>
      </c>
      <c r="H207" s="228"/>
      <c r="I207" s="228"/>
      <c r="J207" s="42">
        <v>1</v>
      </c>
      <c r="K207" s="66">
        <v>851</v>
      </c>
      <c r="L207" s="85" t="s">
        <v>127</v>
      </c>
      <c r="M207" s="85" t="s">
        <v>400</v>
      </c>
      <c r="N207" s="46" t="s">
        <v>28</v>
      </c>
      <c r="O207" s="111">
        <v>104741.19</v>
      </c>
      <c r="P207" s="111">
        <v>104741.19</v>
      </c>
      <c r="Q207" s="111">
        <v>132900</v>
      </c>
      <c r="R207" s="111">
        <v>132900</v>
      </c>
      <c r="S207" s="111">
        <v>132900</v>
      </c>
    </row>
    <row r="208" spans="1:19" s="47" customFormat="1" ht="71.25" customHeight="1" x14ac:dyDescent="0.2">
      <c r="A208" s="228"/>
      <c r="B208" s="228"/>
      <c r="C208" s="228"/>
      <c r="D208" s="228"/>
      <c r="E208" s="228"/>
      <c r="F208" s="216"/>
      <c r="G208" s="216"/>
      <c r="H208" s="228"/>
      <c r="I208" s="228"/>
      <c r="J208" s="42">
        <v>1</v>
      </c>
      <c r="K208" s="66">
        <v>851</v>
      </c>
      <c r="L208" s="85" t="s">
        <v>127</v>
      </c>
      <c r="M208" s="85" t="s">
        <v>400</v>
      </c>
      <c r="N208" s="46" t="s">
        <v>315</v>
      </c>
      <c r="O208" s="111"/>
      <c r="P208" s="111"/>
      <c r="Q208" s="111"/>
      <c r="R208" s="158"/>
      <c r="S208" s="158"/>
    </row>
    <row r="209" spans="1:19" s="47" customFormat="1" ht="72" customHeight="1" x14ac:dyDescent="0.2">
      <c r="A209" s="228"/>
      <c r="B209" s="228"/>
      <c r="C209" s="228"/>
      <c r="D209" s="228"/>
      <c r="E209" s="228"/>
      <c r="F209" s="215" t="s">
        <v>458</v>
      </c>
      <c r="G209" s="215" t="s">
        <v>42</v>
      </c>
      <c r="H209" s="228"/>
      <c r="I209" s="228"/>
      <c r="J209" s="42">
        <v>1</v>
      </c>
      <c r="K209" s="66">
        <v>851</v>
      </c>
      <c r="L209" s="85" t="s">
        <v>127</v>
      </c>
      <c r="M209" s="85" t="s">
        <v>393</v>
      </c>
      <c r="N209" s="46" t="s">
        <v>28</v>
      </c>
      <c r="O209" s="111">
        <v>426055.64</v>
      </c>
      <c r="P209" s="111">
        <v>426055.64</v>
      </c>
      <c r="Q209" s="111">
        <v>435000</v>
      </c>
      <c r="R209" s="158">
        <v>435000</v>
      </c>
      <c r="S209" s="158">
        <v>435000</v>
      </c>
    </row>
    <row r="210" spans="1:19" s="47" customFormat="1" ht="72" customHeight="1" x14ac:dyDescent="0.2">
      <c r="A210" s="228"/>
      <c r="B210" s="228"/>
      <c r="C210" s="228"/>
      <c r="D210" s="228"/>
      <c r="E210" s="228"/>
      <c r="F210" s="216"/>
      <c r="G210" s="216"/>
      <c r="H210" s="228"/>
      <c r="I210" s="228"/>
      <c r="J210" s="42">
        <v>1</v>
      </c>
      <c r="K210" s="66">
        <v>851</v>
      </c>
      <c r="L210" s="85" t="s">
        <v>127</v>
      </c>
      <c r="M210" s="85" t="s">
        <v>393</v>
      </c>
      <c r="N210" s="46" t="s">
        <v>315</v>
      </c>
      <c r="O210" s="111"/>
      <c r="P210" s="111"/>
      <c r="Q210" s="111"/>
      <c r="R210" s="158"/>
      <c r="S210" s="158"/>
    </row>
    <row r="211" spans="1:19" s="47" customFormat="1" ht="72" customHeight="1" x14ac:dyDescent="0.2">
      <c r="A211" s="228"/>
      <c r="B211" s="228"/>
      <c r="C211" s="228"/>
      <c r="D211" s="228"/>
      <c r="E211" s="228"/>
      <c r="F211" s="215" t="s">
        <v>456</v>
      </c>
      <c r="G211" s="215" t="s">
        <v>42</v>
      </c>
      <c r="H211" s="228"/>
      <c r="I211" s="228"/>
      <c r="J211" s="42">
        <v>1</v>
      </c>
      <c r="K211" s="85" t="s">
        <v>292</v>
      </c>
      <c r="L211" s="85" t="s">
        <v>66</v>
      </c>
      <c r="M211" s="85" t="s">
        <v>362</v>
      </c>
      <c r="N211" s="46" t="s">
        <v>28</v>
      </c>
      <c r="O211" s="111">
        <v>569613.13</v>
      </c>
      <c r="P211" s="111">
        <v>569613.13</v>
      </c>
      <c r="Q211" s="111">
        <v>613700</v>
      </c>
      <c r="R211" s="158">
        <v>613700</v>
      </c>
      <c r="S211" s="158">
        <v>613700</v>
      </c>
    </row>
    <row r="212" spans="1:19" s="47" customFormat="1" ht="72" customHeight="1" x14ac:dyDescent="0.2">
      <c r="A212" s="228"/>
      <c r="B212" s="228"/>
      <c r="C212" s="228"/>
      <c r="D212" s="228"/>
      <c r="E212" s="228"/>
      <c r="F212" s="241"/>
      <c r="G212" s="241"/>
      <c r="H212" s="241"/>
      <c r="I212" s="241"/>
      <c r="J212" s="80">
        <v>1</v>
      </c>
      <c r="K212" s="85" t="s">
        <v>292</v>
      </c>
      <c r="L212" s="85" t="s">
        <v>66</v>
      </c>
      <c r="M212" s="85" t="s">
        <v>362</v>
      </c>
      <c r="N212" s="88" t="s">
        <v>315</v>
      </c>
      <c r="O212" s="126"/>
      <c r="P212" s="158"/>
      <c r="Q212" s="158"/>
      <c r="R212" s="158"/>
      <c r="S212" s="158"/>
    </row>
    <row r="213" spans="1:19" s="47" customFormat="1" ht="26.45" customHeight="1" x14ac:dyDescent="0.2">
      <c r="A213" s="202" t="s">
        <v>191</v>
      </c>
      <c r="B213" s="202" t="s">
        <v>192</v>
      </c>
      <c r="C213" s="202" t="s">
        <v>193</v>
      </c>
      <c r="D213" s="202" t="s">
        <v>270</v>
      </c>
      <c r="E213" s="202" t="s">
        <v>272</v>
      </c>
      <c r="F213" s="232" t="s">
        <v>455</v>
      </c>
      <c r="G213" s="75"/>
      <c r="H213" s="75" t="s">
        <v>0</v>
      </c>
      <c r="I213" s="75" t="s">
        <v>0</v>
      </c>
      <c r="J213" s="58">
        <v>1</v>
      </c>
      <c r="K213" s="51" t="s">
        <v>288</v>
      </c>
      <c r="L213" s="51" t="s">
        <v>305</v>
      </c>
      <c r="M213" s="51" t="s">
        <v>288</v>
      </c>
      <c r="N213" s="51" t="s">
        <v>288</v>
      </c>
      <c r="O213" s="128">
        <f t="shared" ref="O213" si="47">SUM(O214:O224)</f>
        <v>1256870.75</v>
      </c>
      <c r="P213" s="157">
        <f t="shared" ref="P213:Q213" si="48">SUM(P214:P224)</f>
        <v>1245585.81</v>
      </c>
      <c r="Q213" s="157">
        <f t="shared" si="48"/>
        <v>1365431</v>
      </c>
      <c r="R213" s="157">
        <f t="shared" ref="R213:S213" si="49">SUM(R214:R224)</f>
        <v>1365431</v>
      </c>
      <c r="S213" s="157">
        <f t="shared" si="49"/>
        <v>1365431</v>
      </c>
    </row>
    <row r="214" spans="1:19" s="47" customFormat="1" ht="26.45" customHeight="1" x14ac:dyDescent="0.2">
      <c r="A214" s="202"/>
      <c r="B214" s="202"/>
      <c r="C214" s="202"/>
      <c r="D214" s="202"/>
      <c r="E214" s="202"/>
      <c r="F214" s="233"/>
      <c r="G214" s="202" t="s">
        <v>42</v>
      </c>
      <c r="H214" s="229" t="s">
        <v>469</v>
      </c>
      <c r="I214" s="232" t="s">
        <v>42</v>
      </c>
      <c r="J214" s="75">
        <v>1</v>
      </c>
      <c r="K214" s="66">
        <v>851</v>
      </c>
      <c r="L214" s="85" t="s">
        <v>127</v>
      </c>
      <c r="M214" s="85" t="s">
        <v>398</v>
      </c>
      <c r="N214" s="85" t="s">
        <v>315</v>
      </c>
      <c r="O214" s="111">
        <v>70287.39</v>
      </c>
      <c r="P214" s="111">
        <v>70287.39</v>
      </c>
      <c r="Q214" s="111">
        <v>88200</v>
      </c>
      <c r="R214" s="111">
        <v>88200</v>
      </c>
      <c r="S214" s="111">
        <v>88200</v>
      </c>
    </row>
    <row r="215" spans="1:19" s="47" customFormat="1" ht="26.45" customHeight="1" x14ac:dyDescent="0.2">
      <c r="A215" s="202"/>
      <c r="B215" s="202"/>
      <c r="C215" s="202"/>
      <c r="D215" s="202"/>
      <c r="E215" s="202"/>
      <c r="F215" s="233"/>
      <c r="G215" s="202"/>
      <c r="H215" s="230"/>
      <c r="I215" s="233"/>
      <c r="J215" s="75">
        <v>1</v>
      </c>
      <c r="K215" s="66">
        <v>851</v>
      </c>
      <c r="L215" s="85" t="s">
        <v>127</v>
      </c>
      <c r="M215" s="85" t="s">
        <v>398</v>
      </c>
      <c r="N215" s="85" t="s">
        <v>285</v>
      </c>
      <c r="O215" s="111">
        <v>198073.32</v>
      </c>
      <c r="P215" s="111">
        <v>198073.32</v>
      </c>
      <c r="Q215" s="111">
        <f>181553-200</f>
        <v>181353</v>
      </c>
      <c r="R215" s="111">
        <f>181553-200</f>
        <v>181353</v>
      </c>
      <c r="S215" s="111">
        <f>181553-200</f>
        <v>181353</v>
      </c>
    </row>
    <row r="216" spans="1:19" s="47" customFormat="1" ht="26.45" customHeight="1" x14ac:dyDescent="0.2">
      <c r="A216" s="202"/>
      <c r="B216" s="202"/>
      <c r="C216" s="202"/>
      <c r="D216" s="202"/>
      <c r="E216" s="202"/>
      <c r="F216" s="237"/>
      <c r="G216" s="202"/>
      <c r="H216" s="230"/>
      <c r="I216" s="233"/>
      <c r="J216" s="59">
        <v>1</v>
      </c>
      <c r="K216" s="66">
        <v>851</v>
      </c>
      <c r="L216" s="85" t="s">
        <v>127</v>
      </c>
      <c r="M216" s="85" t="s">
        <v>399</v>
      </c>
      <c r="N216" s="35" t="s">
        <v>285</v>
      </c>
      <c r="O216" s="111">
        <v>200</v>
      </c>
      <c r="P216" s="111">
        <v>200</v>
      </c>
      <c r="Q216" s="111">
        <v>200</v>
      </c>
      <c r="R216" s="111">
        <v>200</v>
      </c>
      <c r="S216" s="111">
        <v>200</v>
      </c>
    </row>
    <row r="217" spans="1:19" s="47" customFormat="1" ht="85.5" customHeight="1" x14ac:dyDescent="0.2">
      <c r="A217" s="202"/>
      <c r="B217" s="202"/>
      <c r="C217" s="202"/>
      <c r="D217" s="202"/>
      <c r="E217" s="202"/>
      <c r="F217" s="239" t="s">
        <v>538</v>
      </c>
      <c r="G217" s="232" t="s">
        <v>42</v>
      </c>
      <c r="H217" s="230"/>
      <c r="I217" s="233"/>
      <c r="J217" s="59">
        <v>1</v>
      </c>
      <c r="K217" s="66">
        <v>851</v>
      </c>
      <c r="L217" s="140" t="s">
        <v>127</v>
      </c>
      <c r="M217" s="140" t="s">
        <v>528</v>
      </c>
      <c r="N217" s="35" t="s">
        <v>315</v>
      </c>
      <c r="O217" s="111"/>
      <c r="P217" s="111"/>
      <c r="Q217" s="111">
        <v>7700</v>
      </c>
      <c r="R217" s="111">
        <v>7700</v>
      </c>
      <c r="S217" s="111">
        <v>7700</v>
      </c>
    </row>
    <row r="218" spans="1:19" s="47" customFormat="1" ht="85.5" customHeight="1" x14ac:dyDescent="0.2">
      <c r="A218" s="202"/>
      <c r="B218" s="202"/>
      <c r="C218" s="202"/>
      <c r="D218" s="202"/>
      <c r="E218" s="202"/>
      <c r="F218" s="237"/>
      <c r="G218" s="234"/>
      <c r="H218" s="230"/>
      <c r="I218" s="233"/>
      <c r="J218" s="59">
        <v>1</v>
      </c>
      <c r="K218" s="66">
        <v>851</v>
      </c>
      <c r="L218" s="140" t="s">
        <v>127</v>
      </c>
      <c r="M218" s="140" t="s">
        <v>528</v>
      </c>
      <c r="N218" s="35" t="s">
        <v>285</v>
      </c>
      <c r="O218" s="111"/>
      <c r="P218" s="111"/>
      <c r="Q218" s="111">
        <v>22965</v>
      </c>
      <c r="R218" s="111">
        <v>22965</v>
      </c>
      <c r="S218" s="111">
        <v>22965</v>
      </c>
    </row>
    <row r="219" spans="1:19" s="47" customFormat="1" ht="70.5" customHeight="1" x14ac:dyDescent="0.2">
      <c r="A219" s="202"/>
      <c r="B219" s="202"/>
      <c r="C219" s="202"/>
      <c r="D219" s="202"/>
      <c r="E219" s="202"/>
      <c r="F219" s="235" t="s">
        <v>457</v>
      </c>
      <c r="G219" s="202" t="s">
        <v>42</v>
      </c>
      <c r="H219" s="230"/>
      <c r="I219" s="233"/>
      <c r="J219" s="59">
        <v>1</v>
      </c>
      <c r="K219" s="66">
        <v>851</v>
      </c>
      <c r="L219" s="85" t="s">
        <v>127</v>
      </c>
      <c r="M219" s="85" t="s">
        <v>400</v>
      </c>
      <c r="N219" s="35" t="s">
        <v>315</v>
      </c>
      <c r="O219" s="111">
        <v>31302.38</v>
      </c>
      <c r="P219" s="111">
        <v>31302.38</v>
      </c>
      <c r="Q219" s="111">
        <v>40200</v>
      </c>
      <c r="R219" s="111">
        <v>40200</v>
      </c>
      <c r="S219" s="111">
        <v>40200</v>
      </c>
    </row>
    <row r="220" spans="1:19" s="47" customFormat="1" ht="70.5" customHeight="1" x14ac:dyDescent="0.2">
      <c r="A220" s="202"/>
      <c r="B220" s="202"/>
      <c r="C220" s="202"/>
      <c r="D220" s="202"/>
      <c r="E220" s="202"/>
      <c r="F220" s="236"/>
      <c r="G220" s="202"/>
      <c r="H220" s="230"/>
      <c r="I220" s="233"/>
      <c r="J220" s="59">
        <v>1</v>
      </c>
      <c r="K220" s="66">
        <v>851</v>
      </c>
      <c r="L220" s="85" t="s">
        <v>127</v>
      </c>
      <c r="M220" s="85" t="s">
        <v>400</v>
      </c>
      <c r="N220" s="35" t="s">
        <v>285</v>
      </c>
      <c r="O220" s="111">
        <v>125046.43</v>
      </c>
      <c r="P220" s="111">
        <v>125046.43</v>
      </c>
      <c r="Q220" s="111">
        <v>107727</v>
      </c>
      <c r="R220" s="111">
        <v>107727</v>
      </c>
      <c r="S220" s="111">
        <v>107727</v>
      </c>
    </row>
    <row r="221" spans="1:19" s="47" customFormat="1" ht="71.25" customHeight="1" x14ac:dyDescent="0.2">
      <c r="A221" s="202"/>
      <c r="B221" s="202"/>
      <c r="C221" s="202"/>
      <c r="D221" s="202"/>
      <c r="E221" s="202"/>
      <c r="F221" s="235" t="s">
        <v>458</v>
      </c>
      <c r="G221" s="202" t="s">
        <v>42</v>
      </c>
      <c r="H221" s="230"/>
      <c r="I221" s="233"/>
      <c r="J221" s="59">
        <v>1</v>
      </c>
      <c r="K221" s="66">
        <v>851</v>
      </c>
      <c r="L221" s="85" t="s">
        <v>127</v>
      </c>
      <c r="M221" s="85" t="s">
        <v>393</v>
      </c>
      <c r="N221" s="35" t="s">
        <v>315</v>
      </c>
      <c r="O221" s="111">
        <v>118705.14</v>
      </c>
      <c r="P221" s="111">
        <v>118705.14</v>
      </c>
      <c r="Q221" s="111">
        <v>131400</v>
      </c>
      <c r="R221" s="158">
        <v>131400</v>
      </c>
      <c r="S221" s="158">
        <v>131400</v>
      </c>
    </row>
    <row r="222" spans="1:19" s="47" customFormat="1" ht="71.25" customHeight="1" x14ac:dyDescent="0.2">
      <c r="A222" s="202"/>
      <c r="B222" s="202"/>
      <c r="C222" s="202"/>
      <c r="D222" s="202"/>
      <c r="E222" s="202"/>
      <c r="F222" s="236"/>
      <c r="G222" s="202"/>
      <c r="H222" s="231"/>
      <c r="I222" s="234"/>
      <c r="J222" s="59">
        <v>1</v>
      </c>
      <c r="K222" s="66">
        <v>851</v>
      </c>
      <c r="L222" s="85" t="s">
        <v>127</v>
      </c>
      <c r="M222" s="85" t="s">
        <v>393</v>
      </c>
      <c r="N222" s="35" t="s">
        <v>285</v>
      </c>
      <c r="O222" s="111">
        <v>238509.22</v>
      </c>
      <c r="P222" s="111">
        <v>238509.22</v>
      </c>
      <c r="Q222" s="111">
        <v>276080</v>
      </c>
      <c r="R222" s="111">
        <v>276080</v>
      </c>
      <c r="S222" s="111">
        <v>276080</v>
      </c>
    </row>
    <row r="223" spans="1:19" s="47" customFormat="1" ht="26.45" customHeight="1" x14ac:dyDescent="0.2">
      <c r="A223" s="202"/>
      <c r="B223" s="202"/>
      <c r="C223" s="202"/>
      <c r="D223" s="202"/>
      <c r="E223" s="202"/>
      <c r="F223" s="235" t="s">
        <v>456</v>
      </c>
      <c r="G223" s="202" t="s">
        <v>42</v>
      </c>
      <c r="H223" s="232" t="s">
        <v>467</v>
      </c>
      <c r="I223" s="232" t="s">
        <v>42</v>
      </c>
      <c r="J223" s="59">
        <v>1</v>
      </c>
      <c r="K223" s="85" t="s">
        <v>292</v>
      </c>
      <c r="L223" s="85" t="s">
        <v>66</v>
      </c>
      <c r="M223" s="85" t="s">
        <v>362</v>
      </c>
      <c r="N223" s="35" t="s">
        <v>315</v>
      </c>
      <c r="O223" s="111">
        <v>155110.51999999999</v>
      </c>
      <c r="P223" s="111">
        <v>155110.51999999999</v>
      </c>
      <c r="Q223" s="111">
        <v>185400</v>
      </c>
      <c r="R223" s="158">
        <v>185400</v>
      </c>
      <c r="S223" s="158">
        <v>185400</v>
      </c>
    </row>
    <row r="224" spans="1:19" s="47" customFormat="1" ht="78" customHeight="1" x14ac:dyDescent="0.2">
      <c r="A224" s="202"/>
      <c r="B224" s="202"/>
      <c r="C224" s="202"/>
      <c r="D224" s="202"/>
      <c r="E224" s="202"/>
      <c r="F224" s="238"/>
      <c r="G224" s="202"/>
      <c r="H224" s="234"/>
      <c r="I224" s="234"/>
      <c r="J224" s="59">
        <v>1</v>
      </c>
      <c r="K224" s="85" t="s">
        <v>292</v>
      </c>
      <c r="L224" s="85" t="s">
        <v>66</v>
      </c>
      <c r="M224" s="85" t="s">
        <v>362</v>
      </c>
      <c r="N224" s="35" t="s">
        <v>285</v>
      </c>
      <c r="O224" s="126">
        <v>319636.34999999998</v>
      </c>
      <c r="P224" s="158">
        <v>308351.40999999997</v>
      </c>
      <c r="Q224" s="158">
        <v>324206</v>
      </c>
      <c r="R224" s="158">
        <v>324206</v>
      </c>
      <c r="S224" s="158">
        <v>324206</v>
      </c>
    </row>
    <row r="225" spans="1:19" s="47" customFormat="1" ht="127.5" customHeight="1" x14ac:dyDescent="0.2">
      <c r="A225" s="79" t="s">
        <v>194</v>
      </c>
      <c r="B225" s="74" t="s">
        <v>195</v>
      </c>
      <c r="C225" s="74" t="s">
        <v>196</v>
      </c>
      <c r="D225" s="74" t="s">
        <v>270</v>
      </c>
      <c r="E225" s="74" t="s">
        <v>272</v>
      </c>
      <c r="F225" s="74" t="s">
        <v>459</v>
      </c>
      <c r="G225" s="74" t="s">
        <v>42</v>
      </c>
      <c r="H225" s="74" t="s">
        <v>468</v>
      </c>
      <c r="I225" s="74" t="s">
        <v>0</v>
      </c>
      <c r="J225" s="81" t="s">
        <v>15</v>
      </c>
      <c r="K225" s="85" t="s">
        <v>284</v>
      </c>
      <c r="L225" s="85" t="s">
        <v>102</v>
      </c>
      <c r="M225" s="85" t="s">
        <v>345</v>
      </c>
      <c r="N225" s="89" t="s">
        <v>295</v>
      </c>
      <c r="O225" s="126">
        <v>9793356.9900000002</v>
      </c>
      <c r="P225" s="158">
        <v>9793356.9900000002</v>
      </c>
      <c r="Q225" s="158">
        <v>4228488</v>
      </c>
      <c r="R225" s="158">
        <v>8456976</v>
      </c>
      <c r="S225" s="158">
        <v>8456976</v>
      </c>
    </row>
    <row r="226" spans="1:19" s="47" customFormat="1" ht="207" customHeight="1" x14ac:dyDescent="0.2">
      <c r="A226" s="181" t="s">
        <v>197</v>
      </c>
      <c r="B226" s="179" t="s">
        <v>198</v>
      </c>
      <c r="C226" s="179" t="s">
        <v>199</v>
      </c>
      <c r="D226" s="179" t="s">
        <v>270</v>
      </c>
      <c r="E226" s="179" t="s">
        <v>271</v>
      </c>
      <c r="F226" s="179" t="s">
        <v>474</v>
      </c>
      <c r="G226" s="73" t="s">
        <v>42</v>
      </c>
      <c r="H226" s="179" t="s">
        <v>469</v>
      </c>
      <c r="I226" s="179" t="s">
        <v>42</v>
      </c>
      <c r="J226" s="179" t="s">
        <v>15</v>
      </c>
      <c r="K226" s="83" t="s">
        <v>292</v>
      </c>
      <c r="L226" s="83" t="s">
        <v>102</v>
      </c>
      <c r="M226" s="83" t="s">
        <v>344</v>
      </c>
      <c r="N226" s="82" t="s">
        <v>291</v>
      </c>
      <c r="O226" s="126">
        <v>259600</v>
      </c>
      <c r="P226" s="158">
        <v>130400</v>
      </c>
      <c r="Q226" s="158">
        <v>187600</v>
      </c>
      <c r="R226" s="158">
        <v>187600</v>
      </c>
      <c r="S226" s="158">
        <v>187600</v>
      </c>
    </row>
    <row r="227" spans="1:19" s="47" customFormat="1" ht="33" customHeight="1" x14ac:dyDescent="0.2">
      <c r="A227" s="202" t="s">
        <v>200</v>
      </c>
      <c r="B227" s="202" t="s">
        <v>201</v>
      </c>
      <c r="C227" s="202" t="s">
        <v>202</v>
      </c>
      <c r="D227" s="202" t="s">
        <v>270</v>
      </c>
      <c r="E227" s="202" t="s">
        <v>271</v>
      </c>
      <c r="F227" s="202" t="s">
        <v>470</v>
      </c>
      <c r="G227" s="202" t="s">
        <v>42</v>
      </c>
      <c r="H227" s="335" t="s">
        <v>475</v>
      </c>
      <c r="I227" s="180" t="s">
        <v>0</v>
      </c>
      <c r="J227" s="336" t="s">
        <v>15</v>
      </c>
      <c r="K227" s="51" t="s">
        <v>288</v>
      </c>
      <c r="L227" s="51" t="s">
        <v>305</v>
      </c>
      <c r="M227" s="51" t="s">
        <v>288</v>
      </c>
      <c r="N227" s="51" t="s">
        <v>288</v>
      </c>
      <c r="O227" s="128">
        <f>SUM(O228:O234)</f>
        <v>4870623</v>
      </c>
      <c r="P227" s="157">
        <f>SUM(P228:P235)</f>
        <v>4552303.26</v>
      </c>
      <c r="Q227" s="184">
        <f t="shared" ref="Q227:S227" si="50">SUM(Q228:Q235)</f>
        <v>5028630</v>
      </c>
      <c r="R227" s="184">
        <f t="shared" si="50"/>
        <v>5028630</v>
      </c>
      <c r="S227" s="184">
        <f t="shared" si="50"/>
        <v>5028630</v>
      </c>
    </row>
    <row r="228" spans="1:19" s="47" customFormat="1" ht="75" customHeight="1" x14ac:dyDescent="0.2">
      <c r="A228" s="202"/>
      <c r="B228" s="202"/>
      <c r="C228" s="202"/>
      <c r="D228" s="202"/>
      <c r="E228" s="202"/>
      <c r="F228" s="202"/>
      <c r="G228" s="202"/>
      <c r="H228" s="202" t="s">
        <v>468</v>
      </c>
      <c r="I228" s="202" t="s">
        <v>42</v>
      </c>
      <c r="J228" s="180"/>
      <c r="K228" s="255" t="s">
        <v>284</v>
      </c>
      <c r="L228" s="183" t="s">
        <v>59</v>
      </c>
      <c r="M228" s="85" t="s">
        <v>355</v>
      </c>
      <c r="N228" s="85" t="s">
        <v>297</v>
      </c>
      <c r="O228" s="126">
        <v>156000</v>
      </c>
      <c r="P228" s="158">
        <v>143000</v>
      </c>
      <c r="Q228" s="158">
        <v>156000</v>
      </c>
      <c r="R228" s="158">
        <v>156000</v>
      </c>
      <c r="S228" s="158">
        <v>156000</v>
      </c>
    </row>
    <row r="229" spans="1:19" s="47" customFormat="1" ht="67.5" customHeight="1" x14ac:dyDescent="0.2">
      <c r="A229" s="202"/>
      <c r="B229" s="202"/>
      <c r="C229" s="202"/>
      <c r="D229" s="202"/>
      <c r="E229" s="202"/>
      <c r="F229" s="202"/>
      <c r="G229" s="202" t="s">
        <v>42</v>
      </c>
      <c r="H229" s="202"/>
      <c r="I229" s="202"/>
      <c r="J229" s="180"/>
      <c r="K229" s="255"/>
      <c r="L229" s="183" t="s">
        <v>75</v>
      </c>
      <c r="M229" s="86" t="s">
        <v>357</v>
      </c>
      <c r="N229" s="86" t="s">
        <v>297</v>
      </c>
      <c r="O229" s="126">
        <v>96150</v>
      </c>
      <c r="P229" s="158">
        <v>96150</v>
      </c>
      <c r="Q229" s="158">
        <v>122400</v>
      </c>
      <c r="R229" s="158">
        <v>122400</v>
      </c>
      <c r="S229" s="158">
        <v>122400</v>
      </c>
    </row>
    <row r="230" spans="1:19" s="47" customFormat="1" ht="63.75" customHeight="1" x14ac:dyDescent="0.2">
      <c r="A230" s="202"/>
      <c r="B230" s="202"/>
      <c r="C230" s="202"/>
      <c r="D230" s="202"/>
      <c r="E230" s="202"/>
      <c r="F230" s="188" t="s">
        <v>471</v>
      </c>
      <c r="G230" s="202"/>
      <c r="H230" s="202" t="s">
        <v>469</v>
      </c>
      <c r="I230" s="202" t="s">
        <v>42</v>
      </c>
      <c r="J230" s="202"/>
      <c r="K230" s="255" t="s">
        <v>292</v>
      </c>
      <c r="L230" s="183" t="s">
        <v>47</v>
      </c>
      <c r="M230" s="85" t="s">
        <v>356</v>
      </c>
      <c r="N230" s="220" t="s">
        <v>297</v>
      </c>
      <c r="O230" s="126">
        <v>459600</v>
      </c>
      <c r="P230" s="158">
        <v>431800</v>
      </c>
      <c r="Q230" s="158">
        <v>459600</v>
      </c>
      <c r="R230" s="158">
        <v>459600</v>
      </c>
      <c r="S230" s="158">
        <v>459600</v>
      </c>
    </row>
    <row r="231" spans="1:19" s="47" customFormat="1" ht="99" customHeight="1" x14ac:dyDescent="0.2">
      <c r="A231" s="202"/>
      <c r="B231" s="202"/>
      <c r="C231" s="202"/>
      <c r="D231" s="202"/>
      <c r="E231" s="202"/>
      <c r="F231" s="188"/>
      <c r="G231" s="202" t="s">
        <v>42</v>
      </c>
      <c r="H231" s="202"/>
      <c r="I231" s="202"/>
      <c r="J231" s="202"/>
      <c r="K231" s="255"/>
      <c r="L231" s="183" t="s">
        <v>51</v>
      </c>
      <c r="M231" s="85" t="s">
        <v>356</v>
      </c>
      <c r="N231" s="227"/>
      <c r="O231" s="126">
        <v>1875600</v>
      </c>
      <c r="P231" s="158">
        <v>1770600</v>
      </c>
      <c r="Q231" s="158">
        <v>1803600</v>
      </c>
      <c r="R231" s="158">
        <v>1803600</v>
      </c>
      <c r="S231" s="158">
        <v>1803600</v>
      </c>
    </row>
    <row r="232" spans="1:19" s="47" customFormat="1" ht="55.5" customHeight="1" x14ac:dyDescent="0.2">
      <c r="A232" s="202"/>
      <c r="B232" s="202"/>
      <c r="C232" s="202"/>
      <c r="D232" s="202"/>
      <c r="E232" s="202"/>
      <c r="F232" s="188" t="s">
        <v>472</v>
      </c>
      <c r="G232" s="202"/>
      <c r="H232" s="202"/>
      <c r="I232" s="202"/>
      <c r="J232" s="202"/>
      <c r="K232" s="255"/>
      <c r="L232" s="183" t="s">
        <v>59</v>
      </c>
      <c r="M232" s="85" t="s">
        <v>356</v>
      </c>
      <c r="N232" s="221"/>
      <c r="O232" s="126">
        <v>69600</v>
      </c>
      <c r="P232" s="158">
        <v>69600</v>
      </c>
      <c r="Q232" s="158">
        <f>87600-29800</f>
        <v>57800</v>
      </c>
      <c r="R232" s="158">
        <f>87600-87600</f>
        <v>0</v>
      </c>
      <c r="S232" s="185">
        <f>87600-87600</f>
        <v>0</v>
      </c>
    </row>
    <row r="233" spans="1:19" s="47" customFormat="1" ht="74.25" customHeight="1" x14ac:dyDescent="0.2">
      <c r="A233" s="202"/>
      <c r="B233" s="202"/>
      <c r="C233" s="202"/>
      <c r="D233" s="202"/>
      <c r="E233" s="202"/>
      <c r="F233" s="188"/>
      <c r="G233" s="337" t="s">
        <v>42</v>
      </c>
      <c r="H233" s="202"/>
      <c r="I233" s="202"/>
      <c r="J233" s="202"/>
      <c r="K233" s="255"/>
      <c r="L233" s="183" t="s">
        <v>66</v>
      </c>
      <c r="M233" s="85" t="s">
        <v>356</v>
      </c>
      <c r="N233" s="85" t="s">
        <v>291</v>
      </c>
      <c r="O233" s="126">
        <v>1380000</v>
      </c>
      <c r="P233" s="158">
        <v>1360100</v>
      </c>
      <c r="Q233" s="158">
        <v>1470000</v>
      </c>
      <c r="R233" s="158">
        <v>1470000</v>
      </c>
      <c r="S233" s="158">
        <v>1470000</v>
      </c>
    </row>
    <row r="234" spans="1:19" s="47" customFormat="1" ht="80.25" customHeight="1" x14ac:dyDescent="0.2">
      <c r="A234" s="202"/>
      <c r="B234" s="202"/>
      <c r="C234" s="202"/>
      <c r="D234" s="202"/>
      <c r="E234" s="202"/>
      <c r="F234" s="202" t="s">
        <v>473</v>
      </c>
      <c r="G234" s="202" t="s">
        <v>42</v>
      </c>
      <c r="H234" s="202"/>
      <c r="I234" s="202"/>
      <c r="J234" s="202"/>
      <c r="K234" s="255"/>
      <c r="L234" s="183" t="s">
        <v>102</v>
      </c>
      <c r="M234" s="182" t="s">
        <v>342</v>
      </c>
      <c r="N234" s="182" t="s">
        <v>325</v>
      </c>
      <c r="O234" s="334">
        <v>833673</v>
      </c>
      <c r="P234" s="334">
        <v>681053.26</v>
      </c>
      <c r="Q234" s="334">
        <v>929430</v>
      </c>
      <c r="R234" s="334">
        <v>929430</v>
      </c>
      <c r="S234" s="334">
        <v>929430</v>
      </c>
    </row>
    <row r="235" spans="1:19" s="47" customFormat="1" ht="57.75" customHeight="1" x14ac:dyDescent="0.2">
      <c r="A235" s="202"/>
      <c r="B235" s="202"/>
      <c r="C235" s="202"/>
      <c r="D235" s="202"/>
      <c r="E235" s="202"/>
      <c r="F235" s="202"/>
      <c r="G235" s="202"/>
      <c r="H235" s="202"/>
      <c r="I235" s="202"/>
      <c r="J235" s="202"/>
      <c r="K235" s="255"/>
      <c r="L235" s="183" t="s">
        <v>566</v>
      </c>
      <c r="M235" s="183" t="s">
        <v>356</v>
      </c>
      <c r="N235" s="183" t="s">
        <v>297</v>
      </c>
      <c r="O235" s="185"/>
      <c r="P235" s="185"/>
      <c r="Q235" s="185">
        <v>29800</v>
      </c>
      <c r="R235" s="185">
        <v>87600</v>
      </c>
      <c r="S235" s="185">
        <v>87600</v>
      </c>
    </row>
    <row r="236" spans="1:19" s="47" customFormat="1" ht="150" customHeight="1" x14ac:dyDescent="0.2">
      <c r="A236" s="332" t="s">
        <v>203</v>
      </c>
      <c r="B236" s="228" t="s">
        <v>204</v>
      </c>
      <c r="C236" s="228" t="s">
        <v>205</v>
      </c>
      <c r="D236" s="228" t="s">
        <v>270</v>
      </c>
      <c r="E236" s="228" t="s">
        <v>271</v>
      </c>
      <c r="F236" s="178" t="s">
        <v>460</v>
      </c>
      <c r="G236" s="74" t="s">
        <v>42</v>
      </c>
      <c r="H236" s="228" t="s">
        <v>469</v>
      </c>
      <c r="I236" s="228" t="s">
        <v>42</v>
      </c>
      <c r="J236" s="228" t="s">
        <v>15</v>
      </c>
      <c r="K236" s="219" t="s">
        <v>292</v>
      </c>
      <c r="L236" s="219" t="s">
        <v>102</v>
      </c>
      <c r="M236" s="219" t="s">
        <v>343</v>
      </c>
      <c r="N236" s="84" t="s">
        <v>294</v>
      </c>
      <c r="O236" s="333">
        <v>3521497</v>
      </c>
      <c r="P236" s="333">
        <v>3426765.95</v>
      </c>
      <c r="Q236" s="333">
        <v>5193212</v>
      </c>
      <c r="R236" s="333">
        <v>5458740</v>
      </c>
      <c r="S236" s="333">
        <v>5522786</v>
      </c>
    </row>
    <row r="237" spans="1:19" s="47" customFormat="1" ht="190.5" customHeight="1" x14ac:dyDescent="0.2">
      <c r="A237" s="214"/>
      <c r="B237" s="216"/>
      <c r="C237" s="216"/>
      <c r="D237" s="216"/>
      <c r="E237" s="216"/>
      <c r="F237" s="43" t="s">
        <v>461</v>
      </c>
      <c r="G237" s="43" t="s">
        <v>42</v>
      </c>
      <c r="H237" s="216"/>
      <c r="I237" s="216"/>
      <c r="J237" s="216"/>
      <c r="K237" s="194"/>
      <c r="L237" s="194"/>
      <c r="M237" s="194"/>
      <c r="N237" s="20" t="s">
        <v>325</v>
      </c>
      <c r="O237" s="126">
        <v>1533443</v>
      </c>
      <c r="P237" s="158">
        <v>1326047.0900000001</v>
      </c>
      <c r="Q237" s="158">
        <v>2018582</v>
      </c>
      <c r="R237" s="158">
        <v>1718254</v>
      </c>
      <c r="S237" s="158">
        <v>3067008</v>
      </c>
    </row>
    <row r="238" spans="1:19" s="1" customFormat="1" ht="108.75" customHeight="1" x14ac:dyDescent="0.2">
      <c r="A238" s="96" t="s">
        <v>206</v>
      </c>
      <c r="B238" s="97" t="s">
        <v>207</v>
      </c>
      <c r="C238" s="97" t="s">
        <v>208</v>
      </c>
      <c r="D238" s="97" t="s">
        <v>270</v>
      </c>
      <c r="E238" s="97" t="s">
        <v>271</v>
      </c>
      <c r="F238" s="97" t="s">
        <v>456</v>
      </c>
      <c r="G238" s="97" t="s">
        <v>42</v>
      </c>
      <c r="H238" s="97" t="s">
        <v>469</v>
      </c>
      <c r="I238" s="97" t="s">
        <v>42</v>
      </c>
      <c r="J238" s="97" t="s">
        <v>15</v>
      </c>
      <c r="K238" s="15" t="s">
        <v>292</v>
      </c>
      <c r="L238" s="15" t="s">
        <v>209</v>
      </c>
      <c r="M238" s="15" t="s">
        <v>339</v>
      </c>
      <c r="N238" s="15" t="s">
        <v>285</v>
      </c>
      <c r="O238" s="127">
        <v>43000</v>
      </c>
      <c r="P238" s="160">
        <v>28000</v>
      </c>
      <c r="Q238" s="160">
        <v>50000</v>
      </c>
      <c r="R238" s="160">
        <v>57000</v>
      </c>
      <c r="S238" s="160">
        <v>57000</v>
      </c>
    </row>
    <row r="239" spans="1:19" s="1" customFormat="1" ht="123.75" customHeight="1" x14ac:dyDescent="0.2">
      <c r="A239" s="96" t="s">
        <v>210</v>
      </c>
      <c r="B239" s="97" t="s">
        <v>211</v>
      </c>
      <c r="C239" s="97" t="s">
        <v>212</v>
      </c>
      <c r="D239" s="97" t="s">
        <v>270</v>
      </c>
      <c r="E239" s="97" t="s">
        <v>271</v>
      </c>
      <c r="F239" s="97" t="s">
        <v>462</v>
      </c>
      <c r="G239" s="97" t="s">
        <v>42</v>
      </c>
      <c r="H239" s="97" t="s">
        <v>468</v>
      </c>
      <c r="I239" s="97" t="s">
        <v>42</v>
      </c>
      <c r="J239" s="97" t="s">
        <v>18</v>
      </c>
      <c r="K239" s="15" t="s">
        <v>284</v>
      </c>
      <c r="L239" s="15" t="s">
        <v>213</v>
      </c>
      <c r="M239" s="15" t="s">
        <v>388</v>
      </c>
      <c r="N239" s="15" t="s">
        <v>285</v>
      </c>
      <c r="O239" s="127">
        <v>242711.89</v>
      </c>
      <c r="P239" s="160">
        <v>242514</v>
      </c>
      <c r="Q239" s="160">
        <v>63871.55</v>
      </c>
      <c r="R239" s="160">
        <v>63871.55</v>
      </c>
      <c r="S239" s="160">
        <v>63871.55</v>
      </c>
    </row>
    <row r="240" spans="1:19" ht="26.45" customHeight="1" x14ac:dyDescent="0.2">
      <c r="A240" s="5" t="s">
        <v>214</v>
      </c>
      <c r="B240" s="93" t="s">
        <v>215</v>
      </c>
      <c r="C240" s="93" t="s">
        <v>216</v>
      </c>
      <c r="D240" s="93" t="s">
        <v>0</v>
      </c>
      <c r="E240" s="93" t="s">
        <v>0</v>
      </c>
      <c r="F240" s="93" t="s">
        <v>0</v>
      </c>
      <c r="G240" s="93" t="s">
        <v>0</v>
      </c>
      <c r="H240" s="93" t="s">
        <v>0</v>
      </c>
      <c r="I240" s="93" t="s">
        <v>0</v>
      </c>
      <c r="J240" s="93" t="s">
        <v>0</v>
      </c>
      <c r="K240" s="14"/>
      <c r="L240" s="14"/>
      <c r="M240" s="14"/>
      <c r="N240" s="14"/>
      <c r="O240" s="109">
        <f t="shared" ref="O240" si="51">O241+O243+O245</f>
        <v>114674287</v>
      </c>
      <c r="P240" s="123">
        <f t="shared" ref="P240:Q240" si="52">P241+P243+P245</f>
        <v>114674287</v>
      </c>
      <c r="Q240" s="123">
        <f t="shared" si="52"/>
        <v>120680089</v>
      </c>
      <c r="R240" s="123">
        <f t="shared" ref="R240:S240" si="53">R241+R243+R245</f>
        <v>120680089</v>
      </c>
      <c r="S240" s="123">
        <f t="shared" si="53"/>
        <v>120680089</v>
      </c>
    </row>
    <row r="241" spans="1:19" s="1" customFormat="1" ht="143.25" customHeight="1" x14ac:dyDescent="0.2">
      <c r="A241" s="209" t="s">
        <v>217</v>
      </c>
      <c r="B241" s="97" t="s">
        <v>218</v>
      </c>
      <c r="C241" s="210" t="s">
        <v>219</v>
      </c>
      <c r="D241" s="97" t="s">
        <v>270</v>
      </c>
      <c r="E241" s="97" t="s">
        <v>271</v>
      </c>
      <c r="F241" s="97" t="s">
        <v>46</v>
      </c>
      <c r="G241" s="97" t="s">
        <v>42</v>
      </c>
      <c r="H241" s="207" t="s">
        <v>469</v>
      </c>
      <c r="I241" s="207" t="s">
        <v>42</v>
      </c>
      <c r="J241" s="207" t="s">
        <v>11</v>
      </c>
      <c r="K241" s="196" t="s">
        <v>292</v>
      </c>
      <c r="L241" s="196" t="s">
        <v>51</v>
      </c>
      <c r="M241" s="196" t="s">
        <v>412</v>
      </c>
      <c r="N241" s="196" t="s">
        <v>296</v>
      </c>
      <c r="O241" s="195">
        <v>49261125</v>
      </c>
      <c r="P241" s="195">
        <v>49261125</v>
      </c>
      <c r="Q241" s="195">
        <v>54133429</v>
      </c>
      <c r="R241" s="195">
        <v>54133429</v>
      </c>
      <c r="S241" s="195">
        <v>54133429</v>
      </c>
    </row>
    <row r="242" spans="1:19" ht="143.25" customHeight="1" x14ac:dyDescent="0.2">
      <c r="A242" s="209" t="s">
        <v>0</v>
      </c>
      <c r="B242" s="93" t="s">
        <v>218</v>
      </c>
      <c r="C242" s="210" t="s">
        <v>0</v>
      </c>
      <c r="D242" s="3" t="s">
        <v>476</v>
      </c>
      <c r="E242" s="93" t="s">
        <v>42</v>
      </c>
      <c r="F242" s="3" t="s">
        <v>477</v>
      </c>
      <c r="G242" s="3" t="s">
        <v>478</v>
      </c>
      <c r="H242" s="208"/>
      <c r="I242" s="208"/>
      <c r="J242" s="208"/>
      <c r="K242" s="197"/>
      <c r="L242" s="197"/>
      <c r="M242" s="197"/>
      <c r="N242" s="197"/>
      <c r="O242" s="195"/>
      <c r="P242" s="195"/>
      <c r="Q242" s="195"/>
      <c r="R242" s="195"/>
      <c r="S242" s="195"/>
    </row>
    <row r="243" spans="1:19" s="1" customFormat="1" ht="145.5" customHeight="1" x14ac:dyDescent="0.2">
      <c r="A243" s="209" t="s">
        <v>220</v>
      </c>
      <c r="B243" s="97" t="s">
        <v>221</v>
      </c>
      <c r="C243" s="210" t="s">
        <v>222</v>
      </c>
      <c r="D243" s="97" t="s">
        <v>270</v>
      </c>
      <c r="E243" s="97" t="s">
        <v>271</v>
      </c>
      <c r="F243" s="207" t="s">
        <v>46</v>
      </c>
      <c r="G243" s="207" t="s">
        <v>42</v>
      </c>
      <c r="H243" s="207" t="s">
        <v>469</v>
      </c>
      <c r="I243" s="207" t="s">
        <v>42</v>
      </c>
      <c r="J243" s="207" t="s">
        <v>11</v>
      </c>
      <c r="K243" s="196" t="s">
        <v>292</v>
      </c>
      <c r="L243" s="196" t="s">
        <v>51</v>
      </c>
      <c r="M243" s="196" t="s">
        <v>412</v>
      </c>
      <c r="N243" s="196" t="s">
        <v>296</v>
      </c>
      <c r="O243" s="195">
        <v>33930816</v>
      </c>
      <c r="P243" s="195">
        <v>33930816</v>
      </c>
      <c r="Q243" s="160">
        <v>32206145</v>
      </c>
      <c r="R243" s="160">
        <v>32206145</v>
      </c>
      <c r="S243" s="160">
        <v>32206145</v>
      </c>
    </row>
    <row r="244" spans="1:19" ht="145.5" customHeight="1" x14ac:dyDescent="0.2">
      <c r="A244" s="209" t="s">
        <v>0</v>
      </c>
      <c r="B244" s="93" t="s">
        <v>221</v>
      </c>
      <c r="C244" s="210" t="s">
        <v>0</v>
      </c>
      <c r="D244" s="3" t="s">
        <v>425</v>
      </c>
      <c r="E244" s="93" t="s">
        <v>42</v>
      </c>
      <c r="F244" s="217"/>
      <c r="G244" s="217"/>
      <c r="H244" s="208"/>
      <c r="I244" s="208"/>
      <c r="J244" s="208"/>
      <c r="K244" s="197"/>
      <c r="L244" s="197"/>
      <c r="M244" s="197"/>
      <c r="N244" s="197"/>
      <c r="O244" s="195"/>
      <c r="P244" s="195"/>
      <c r="Q244" s="160"/>
      <c r="R244" s="160"/>
      <c r="S244" s="160"/>
    </row>
    <row r="245" spans="1:19" s="1" customFormat="1" ht="74.25" customHeight="1" x14ac:dyDescent="0.2">
      <c r="A245" s="209" t="s">
        <v>223</v>
      </c>
      <c r="B245" s="97" t="s">
        <v>224</v>
      </c>
      <c r="C245" s="210" t="s">
        <v>225</v>
      </c>
      <c r="D245" s="97" t="s">
        <v>270</v>
      </c>
      <c r="E245" s="18" t="s">
        <v>271</v>
      </c>
      <c r="F245" s="188" t="s">
        <v>46</v>
      </c>
      <c r="G245" s="188" t="s">
        <v>42</v>
      </c>
      <c r="H245" s="211" t="s">
        <v>469</v>
      </c>
      <c r="I245" s="207" t="s">
        <v>0</v>
      </c>
      <c r="J245" s="207" t="s">
        <v>11</v>
      </c>
      <c r="K245" s="196" t="s">
        <v>292</v>
      </c>
      <c r="L245" s="196" t="s">
        <v>47</v>
      </c>
      <c r="M245" s="196" t="s">
        <v>358</v>
      </c>
      <c r="N245" s="196" t="s">
        <v>296</v>
      </c>
      <c r="O245" s="195">
        <v>31482346</v>
      </c>
      <c r="P245" s="195">
        <v>31482346</v>
      </c>
      <c r="Q245" s="195">
        <v>34340515</v>
      </c>
      <c r="R245" s="195">
        <v>34340515</v>
      </c>
      <c r="S245" s="195">
        <v>34340515</v>
      </c>
    </row>
    <row r="246" spans="1:19" ht="224.25" customHeight="1" x14ac:dyDescent="0.2">
      <c r="A246" s="209" t="s">
        <v>0</v>
      </c>
      <c r="B246" s="93" t="s">
        <v>224</v>
      </c>
      <c r="C246" s="210" t="s">
        <v>0</v>
      </c>
      <c r="D246" s="93" t="s">
        <v>52</v>
      </c>
      <c r="E246" s="145" t="s">
        <v>42</v>
      </c>
      <c r="F246" s="188"/>
      <c r="G246" s="188"/>
      <c r="H246" s="212"/>
      <c r="I246" s="208"/>
      <c r="J246" s="208"/>
      <c r="K246" s="197"/>
      <c r="L246" s="197"/>
      <c r="M246" s="197"/>
      <c r="N246" s="197"/>
      <c r="O246" s="195"/>
      <c r="P246" s="195"/>
      <c r="Q246" s="195"/>
      <c r="R246" s="195"/>
      <c r="S246" s="195"/>
    </row>
    <row r="247" spans="1:19" ht="26.45" customHeight="1" x14ac:dyDescent="0.2">
      <c r="A247" s="8" t="s">
        <v>226</v>
      </c>
      <c r="B247" s="93" t="s">
        <v>227</v>
      </c>
      <c r="C247" s="93" t="s">
        <v>228</v>
      </c>
      <c r="D247" s="93" t="s">
        <v>0</v>
      </c>
      <c r="E247" s="93" t="s">
        <v>0</v>
      </c>
      <c r="F247" s="133" t="s">
        <v>0</v>
      </c>
      <c r="G247" s="133" t="s">
        <v>0</v>
      </c>
      <c r="H247" s="93" t="s">
        <v>0</v>
      </c>
      <c r="I247" s="93" t="s">
        <v>0</v>
      </c>
      <c r="J247" s="93" t="s">
        <v>0</v>
      </c>
      <c r="K247" s="14"/>
      <c r="L247" s="14"/>
      <c r="M247" s="14"/>
      <c r="N247" s="14"/>
      <c r="O247" s="121">
        <f t="shared" ref="O247" si="54">O248+O249+O253</f>
        <v>12962358.43</v>
      </c>
      <c r="P247" s="176">
        <f t="shared" ref="P247" si="55">P248+P249+P253</f>
        <v>12875444.780000001</v>
      </c>
      <c r="Q247" s="176">
        <f>Q248+Q249+Q253</f>
        <v>15461550.859999999</v>
      </c>
      <c r="R247" s="176">
        <f t="shared" ref="R247:S247" si="56">R248+R249+R253</f>
        <v>11715498</v>
      </c>
      <c r="S247" s="176">
        <f t="shared" si="56"/>
        <v>12127847</v>
      </c>
    </row>
    <row r="248" spans="1:19" s="1" customFormat="1" ht="77.25" customHeight="1" x14ac:dyDescent="0.2">
      <c r="A248" s="96" t="s">
        <v>229</v>
      </c>
      <c r="B248" s="97" t="s">
        <v>230</v>
      </c>
      <c r="C248" s="97" t="s">
        <v>231</v>
      </c>
      <c r="D248" s="97" t="s">
        <v>270</v>
      </c>
      <c r="E248" s="97" t="s">
        <v>42</v>
      </c>
      <c r="F248" s="97" t="s">
        <v>480</v>
      </c>
      <c r="G248" s="97" t="s">
        <v>42</v>
      </c>
      <c r="H248" s="97" t="s">
        <v>488</v>
      </c>
      <c r="I248" s="97" t="s">
        <v>0</v>
      </c>
      <c r="J248" s="97" t="s">
        <v>168</v>
      </c>
      <c r="K248" s="15">
        <v>853</v>
      </c>
      <c r="L248" s="15">
        <v>1401</v>
      </c>
      <c r="M248" s="15" t="s">
        <v>410</v>
      </c>
      <c r="N248" s="15">
        <v>511</v>
      </c>
      <c r="O248" s="127">
        <v>859000</v>
      </c>
      <c r="P248" s="160">
        <v>859000</v>
      </c>
      <c r="Q248" s="160">
        <v>926300</v>
      </c>
      <c r="R248" s="160">
        <v>926300</v>
      </c>
      <c r="S248" s="160">
        <v>926300</v>
      </c>
    </row>
    <row r="249" spans="1:19" s="48" customFormat="1" ht="33" customHeight="1" x14ac:dyDescent="0.2">
      <c r="A249" s="62" t="s">
        <v>232</v>
      </c>
      <c r="B249" s="76" t="s">
        <v>233</v>
      </c>
      <c r="C249" s="76" t="s">
        <v>234</v>
      </c>
      <c r="D249" s="87" t="s">
        <v>0</v>
      </c>
      <c r="E249" s="87" t="s">
        <v>0</v>
      </c>
      <c r="F249" s="87" t="s">
        <v>0</v>
      </c>
      <c r="G249" s="87" t="s">
        <v>0</v>
      </c>
      <c r="H249" s="87" t="s">
        <v>0</v>
      </c>
      <c r="I249" s="76" t="s">
        <v>0</v>
      </c>
      <c r="J249" s="76" t="s">
        <v>168</v>
      </c>
      <c r="K249" s="13"/>
      <c r="L249" s="13"/>
      <c r="M249" s="13"/>
      <c r="N249" s="13"/>
      <c r="O249" s="122">
        <f t="shared" ref="O249" si="57">O250+O252</f>
        <v>1257897</v>
      </c>
      <c r="P249" s="177">
        <f t="shared" ref="P249:Q249" si="58">P250+P252</f>
        <v>1257897</v>
      </c>
      <c r="Q249" s="177">
        <f t="shared" si="58"/>
        <v>1149889</v>
      </c>
      <c r="R249" s="177">
        <f t="shared" ref="R249:S249" si="59">R250+R252</f>
        <v>1201679</v>
      </c>
      <c r="S249" s="177">
        <f t="shared" si="59"/>
        <v>1244028</v>
      </c>
    </row>
    <row r="250" spans="1:19" s="48" customFormat="1" ht="123.75" customHeight="1" x14ac:dyDescent="0.2">
      <c r="A250" s="198" t="s">
        <v>235</v>
      </c>
      <c r="B250" s="76" t="s">
        <v>236</v>
      </c>
      <c r="C250" s="199" t="s">
        <v>237</v>
      </c>
      <c r="D250" s="100" t="s">
        <v>490</v>
      </c>
      <c r="E250" s="98" t="s">
        <v>42</v>
      </c>
      <c r="F250" s="200" t="s">
        <v>440</v>
      </c>
      <c r="G250" s="201" t="s">
        <v>42</v>
      </c>
      <c r="H250" s="202" t="s">
        <v>468</v>
      </c>
      <c r="I250" s="203" t="s">
        <v>42</v>
      </c>
      <c r="J250" s="205" t="s">
        <v>168</v>
      </c>
      <c r="K250" s="193" t="s">
        <v>284</v>
      </c>
      <c r="L250" s="193" t="s">
        <v>181</v>
      </c>
      <c r="M250" s="193" t="s">
        <v>409</v>
      </c>
      <c r="N250" s="193" t="s">
        <v>283</v>
      </c>
      <c r="O250" s="192">
        <v>1257697</v>
      </c>
      <c r="P250" s="192">
        <v>1257697</v>
      </c>
      <c r="Q250" s="192">
        <f>1436862-287373</f>
        <v>1149489</v>
      </c>
      <c r="R250" s="192">
        <f>1501599-300320</f>
        <v>1201279</v>
      </c>
      <c r="S250" s="192">
        <f>1554535-310907</f>
        <v>1243628</v>
      </c>
    </row>
    <row r="251" spans="1:19" s="47" customFormat="1" ht="75.75" customHeight="1" x14ac:dyDescent="0.2">
      <c r="A251" s="198" t="s">
        <v>0</v>
      </c>
      <c r="B251" s="43" t="s">
        <v>236</v>
      </c>
      <c r="C251" s="199" t="s">
        <v>0</v>
      </c>
      <c r="D251" s="75" t="s">
        <v>489</v>
      </c>
      <c r="E251" s="75" t="s">
        <v>42</v>
      </c>
      <c r="F251" s="200"/>
      <c r="G251" s="201"/>
      <c r="H251" s="202"/>
      <c r="I251" s="204"/>
      <c r="J251" s="206"/>
      <c r="K251" s="194"/>
      <c r="L251" s="194"/>
      <c r="M251" s="194"/>
      <c r="N251" s="194"/>
      <c r="O251" s="192"/>
      <c r="P251" s="192"/>
      <c r="Q251" s="192"/>
      <c r="R251" s="192"/>
      <c r="S251" s="192"/>
    </row>
    <row r="252" spans="1:19" s="47" customFormat="1" ht="132.75" customHeight="1" x14ac:dyDescent="0.2">
      <c r="A252" s="45" t="s">
        <v>238</v>
      </c>
      <c r="B252" s="43" t="s">
        <v>239</v>
      </c>
      <c r="C252" s="43" t="s">
        <v>240</v>
      </c>
      <c r="D252" s="74" t="s">
        <v>270</v>
      </c>
      <c r="E252" s="74" t="s">
        <v>42</v>
      </c>
      <c r="F252" s="74" t="s">
        <v>487</v>
      </c>
      <c r="G252" s="74" t="s">
        <v>42</v>
      </c>
      <c r="H252" s="74" t="s">
        <v>468</v>
      </c>
      <c r="I252" s="43" t="s">
        <v>0</v>
      </c>
      <c r="J252" s="43" t="s">
        <v>168</v>
      </c>
      <c r="K252" s="20" t="s">
        <v>284</v>
      </c>
      <c r="L252" s="20" t="s">
        <v>127</v>
      </c>
      <c r="M252" s="20" t="s">
        <v>399</v>
      </c>
      <c r="N252" s="20" t="s">
        <v>283</v>
      </c>
      <c r="O252" s="126">
        <v>200</v>
      </c>
      <c r="P252" s="158">
        <v>200</v>
      </c>
      <c r="Q252" s="158">
        <f>200+200</f>
        <v>400</v>
      </c>
      <c r="R252" s="158">
        <f t="shared" ref="R252:S252" si="60">200+200</f>
        <v>400</v>
      </c>
      <c r="S252" s="158">
        <f t="shared" si="60"/>
        <v>400</v>
      </c>
    </row>
    <row r="253" spans="1:19" ht="26.45" customHeight="1" x14ac:dyDescent="0.2">
      <c r="A253" s="5" t="s">
        <v>241</v>
      </c>
      <c r="B253" s="93" t="s">
        <v>242</v>
      </c>
      <c r="C253" s="93" t="s">
        <v>243</v>
      </c>
      <c r="D253" s="93" t="s">
        <v>0</v>
      </c>
      <c r="E253" s="93" t="s">
        <v>0</v>
      </c>
      <c r="F253" s="93" t="s">
        <v>0</v>
      </c>
      <c r="G253" s="93" t="s">
        <v>0</v>
      </c>
      <c r="H253" s="93" t="s">
        <v>0</v>
      </c>
      <c r="I253" s="93" t="s">
        <v>0</v>
      </c>
      <c r="J253" s="93" t="s">
        <v>168</v>
      </c>
      <c r="K253" s="14"/>
      <c r="L253" s="14"/>
      <c r="M253" s="14"/>
      <c r="N253" s="14"/>
      <c r="O253" s="109">
        <f t="shared" ref="O253" si="61">O254+O259</f>
        <v>10845461.43</v>
      </c>
      <c r="P253" s="123">
        <f t="shared" ref="P253:Q253" si="62">P254+P259</f>
        <v>10758547.780000001</v>
      </c>
      <c r="Q253" s="123">
        <f t="shared" si="62"/>
        <v>13385361.859999999</v>
      </c>
      <c r="R253" s="123">
        <f t="shared" ref="R253:S253" si="63">R254+R259</f>
        <v>9587519</v>
      </c>
      <c r="S253" s="123">
        <f t="shared" si="63"/>
        <v>9957519</v>
      </c>
    </row>
    <row r="254" spans="1:19" ht="26.45" customHeight="1" x14ac:dyDescent="0.2">
      <c r="A254" s="6" t="s">
        <v>244</v>
      </c>
      <c r="B254" s="93" t="s">
        <v>245</v>
      </c>
      <c r="C254" s="93" t="s">
        <v>246</v>
      </c>
      <c r="D254" s="93" t="s">
        <v>0</v>
      </c>
      <c r="E254" s="93" t="s">
        <v>0</v>
      </c>
      <c r="F254" s="93" t="s">
        <v>0</v>
      </c>
      <c r="G254" s="93" t="s">
        <v>0</v>
      </c>
      <c r="H254" s="93" t="s">
        <v>0</v>
      </c>
      <c r="I254" s="93" t="s">
        <v>0</v>
      </c>
      <c r="J254" s="93" t="s">
        <v>168</v>
      </c>
      <c r="K254" s="14"/>
      <c r="L254" s="14"/>
      <c r="M254" s="14"/>
      <c r="N254" s="14"/>
      <c r="O254" s="110">
        <f>O255+O256+O257+O258</f>
        <v>8986461.4299999997</v>
      </c>
      <c r="P254" s="171">
        <f>P255+P256+P257+P258</f>
        <v>8899547.7800000012</v>
      </c>
      <c r="Q254" s="171">
        <f>Q255+Q256+Q257+Q258</f>
        <v>9187361.8599999994</v>
      </c>
      <c r="R254" s="171">
        <f t="shared" ref="R254:S254" si="64">R255+R256+R257+R258</f>
        <v>8087519</v>
      </c>
      <c r="S254" s="171">
        <f t="shared" si="64"/>
        <v>8457519</v>
      </c>
    </row>
    <row r="255" spans="1:19" s="1" customFormat="1" ht="170.25" hidden="1" customHeight="1" x14ac:dyDescent="0.2">
      <c r="A255" s="96" t="s">
        <v>247</v>
      </c>
      <c r="B255" s="97" t="s">
        <v>248</v>
      </c>
      <c r="C255" s="97" t="s">
        <v>249</v>
      </c>
      <c r="D255" s="97" t="s">
        <v>270</v>
      </c>
      <c r="E255" s="97" t="s">
        <v>481</v>
      </c>
      <c r="F255" s="97" t="s">
        <v>0</v>
      </c>
      <c r="G255" s="97" t="s">
        <v>0</v>
      </c>
      <c r="H255" s="97" t="s">
        <v>483</v>
      </c>
      <c r="I255" s="97" t="s">
        <v>42</v>
      </c>
      <c r="J255" s="97" t="s">
        <v>0</v>
      </c>
      <c r="K255" s="15">
        <v>851</v>
      </c>
      <c r="L255" s="15" t="s">
        <v>138</v>
      </c>
      <c r="M255" s="15" t="s">
        <v>280</v>
      </c>
      <c r="N255" s="15" t="s">
        <v>282</v>
      </c>
      <c r="O255" s="127"/>
      <c r="P255" s="160"/>
      <c r="Q255" s="160"/>
      <c r="R255" s="160"/>
      <c r="S255" s="160"/>
    </row>
    <row r="256" spans="1:19" s="1" customFormat="1" ht="313.5" customHeight="1" x14ac:dyDescent="0.2">
      <c r="A256" s="96" t="s">
        <v>250</v>
      </c>
      <c r="B256" s="97" t="s">
        <v>251</v>
      </c>
      <c r="C256" s="97" t="s">
        <v>252</v>
      </c>
      <c r="D256" s="97" t="s">
        <v>270</v>
      </c>
      <c r="E256" s="97" t="s">
        <v>481</v>
      </c>
      <c r="F256" s="97" t="s">
        <v>539</v>
      </c>
      <c r="G256" s="97" t="s">
        <v>42</v>
      </c>
      <c r="H256" s="61" t="s">
        <v>482</v>
      </c>
      <c r="I256" s="97" t="s">
        <v>42</v>
      </c>
      <c r="J256" s="97" t="s">
        <v>0</v>
      </c>
      <c r="K256" s="15">
        <v>851</v>
      </c>
      <c r="L256" s="15" t="s">
        <v>253</v>
      </c>
      <c r="M256" s="15" t="s">
        <v>389</v>
      </c>
      <c r="N256" s="15" t="s">
        <v>282</v>
      </c>
      <c r="O256" s="127">
        <v>8915388.4299999997</v>
      </c>
      <c r="P256" s="160">
        <v>8830715.0500000007</v>
      </c>
      <c r="Q256" s="160">
        <f>7832000+1282811.78</f>
        <v>9114811.7799999993</v>
      </c>
      <c r="R256" s="160">
        <v>8021000</v>
      </c>
      <c r="S256" s="160">
        <v>8391000</v>
      </c>
    </row>
    <row r="257" spans="1:19" s="1" customFormat="1" ht="237" customHeight="1" x14ac:dyDescent="0.2">
      <c r="A257" s="96" t="s">
        <v>254</v>
      </c>
      <c r="B257" s="97" t="s">
        <v>255</v>
      </c>
      <c r="C257" s="97" t="s">
        <v>256</v>
      </c>
      <c r="D257" s="97" t="s">
        <v>270</v>
      </c>
      <c r="E257" s="97" t="s">
        <v>481</v>
      </c>
      <c r="F257" s="97" t="s">
        <v>486</v>
      </c>
      <c r="G257" s="97" t="s">
        <v>0</v>
      </c>
      <c r="H257" s="97" t="s">
        <v>485</v>
      </c>
      <c r="I257" s="97" t="s">
        <v>42</v>
      </c>
      <c r="J257" s="97" t="s">
        <v>0</v>
      </c>
      <c r="K257" s="15">
        <v>851</v>
      </c>
      <c r="L257" s="15" t="s">
        <v>94</v>
      </c>
      <c r="M257" s="15" t="s">
        <v>281</v>
      </c>
      <c r="N257" s="15">
        <v>540</v>
      </c>
      <c r="O257" s="127"/>
      <c r="P257" s="160"/>
      <c r="Q257" s="160"/>
      <c r="R257" s="160"/>
      <c r="S257" s="160"/>
    </row>
    <row r="258" spans="1:19" s="1" customFormat="1" ht="210" customHeight="1" x14ac:dyDescent="0.2">
      <c r="A258" s="96" t="s">
        <v>99</v>
      </c>
      <c r="B258" s="97" t="s">
        <v>257</v>
      </c>
      <c r="C258" s="97" t="s">
        <v>258</v>
      </c>
      <c r="D258" s="97" t="s">
        <v>270</v>
      </c>
      <c r="E258" s="97" t="s">
        <v>481</v>
      </c>
      <c r="F258" s="97" t="s">
        <v>0</v>
      </c>
      <c r="G258" s="97" t="s">
        <v>0</v>
      </c>
      <c r="H258" s="97" t="s">
        <v>484</v>
      </c>
      <c r="I258" s="97" t="s">
        <v>42</v>
      </c>
      <c r="J258" s="97" t="s">
        <v>0</v>
      </c>
      <c r="K258" s="15">
        <v>851</v>
      </c>
      <c r="L258" s="15" t="s">
        <v>259</v>
      </c>
      <c r="M258" s="15" t="s">
        <v>386</v>
      </c>
      <c r="N258" s="15">
        <v>540</v>
      </c>
      <c r="O258" s="127">
        <v>71073</v>
      </c>
      <c r="P258" s="160">
        <v>68832.73</v>
      </c>
      <c r="Q258" s="160">
        <f>66519+6031.08</f>
        <v>72550.080000000002</v>
      </c>
      <c r="R258" s="160">
        <v>66519</v>
      </c>
      <c r="S258" s="160">
        <v>66519</v>
      </c>
    </row>
    <row r="259" spans="1:19" ht="26.45" customHeight="1" x14ac:dyDescent="0.2">
      <c r="A259" s="6" t="s">
        <v>260</v>
      </c>
      <c r="B259" s="93" t="s">
        <v>261</v>
      </c>
      <c r="C259" s="93" t="s">
        <v>262</v>
      </c>
      <c r="D259" s="93" t="s">
        <v>0</v>
      </c>
      <c r="E259" s="93" t="s">
        <v>0</v>
      </c>
      <c r="F259" s="93" t="s">
        <v>0</v>
      </c>
      <c r="G259" s="93" t="s">
        <v>0</v>
      </c>
      <c r="H259" s="93" t="s">
        <v>0</v>
      </c>
      <c r="I259" s="93" t="s">
        <v>0</v>
      </c>
      <c r="J259" s="93" t="s">
        <v>168</v>
      </c>
      <c r="K259" s="14"/>
      <c r="L259" s="14"/>
      <c r="M259" s="14"/>
      <c r="N259" s="14"/>
      <c r="O259" s="110">
        <f t="shared" ref="O259:Q259" si="65">O260</f>
        <v>1859000</v>
      </c>
      <c r="P259" s="171">
        <f t="shared" si="65"/>
        <v>1859000</v>
      </c>
      <c r="Q259" s="171">
        <f t="shared" si="65"/>
        <v>4198000</v>
      </c>
      <c r="R259" s="171">
        <f t="shared" ref="R259:S259" si="66">R260</f>
        <v>1500000</v>
      </c>
      <c r="S259" s="171">
        <f t="shared" si="66"/>
        <v>1500000</v>
      </c>
    </row>
    <row r="260" spans="1:19" s="1" customFormat="1" ht="129.75" customHeight="1" x14ac:dyDescent="0.2">
      <c r="A260" s="96" t="s">
        <v>263</v>
      </c>
      <c r="B260" s="97" t="s">
        <v>264</v>
      </c>
      <c r="C260" s="97" t="s">
        <v>265</v>
      </c>
      <c r="D260" s="97" t="s">
        <v>270</v>
      </c>
      <c r="E260" s="97" t="s">
        <v>42</v>
      </c>
      <c r="F260" s="97" t="s">
        <v>480</v>
      </c>
      <c r="G260" s="97" t="s">
        <v>0</v>
      </c>
      <c r="H260" s="97" t="s">
        <v>479</v>
      </c>
      <c r="I260" s="97" t="s">
        <v>42</v>
      </c>
      <c r="J260" s="97" t="s">
        <v>0</v>
      </c>
      <c r="K260" s="15">
        <v>853</v>
      </c>
      <c r="L260" s="15">
        <v>1402</v>
      </c>
      <c r="M260" s="15" t="s">
        <v>411</v>
      </c>
      <c r="N260" s="15">
        <v>512</v>
      </c>
      <c r="O260" s="127">
        <v>1859000</v>
      </c>
      <c r="P260" s="160">
        <v>1859000</v>
      </c>
      <c r="Q260" s="160">
        <f>3000000+1198000</f>
        <v>4198000</v>
      </c>
      <c r="R260" s="160">
        <v>1500000</v>
      </c>
      <c r="S260" s="160">
        <v>1500000</v>
      </c>
    </row>
    <row r="261" spans="1:19" ht="24.75" customHeight="1" x14ac:dyDescent="0.2">
      <c r="A261" s="5" t="s">
        <v>266</v>
      </c>
      <c r="B261" s="93" t="s">
        <v>14</v>
      </c>
      <c r="C261" s="93" t="s">
        <v>267</v>
      </c>
      <c r="D261" s="93" t="s">
        <v>0</v>
      </c>
      <c r="E261" s="93" t="s">
        <v>0</v>
      </c>
      <c r="F261" s="93" t="s">
        <v>0</v>
      </c>
      <c r="G261" s="93" t="s">
        <v>0</v>
      </c>
      <c r="H261" s="93" t="s">
        <v>0</v>
      </c>
      <c r="I261" s="93" t="s">
        <v>0</v>
      </c>
      <c r="J261" s="93" t="s">
        <v>0</v>
      </c>
      <c r="K261" s="14"/>
      <c r="L261" s="14"/>
      <c r="M261" s="14"/>
      <c r="N261" s="14"/>
      <c r="O261" s="123">
        <f>O10+O140+O191+O240</f>
        <v>377142972.49000001</v>
      </c>
      <c r="P261" s="123">
        <f>P10+P140+P191+P240</f>
        <v>366076627.07999998</v>
      </c>
      <c r="Q261" s="123">
        <f>Q10+Q140+Q191+Q240</f>
        <v>338122064.15000004</v>
      </c>
      <c r="R261" s="123">
        <f>R10+R140+R191+R240</f>
        <v>308997384.35000002</v>
      </c>
      <c r="S261" s="123">
        <f>S10+S140+S191+S240</f>
        <v>291229254.23000002</v>
      </c>
    </row>
    <row r="262" spans="1:19" ht="24.75" customHeight="1" x14ac:dyDescent="0.2">
      <c r="A262" s="4" t="s">
        <v>268</v>
      </c>
      <c r="B262" s="93" t="s">
        <v>14</v>
      </c>
      <c r="C262" s="93" t="s">
        <v>269</v>
      </c>
      <c r="D262" s="93" t="s">
        <v>0</v>
      </c>
      <c r="E262" s="93" t="s">
        <v>0</v>
      </c>
      <c r="F262" s="93" t="s">
        <v>0</v>
      </c>
      <c r="G262" s="93" t="s">
        <v>0</v>
      </c>
      <c r="H262" s="93" t="s">
        <v>0</v>
      </c>
      <c r="I262" s="93" t="s">
        <v>0</v>
      </c>
      <c r="J262" s="93" t="s">
        <v>0</v>
      </c>
      <c r="K262" s="14"/>
      <c r="L262" s="14"/>
      <c r="M262" s="14"/>
      <c r="N262" s="14"/>
      <c r="O262" s="124">
        <f t="shared" ref="O262" si="67">O261+O247</f>
        <v>390105330.92000002</v>
      </c>
      <c r="P262" s="124">
        <f t="shared" ref="P262:Q262" si="68">P261+P247</f>
        <v>378952071.86000001</v>
      </c>
      <c r="Q262" s="124">
        <f t="shared" si="68"/>
        <v>353583615.01000005</v>
      </c>
      <c r="R262" s="124">
        <f t="shared" ref="R262:S262" si="69">R261+R247</f>
        <v>320712882.35000002</v>
      </c>
      <c r="S262" s="124">
        <f t="shared" si="69"/>
        <v>303357101.23000002</v>
      </c>
    </row>
    <row r="264" spans="1:19" x14ac:dyDescent="0.2">
      <c r="O264" s="2"/>
      <c r="Q264" s="2">
        <v>353583615.00999999</v>
      </c>
      <c r="R264">
        <v>320712882.35000002</v>
      </c>
      <c r="S264">
        <v>303357101.23000002</v>
      </c>
    </row>
    <row r="266" spans="1:19" hidden="1" x14ac:dyDescent="0.2">
      <c r="O266">
        <v>390105330.92000002</v>
      </c>
      <c r="P266">
        <v>378952071.86000001</v>
      </c>
    </row>
    <row r="267" spans="1:19" hidden="1" x14ac:dyDescent="0.2">
      <c r="O267" s="11">
        <f t="shared" ref="O267" si="70">O262-O266</f>
        <v>0</v>
      </c>
      <c r="P267" s="11">
        <f>P262-P266</f>
        <v>0</v>
      </c>
      <c r="Q267" s="11"/>
      <c r="R267" s="11"/>
      <c r="S267" s="11"/>
    </row>
    <row r="268" spans="1:19" hidden="1" x14ac:dyDescent="0.2"/>
    <row r="269" spans="1:19" hidden="1" x14ac:dyDescent="0.2"/>
    <row r="270" spans="1:19" hidden="1" x14ac:dyDescent="0.2"/>
    <row r="271" spans="1:19" hidden="1" x14ac:dyDescent="0.2"/>
    <row r="272" spans="1:19" hidden="1" x14ac:dyDescent="0.2"/>
    <row r="273" spans="11:19" hidden="1" x14ac:dyDescent="0.2"/>
    <row r="274" spans="11:19" hidden="1" x14ac:dyDescent="0.2">
      <c r="R274" s="11"/>
      <c r="S274" s="11"/>
    </row>
    <row r="275" spans="11:19" hidden="1" x14ac:dyDescent="0.2"/>
    <row r="276" spans="11:19" hidden="1" x14ac:dyDescent="0.2">
      <c r="L276" s="32" t="s">
        <v>327</v>
      </c>
      <c r="O276" s="11">
        <f>O13+O65+O133+O134+O137+O142+O143+O144+O145+O146+O147+O148+O149+O150+O151+O152+O157+O158+O159+O160+O161+O162+O163+O164+O165+O166+O168+O169+O170+O172+O173+O174+O175+O179+O180+O181+O182+O183+O184+O189+O190+O195+O201+O204+O205+O207+O208+O209+O210+O214+O215+O216+O219+O220+O221+O222+O252</f>
        <v>37650348.82</v>
      </c>
      <c r="P276" s="11">
        <f>P13+P65+P133+P134+P137+P142+P143+P144+P145+P146+P147+P148+P149+P150+P151+P152+P157+P158+P159+P160+P161+P162+P163+P164+P165+P166+P168+P169+P170+P172+P173+P174+P175+P179+P180+P181+P182+P183+P184+P189+P190+P195+P201+P204+P205+P207+P208+P209+P210+P214+P215+P216+P219+P220+P221+P222+P252</f>
        <v>36313354.460000001</v>
      </c>
      <c r="Q276" s="11"/>
      <c r="R276" s="11"/>
      <c r="S276" s="11"/>
    </row>
    <row r="277" spans="11:19" hidden="1" x14ac:dyDescent="0.2">
      <c r="K277"/>
      <c r="O277" s="1">
        <v>37650348.82</v>
      </c>
      <c r="P277" s="1">
        <v>36313354.460000001</v>
      </c>
      <c r="Q277" s="1"/>
      <c r="R277" s="1"/>
      <c r="S277" s="1"/>
    </row>
    <row r="278" spans="11:19" hidden="1" x14ac:dyDescent="0.2">
      <c r="K278"/>
      <c r="O278" s="39">
        <f t="shared" ref="O278" si="71">O277-O276</f>
        <v>0</v>
      </c>
      <c r="P278" s="11">
        <f>P277-P276</f>
        <v>0</v>
      </c>
      <c r="Q278" s="39"/>
      <c r="R278" s="39"/>
      <c r="S278" s="39"/>
    </row>
    <row r="279" spans="11:19" hidden="1" x14ac:dyDescent="0.2">
      <c r="K279"/>
      <c r="L279" s="32" t="s">
        <v>328</v>
      </c>
      <c r="O279" s="11">
        <f>O196+O250</f>
        <v>2012315.2000000002</v>
      </c>
      <c r="P279" s="11">
        <f>P196+P250</f>
        <v>2012315.2000000002</v>
      </c>
      <c r="Q279" s="11"/>
      <c r="R279" s="11"/>
      <c r="S279" s="11"/>
    </row>
    <row r="280" spans="11:19" hidden="1" x14ac:dyDescent="0.2">
      <c r="K280"/>
      <c r="O280" s="1">
        <v>2012315.2</v>
      </c>
      <c r="P280" s="1">
        <v>2012315.2</v>
      </c>
      <c r="Q280" s="1"/>
      <c r="R280" s="1"/>
      <c r="S280" s="1"/>
    </row>
    <row r="281" spans="11:19" hidden="1" x14ac:dyDescent="0.2">
      <c r="K281"/>
      <c r="O281" s="9">
        <f t="shared" ref="O281" si="72">O280-O279</f>
        <v>0</v>
      </c>
      <c r="P281" s="9">
        <f>P280-P279</f>
        <v>0</v>
      </c>
      <c r="Q281" s="9"/>
      <c r="R281" s="9"/>
      <c r="S281" s="9"/>
    </row>
    <row r="282" spans="11:19" hidden="1" x14ac:dyDescent="0.2">
      <c r="K282"/>
      <c r="L282" s="32" t="s">
        <v>331</v>
      </c>
      <c r="O282" s="11">
        <f>O116+O14</f>
        <v>4722512.8599999994</v>
      </c>
      <c r="P282" s="11">
        <f>P116+P14</f>
        <v>4721546.3</v>
      </c>
      <c r="Q282" s="11"/>
      <c r="R282" s="11"/>
      <c r="S282" s="11"/>
    </row>
    <row r="283" spans="11:19" hidden="1" x14ac:dyDescent="0.2">
      <c r="K283"/>
      <c r="O283" s="1">
        <v>4722512.8600000003</v>
      </c>
      <c r="P283" s="1">
        <v>4721546.3</v>
      </c>
      <c r="Q283" s="1"/>
      <c r="R283" s="1"/>
      <c r="S283" s="1"/>
    </row>
    <row r="284" spans="11:19" hidden="1" x14ac:dyDescent="0.2">
      <c r="K284"/>
      <c r="O284" s="39">
        <f t="shared" ref="O284" si="73">O283-O282</f>
        <v>0</v>
      </c>
      <c r="P284" s="11">
        <f>P283-P282</f>
        <v>0</v>
      </c>
      <c r="Q284" s="39"/>
      <c r="R284" s="39"/>
      <c r="S284" s="39"/>
    </row>
    <row r="285" spans="11:19" hidden="1" x14ac:dyDescent="0.2">
      <c r="K285"/>
      <c r="L285" s="32" t="s">
        <v>332</v>
      </c>
      <c r="O285" s="11">
        <f>O67+O102+O122+O239+O256+O257</f>
        <v>14007493.52</v>
      </c>
      <c r="P285" s="11">
        <f>P67+P68+P102+P122+P239+P256+P257</f>
        <v>12701122.25</v>
      </c>
      <c r="Q285" s="11"/>
      <c r="R285" s="11"/>
      <c r="S285" s="11"/>
    </row>
    <row r="286" spans="11:19" hidden="1" x14ac:dyDescent="0.2">
      <c r="K286"/>
      <c r="O286" s="1">
        <v>14007493.52</v>
      </c>
      <c r="P286" s="1">
        <v>12701122.25</v>
      </c>
      <c r="Q286" s="1"/>
      <c r="R286" s="1"/>
      <c r="S286" s="1"/>
    </row>
    <row r="287" spans="11:19" hidden="1" x14ac:dyDescent="0.2">
      <c r="K287"/>
      <c r="O287" s="39">
        <f t="shared" ref="O287" si="74">O286-O285</f>
        <v>0</v>
      </c>
      <c r="P287" s="11">
        <f>P286-P285</f>
        <v>0</v>
      </c>
      <c r="Q287" s="39"/>
      <c r="R287" s="39"/>
      <c r="S287" s="39"/>
    </row>
    <row r="288" spans="11:19" hidden="1" x14ac:dyDescent="0.2">
      <c r="K288"/>
      <c r="L288" s="32" t="s">
        <v>333</v>
      </c>
      <c r="O288" s="11">
        <f>O69+O70+O71+O89+O105+O113+O167+O255+O258</f>
        <v>15535347.58</v>
      </c>
      <c r="P288" s="11">
        <f>P69+P70+P71+P89+P105+P113+P167+P255+P258</f>
        <v>8876535.0700000003</v>
      </c>
      <c r="Q288" s="11"/>
      <c r="R288" s="11"/>
      <c r="S288" s="11"/>
    </row>
    <row r="289" spans="1:19" hidden="1" x14ac:dyDescent="0.2">
      <c r="K289"/>
      <c r="O289" s="1">
        <v>15535347.58</v>
      </c>
      <c r="P289" s="1">
        <v>8876535.0700000003</v>
      </c>
      <c r="Q289" s="1"/>
      <c r="R289" s="1"/>
      <c r="S289" s="1"/>
    </row>
    <row r="290" spans="1:19" hidden="1" x14ac:dyDescent="0.2">
      <c r="K290"/>
      <c r="O290" s="39">
        <f t="shared" ref="O290" si="75">O289-O288</f>
        <v>0</v>
      </c>
      <c r="P290" s="11">
        <f>P289-P288</f>
        <v>0</v>
      </c>
      <c r="Q290" s="39"/>
      <c r="R290" s="39"/>
      <c r="S290" s="39"/>
    </row>
    <row r="291" spans="1:19" hidden="1" x14ac:dyDescent="0.2">
      <c r="K291"/>
      <c r="L291" s="17" t="s">
        <v>537</v>
      </c>
      <c r="O291" s="39"/>
      <c r="P291" s="11">
        <f>P104</f>
        <v>0</v>
      </c>
      <c r="Q291" s="11"/>
      <c r="R291" s="11"/>
      <c r="S291" s="11"/>
    </row>
    <row r="292" spans="1:19" hidden="1" x14ac:dyDescent="0.2">
      <c r="K292"/>
      <c r="O292" s="39"/>
      <c r="P292" s="1"/>
      <c r="Q292" s="1"/>
      <c r="R292" s="1"/>
      <c r="S292" s="1"/>
    </row>
    <row r="293" spans="1:19" hidden="1" x14ac:dyDescent="0.2">
      <c r="K293"/>
      <c r="O293" s="39"/>
      <c r="P293" s="34">
        <f>P292-P291</f>
        <v>0</v>
      </c>
      <c r="Q293" s="34"/>
      <c r="R293" s="34"/>
      <c r="S293" s="34"/>
    </row>
    <row r="294" spans="1:19" hidden="1" x14ac:dyDescent="0.2">
      <c r="K294"/>
      <c r="L294" s="32" t="s">
        <v>329</v>
      </c>
      <c r="O294" s="142">
        <f>O15+O20+O29+O41+O53+O54+O211+O100+O101+O153+O154+O155+O156+O176+O177+O178+O187+O223+O224+O228+O230+O231+O232+O233+O241+O243+O245</f>
        <v>264892894.83000001</v>
      </c>
      <c r="P294" s="142">
        <f>P15+P20+P29+P41+P53+P54+P211+P100+P101+P153+P154+P155+P156+P176+P177+P178+P187+P223+P224+P228+P230+P231+P232+P233+P241+P243+P245</f>
        <v>263641727.17000002</v>
      </c>
      <c r="Q294" s="142"/>
      <c r="R294" s="142"/>
      <c r="S294" s="142"/>
    </row>
    <row r="295" spans="1:19" hidden="1" x14ac:dyDescent="0.2">
      <c r="K295"/>
      <c r="O295" s="1">
        <v>264892894.83000001</v>
      </c>
      <c r="P295" s="1">
        <v>263641727.16999999</v>
      </c>
      <c r="Q295" s="1"/>
      <c r="R295" s="1"/>
      <c r="S295" s="1"/>
    </row>
    <row r="296" spans="1:19" hidden="1" x14ac:dyDescent="0.2">
      <c r="A296" s="10"/>
      <c r="O296" s="34">
        <f t="shared" ref="O296" si="76">O295-O294</f>
        <v>0</v>
      </c>
      <c r="P296" s="34">
        <f>P295-P294</f>
        <v>0</v>
      </c>
      <c r="Q296" s="34"/>
      <c r="R296" s="34"/>
      <c r="S296" s="34"/>
    </row>
    <row r="297" spans="1:19" hidden="1" x14ac:dyDescent="0.2">
      <c r="L297" s="32" t="s">
        <v>334</v>
      </c>
      <c r="O297" s="11">
        <f>O72+O79+O90+O99+O128+O229</f>
        <v>25506214.699999999</v>
      </c>
      <c r="P297" s="11">
        <f>P72+P79+P90+P99+P128+P229</f>
        <v>25506214.699999999</v>
      </c>
      <c r="Q297" s="11"/>
      <c r="R297" s="11"/>
      <c r="S297" s="11"/>
    </row>
    <row r="298" spans="1:19" hidden="1" x14ac:dyDescent="0.2">
      <c r="O298" s="1">
        <v>25506214.699999999</v>
      </c>
      <c r="P298" s="1">
        <v>25506214.699999999</v>
      </c>
      <c r="Q298" s="1"/>
      <c r="R298" s="1"/>
      <c r="S298" s="1"/>
    </row>
    <row r="299" spans="1:19" hidden="1" x14ac:dyDescent="0.2">
      <c r="O299" s="34">
        <f t="shared" ref="O299" si="77">O298-O297</f>
        <v>0</v>
      </c>
      <c r="P299" s="34">
        <f>P298-P297</f>
        <v>0</v>
      </c>
      <c r="Q299" s="34"/>
      <c r="R299" s="34"/>
      <c r="S299" s="34"/>
    </row>
    <row r="300" spans="1:19" hidden="1" x14ac:dyDescent="0.2">
      <c r="L300" s="32" t="s">
        <v>32</v>
      </c>
      <c r="O300" s="11">
        <f>O12+O115+O185+O193+O225+O226+O234+O236+O237+O238</f>
        <v>22353419.009999998</v>
      </c>
      <c r="P300" s="11">
        <f>P12+P115+P185+P193+P225+P226+P234+P236+P237+P238</f>
        <v>21754472.309999999</v>
      </c>
      <c r="Q300" s="11"/>
      <c r="R300" s="11"/>
      <c r="S300" s="11"/>
    </row>
    <row r="301" spans="1:19" hidden="1" x14ac:dyDescent="0.2">
      <c r="O301" s="1">
        <v>22353419.010000002</v>
      </c>
      <c r="P301" s="1">
        <v>21754472.309999999</v>
      </c>
      <c r="Q301" s="1"/>
      <c r="R301" s="1"/>
      <c r="S301" s="1"/>
    </row>
    <row r="302" spans="1:19" hidden="1" x14ac:dyDescent="0.2">
      <c r="O302" s="34">
        <f t="shared" ref="O302" si="78">O301-O300</f>
        <v>0</v>
      </c>
      <c r="P302" s="34">
        <f>P301-P300</f>
        <v>0</v>
      </c>
      <c r="Q302" s="34"/>
      <c r="R302" s="34"/>
      <c r="S302" s="34"/>
    </row>
    <row r="303" spans="1:19" hidden="1" x14ac:dyDescent="0.2">
      <c r="L303" s="32" t="s">
        <v>114</v>
      </c>
      <c r="O303" s="11">
        <f>O15+O118+O188+O196+O228+O229+O238+O239+O240+O241</f>
        <v>176165173.30000001</v>
      </c>
      <c r="P303" s="11">
        <f>P135+P136+P114+P91</f>
        <v>706784.4</v>
      </c>
      <c r="Q303" s="11"/>
      <c r="R303" s="11"/>
      <c r="S303" s="11"/>
    </row>
    <row r="304" spans="1:19" hidden="1" x14ac:dyDescent="0.2">
      <c r="O304" s="1">
        <v>22353419.010000002</v>
      </c>
      <c r="P304" s="1">
        <v>706784.4</v>
      </c>
      <c r="Q304" s="1"/>
      <c r="R304" s="1"/>
      <c r="S304" s="1"/>
    </row>
    <row r="305" spans="11:19" hidden="1" x14ac:dyDescent="0.2">
      <c r="O305" s="34">
        <f t="shared" ref="O305" si="79">O304-O303</f>
        <v>-153811754.29000002</v>
      </c>
      <c r="P305" s="34">
        <f>P304-P303</f>
        <v>0</v>
      </c>
      <c r="Q305" s="34"/>
      <c r="R305" s="34"/>
      <c r="S305" s="34"/>
    </row>
    <row r="306" spans="11:19" hidden="1" x14ac:dyDescent="0.2">
      <c r="L306" s="32" t="s">
        <v>330</v>
      </c>
      <c r="O306" s="11"/>
      <c r="P306" s="11">
        <f>P260+P248</f>
        <v>2718000</v>
      </c>
      <c r="Q306" s="11"/>
      <c r="R306" s="11"/>
      <c r="S306" s="11"/>
    </row>
    <row r="307" spans="11:19" hidden="1" x14ac:dyDescent="0.2">
      <c r="O307" s="1"/>
      <c r="P307" s="1">
        <v>2718000</v>
      </c>
      <c r="Q307" s="1"/>
      <c r="R307" s="1"/>
      <c r="S307" s="1"/>
    </row>
    <row r="308" spans="11:19" hidden="1" x14ac:dyDescent="0.2">
      <c r="O308" s="2"/>
      <c r="P308" s="34">
        <f>P307-P306</f>
        <v>0</v>
      </c>
      <c r="Q308" s="34"/>
      <c r="R308" s="34"/>
      <c r="S308" s="34"/>
    </row>
    <row r="309" spans="11:19" hidden="1" x14ac:dyDescent="0.2">
      <c r="O309" s="11" t="e">
        <f>O262-#REF!</f>
        <v>#REF!</v>
      </c>
      <c r="P309" s="11"/>
      <c r="Q309" s="11"/>
      <c r="R309" s="11"/>
      <c r="S309" s="11"/>
    </row>
    <row r="310" spans="11:19" hidden="1" x14ac:dyDescent="0.2">
      <c r="K310"/>
      <c r="L310"/>
      <c r="M310"/>
      <c r="N310"/>
      <c r="O310" s="2"/>
      <c r="P310" s="143">
        <f>P277+P280+P283+P286+P289+P292+P295+P298+P301+P304+P307</f>
        <v>378952071.85999995</v>
      </c>
      <c r="Q310" s="143"/>
      <c r="R310" s="143"/>
      <c r="S310" s="143"/>
    </row>
    <row r="311" spans="11:19" hidden="1" x14ac:dyDescent="0.2">
      <c r="K311"/>
      <c r="L311"/>
      <c r="M311"/>
      <c r="N311"/>
      <c r="P311" s="144">
        <f>P266-P310</f>
        <v>0</v>
      </c>
      <c r="Q311" s="144"/>
      <c r="R311" s="144"/>
      <c r="S311" s="144"/>
    </row>
    <row r="312" spans="11:19" x14ac:dyDescent="0.2">
      <c r="K312"/>
      <c r="L312"/>
      <c r="M312"/>
      <c r="N312"/>
      <c r="P312" s="144"/>
      <c r="Q312" s="144">
        <f>Q264-Q262</f>
        <v>0</v>
      </c>
      <c r="R312" s="144">
        <f t="shared" ref="R312:S312" si="80">R264-R262</f>
        <v>0</v>
      </c>
      <c r="S312" s="144">
        <f t="shared" si="80"/>
        <v>0</v>
      </c>
    </row>
  </sheetData>
  <mergeCells count="516">
    <mergeCell ref="C41:C52"/>
    <mergeCell ref="B41:B52"/>
    <mergeCell ref="A41:A52"/>
    <mergeCell ref="H41:H52"/>
    <mergeCell ref="K230:K235"/>
    <mergeCell ref="J230:J235"/>
    <mergeCell ref="I230:I235"/>
    <mergeCell ref="H230:H235"/>
    <mergeCell ref="D227:D235"/>
    <mergeCell ref="C227:C235"/>
    <mergeCell ref="B227:B235"/>
    <mergeCell ref="A227:A235"/>
    <mergeCell ref="G234:G235"/>
    <mergeCell ref="E227:E235"/>
    <mergeCell ref="F232:F233"/>
    <mergeCell ref="F230:F231"/>
    <mergeCell ref="F227:F229"/>
    <mergeCell ref="D50:D52"/>
    <mergeCell ref="E50:E52"/>
    <mergeCell ref="K50:K52"/>
    <mergeCell ref="L50:L52"/>
    <mergeCell ref="J50:J52"/>
    <mergeCell ref="I50:I52"/>
    <mergeCell ref="G50:G52"/>
    <mergeCell ref="F50:F52"/>
    <mergeCell ref="C102:C103"/>
    <mergeCell ref="B102:B103"/>
    <mergeCell ref="A102:A103"/>
    <mergeCell ref="A12:A13"/>
    <mergeCell ref="B12:B13"/>
    <mergeCell ref="C12:C13"/>
    <mergeCell ref="D12:D13"/>
    <mergeCell ref="E91:E97"/>
    <mergeCell ref="P4:S4"/>
    <mergeCell ref="R5:S5"/>
    <mergeCell ref="Q5:Q7"/>
    <mergeCell ref="P5:P7"/>
    <mergeCell ref="J12:J13"/>
    <mergeCell ref="A15:A19"/>
    <mergeCell ref="B15:B19"/>
    <mergeCell ref="C15:C19"/>
    <mergeCell ref="D15:D19"/>
    <mergeCell ref="E15:E19"/>
    <mergeCell ref="F15:F19"/>
    <mergeCell ref="G15:G19"/>
    <mergeCell ref="H15:H19"/>
    <mergeCell ref="I15:I19"/>
    <mergeCell ref="J15:J19"/>
    <mergeCell ref="K15:K19"/>
    <mergeCell ref="A1:S1"/>
    <mergeCell ref="A2:S2"/>
    <mergeCell ref="A3:S3"/>
    <mergeCell ref="A4:A7"/>
    <mergeCell ref="B4:B7"/>
    <mergeCell ref="C4:C7"/>
    <mergeCell ref="D4:I4"/>
    <mergeCell ref="J4:J7"/>
    <mergeCell ref="K4:N4"/>
    <mergeCell ref="I6:I7"/>
    <mergeCell ref="R6:R7"/>
    <mergeCell ref="S6:S7"/>
    <mergeCell ref="D6:D7"/>
    <mergeCell ref="E6:E7"/>
    <mergeCell ref="F6:F7"/>
    <mergeCell ref="G6:G7"/>
    <mergeCell ref="H6:H7"/>
    <mergeCell ref="O4:O7"/>
    <mergeCell ref="F132:F134"/>
    <mergeCell ref="G132:G134"/>
    <mergeCell ref="E41:E45"/>
    <mergeCell ref="E46:E49"/>
    <mergeCell ref="D41:D45"/>
    <mergeCell ref="A54:A63"/>
    <mergeCell ref="B54:B63"/>
    <mergeCell ref="C54:C63"/>
    <mergeCell ref="D54:D57"/>
    <mergeCell ref="E54:E57"/>
    <mergeCell ref="F54:F63"/>
    <mergeCell ref="E79:E83"/>
    <mergeCell ref="F79:F87"/>
    <mergeCell ref="E72:E75"/>
    <mergeCell ref="F72:F78"/>
    <mergeCell ref="A91:A97"/>
    <mergeCell ref="B91:B97"/>
    <mergeCell ref="C91:C97"/>
    <mergeCell ref="D91:D97"/>
    <mergeCell ref="E102:E103"/>
    <mergeCell ref="D102:D103"/>
    <mergeCell ref="L15:L19"/>
    <mergeCell ref="E12:E13"/>
    <mergeCell ref="F12:F13"/>
    <mergeCell ref="G12:G13"/>
    <mergeCell ref="D5:E5"/>
    <mergeCell ref="F5:G5"/>
    <mergeCell ref="H5:I5"/>
    <mergeCell ref="H12:H13"/>
    <mergeCell ref="I12:I13"/>
    <mergeCell ref="L20:L28"/>
    <mergeCell ref="A29:A40"/>
    <mergeCell ref="B29:B40"/>
    <mergeCell ref="C29:C40"/>
    <mergeCell ref="D29:D40"/>
    <mergeCell ref="E29:E40"/>
    <mergeCell ref="F29:F40"/>
    <mergeCell ref="G29:G40"/>
    <mergeCell ref="H29:H40"/>
    <mergeCell ref="F20:F28"/>
    <mergeCell ref="G20:G28"/>
    <mergeCell ref="H20:H28"/>
    <mergeCell ref="I20:I28"/>
    <mergeCell ref="J20:J28"/>
    <mergeCell ref="K20:K28"/>
    <mergeCell ref="A20:A28"/>
    <mergeCell ref="B20:B28"/>
    <mergeCell ref="C20:C28"/>
    <mergeCell ref="D20:D28"/>
    <mergeCell ref="E20:E28"/>
    <mergeCell ref="L46:L49"/>
    <mergeCell ref="J29:J40"/>
    <mergeCell ref="K29:K40"/>
    <mergeCell ref="L29:L40"/>
    <mergeCell ref="M55:M61"/>
    <mergeCell ref="D58:D63"/>
    <mergeCell ref="E58:E63"/>
    <mergeCell ref="M62:M63"/>
    <mergeCell ref="J54:J63"/>
    <mergeCell ref="K55:K63"/>
    <mergeCell ref="L55:L63"/>
    <mergeCell ref="I29:I40"/>
    <mergeCell ref="G54:G63"/>
    <mergeCell ref="H54:H63"/>
    <mergeCell ref="I54:I63"/>
    <mergeCell ref="F41:F49"/>
    <mergeCell ref="G41:G49"/>
    <mergeCell ref="I41:I49"/>
    <mergeCell ref="J41:J49"/>
    <mergeCell ref="K42:K45"/>
    <mergeCell ref="L42:L45"/>
    <mergeCell ref="D46:D49"/>
    <mergeCell ref="K46:K49"/>
    <mergeCell ref="M73:M74"/>
    <mergeCell ref="D76:D78"/>
    <mergeCell ref="E76:E78"/>
    <mergeCell ref="H76:H78"/>
    <mergeCell ref="J72:J78"/>
    <mergeCell ref="K72:K78"/>
    <mergeCell ref="L72:L78"/>
    <mergeCell ref="A64:A71"/>
    <mergeCell ref="B64:B71"/>
    <mergeCell ref="C64:C71"/>
    <mergeCell ref="D64:D71"/>
    <mergeCell ref="E64:E71"/>
    <mergeCell ref="F64:F71"/>
    <mergeCell ref="G64:G71"/>
    <mergeCell ref="H64:H71"/>
    <mergeCell ref="I64:I71"/>
    <mergeCell ref="G72:G78"/>
    <mergeCell ref="H72:H75"/>
    <mergeCell ref="I72:I78"/>
    <mergeCell ref="J64:J71"/>
    <mergeCell ref="A72:A78"/>
    <mergeCell ref="B72:B78"/>
    <mergeCell ref="C72:C78"/>
    <mergeCell ref="D72:D75"/>
    <mergeCell ref="M81:M82"/>
    <mergeCell ref="D84:D87"/>
    <mergeCell ref="E84:E87"/>
    <mergeCell ref="A88:A90"/>
    <mergeCell ref="B88:B90"/>
    <mergeCell ref="C88:C90"/>
    <mergeCell ref="F88:F90"/>
    <mergeCell ref="G88:G90"/>
    <mergeCell ref="H88:H90"/>
    <mergeCell ref="I88:I90"/>
    <mergeCell ref="G79:G87"/>
    <mergeCell ref="H79:H87"/>
    <mergeCell ref="I79:I87"/>
    <mergeCell ref="J79:J87"/>
    <mergeCell ref="K79:K87"/>
    <mergeCell ref="L79:L87"/>
    <mergeCell ref="J88:J90"/>
    <mergeCell ref="K88:K90"/>
    <mergeCell ref="D89:D90"/>
    <mergeCell ref="E89:E90"/>
    <mergeCell ref="A79:A87"/>
    <mergeCell ref="B79:B87"/>
    <mergeCell ref="C79:C87"/>
    <mergeCell ref="D79:D83"/>
    <mergeCell ref="F91:F97"/>
    <mergeCell ref="L100:L101"/>
    <mergeCell ref="M100:M101"/>
    <mergeCell ref="A105:A110"/>
    <mergeCell ref="B105:B110"/>
    <mergeCell ref="C105:C110"/>
    <mergeCell ref="D105:D110"/>
    <mergeCell ref="E105:E110"/>
    <mergeCell ref="M92:M93"/>
    <mergeCell ref="M94:M95"/>
    <mergeCell ref="A98:A101"/>
    <mergeCell ref="B98:B101"/>
    <mergeCell ref="C98:C101"/>
    <mergeCell ref="D98:D101"/>
    <mergeCell ref="E98:E101"/>
    <mergeCell ref="F98:F101"/>
    <mergeCell ref="G98:G101"/>
    <mergeCell ref="H98:H101"/>
    <mergeCell ref="G91:G97"/>
    <mergeCell ref="H91:H97"/>
    <mergeCell ref="I91:I97"/>
    <mergeCell ref="J91:J97"/>
    <mergeCell ref="K91:K97"/>
    <mergeCell ref="L91:L96"/>
    <mergeCell ref="F105:F110"/>
    <mergeCell ref="G105:G110"/>
    <mergeCell ref="H105:H110"/>
    <mergeCell ref="I105:I110"/>
    <mergeCell ref="J105:J110"/>
    <mergeCell ref="K105:K110"/>
    <mergeCell ref="I98:I101"/>
    <mergeCell ref="J98:J101"/>
    <mergeCell ref="K100:K101"/>
    <mergeCell ref="K122:K126"/>
    <mergeCell ref="L122:L126"/>
    <mergeCell ref="M125:M126"/>
    <mergeCell ref="G111:G115"/>
    <mergeCell ref="H111:H115"/>
    <mergeCell ref="I111:I115"/>
    <mergeCell ref="J111:J115"/>
    <mergeCell ref="K111:K115"/>
    <mergeCell ref="A116:A121"/>
    <mergeCell ref="B116:B121"/>
    <mergeCell ref="C116:C121"/>
    <mergeCell ref="D116:D121"/>
    <mergeCell ref="E116:E121"/>
    <mergeCell ref="A111:A115"/>
    <mergeCell ref="B111:B115"/>
    <mergeCell ref="C111:C115"/>
    <mergeCell ref="D111:D115"/>
    <mergeCell ref="E111:E115"/>
    <mergeCell ref="F111:F115"/>
    <mergeCell ref="D128:D131"/>
    <mergeCell ref="E128:E131"/>
    <mergeCell ref="G135:G136"/>
    <mergeCell ref="I135:I136"/>
    <mergeCell ref="J135:J136"/>
    <mergeCell ref="K135:K136"/>
    <mergeCell ref="L116:L121"/>
    <mergeCell ref="M117:M120"/>
    <mergeCell ref="A122:A126"/>
    <mergeCell ref="B122:B126"/>
    <mergeCell ref="C122:C126"/>
    <mergeCell ref="D122:D126"/>
    <mergeCell ref="E122:E126"/>
    <mergeCell ref="F122:F126"/>
    <mergeCell ref="G122:G126"/>
    <mergeCell ref="H122:H126"/>
    <mergeCell ref="F116:F121"/>
    <mergeCell ref="G116:G121"/>
    <mergeCell ref="H116:H121"/>
    <mergeCell ref="I116:I121"/>
    <mergeCell ref="J116:J121"/>
    <mergeCell ref="K116:K121"/>
    <mergeCell ref="I122:I126"/>
    <mergeCell ref="J122:J126"/>
    <mergeCell ref="L135:L136"/>
    <mergeCell ref="M135:M136"/>
    <mergeCell ref="L128:L131"/>
    <mergeCell ref="M128:M131"/>
    <mergeCell ref="A132:A134"/>
    <mergeCell ref="L133:L134"/>
    <mergeCell ref="A135:A136"/>
    <mergeCell ref="B135:B136"/>
    <mergeCell ref="C135:C136"/>
    <mergeCell ref="D135:D136"/>
    <mergeCell ref="E135:E136"/>
    <mergeCell ref="F135:F136"/>
    <mergeCell ref="F128:F131"/>
    <mergeCell ref="G128:G131"/>
    <mergeCell ref="H128:H131"/>
    <mergeCell ref="I128:I131"/>
    <mergeCell ref="J128:J131"/>
    <mergeCell ref="K128:K131"/>
    <mergeCell ref="D132:D134"/>
    <mergeCell ref="C132:C134"/>
    <mergeCell ref="B132:B134"/>
    <mergeCell ref="A128:A131"/>
    <mergeCell ref="B128:B131"/>
    <mergeCell ref="C128:C131"/>
    <mergeCell ref="G141:G166"/>
    <mergeCell ref="J141:J166"/>
    <mergeCell ref="H142:H150"/>
    <mergeCell ref="I142:I150"/>
    <mergeCell ref="K142:K152"/>
    <mergeCell ref="L143:L152"/>
    <mergeCell ref="A141:A166"/>
    <mergeCell ref="B141:B166"/>
    <mergeCell ref="C141:C166"/>
    <mergeCell ref="D141:D153"/>
    <mergeCell ref="E141:E153"/>
    <mergeCell ref="F141:F166"/>
    <mergeCell ref="D154:D166"/>
    <mergeCell ref="E154:E166"/>
    <mergeCell ref="M143:M150"/>
    <mergeCell ref="H151:H153"/>
    <mergeCell ref="I151:I153"/>
    <mergeCell ref="K153:K156"/>
    <mergeCell ref="L153:L156"/>
    <mergeCell ref="M153:M154"/>
    <mergeCell ref="H154:H159"/>
    <mergeCell ref="I154:I159"/>
    <mergeCell ref="K157:K161"/>
    <mergeCell ref="L157:L161"/>
    <mergeCell ref="M157:M159"/>
    <mergeCell ref="H160:H166"/>
    <mergeCell ref="I160:I166"/>
    <mergeCell ref="K162:K163"/>
    <mergeCell ref="L162:L163"/>
    <mergeCell ref="M162:M163"/>
    <mergeCell ref="K164:K166"/>
    <mergeCell ref="L164:L166"/>
    <mergeCell ref="M164:M166"/>
    <mergeCell ref="I169:I170"/>
    <mergeCell ref="A171:A183"/>
    <mergeCell ref="C171:C183"/>
    <mergeCell ref="D171:D175"/>
    <mergeCell ref="E171:E175"/>
    <mergeCell ref="F171:F183"/>
    <mergeCell ref="G171:G183"/>
    <mergeCell ref="H171:H175"/>
    <mergeCell ref="I171:I183"/>
    <mergeCell ref="A169:A170"/>
    <mergeCell ref="B169:B170"/>
    <mergeCell ref="C169:C170"/>
    <mergeCell ref="D169:D170"/>
    <mergeCell ref="E169:E170"/>
    <mergeCell ref="H169:H170"/>
    <mergeCell ref="G169:G170"/>
    <mergeCell ref="F169:F170"/>
    <mergeCell ref="D176:D183"/>
    <mergeCell ref="E176:E183"/>
    <mergeCell ref="H176:H183"/>
    <mergeCell ref="G187:G188"/>
    <mergeCell ref="H187:H188"/>
    <mergeCell ref="I187:I188"/>
    <mergeCell ref="J187:J188"/>
    <mergeCell ref="O185:O186"/>
    <mergeCell ref="J171:J183"/>
    <mergeCell ref="A187:A188"/>
    <mergeCell ref="B187:B188"/>
    <mergeCell ref="C187:C188"/>
    <mergeCell ref="D187:D188"/>
    <mergeCell ref="E187:E188"/>
    <mergeCell ref="F187:F188"/>
    <mergeCell ref="I185:I186"/>
    <mergeCell ref="J185:J186"/>
    <mergeCell ref="K185:K186"/>
    <mergeCell ref="A185:A186"/>
    <mergeCell ref="B185:B186"/>
    <mergeCell ref="C185:C186"/>
    <mergeCell ref="F185:F186"/>
    <mergeCell ref="G185:G186"/>
    <mergeCell ref="H185:H186"/>
    <mergeCell ref="L185:L186"/>
    <mergeCell ref="M185:M186"/>
    <mergeCell ref="N185:N186"/>
    <mergeCell ref="A189:A190"/>
    <mergeCell ref="B189:B190"/>
    <mergeCell ref="C189:C190"/>
    <mergeCell ref="F189:F190"/>
    <mergeCell ref="G189:G190"/>
    <mergeCell ref="Q193:Q194"/>
    <mergeCell ref="R193:R194"/>
    <mergeCell ref="S193:S194"/>
    <mergeCell ref="A196:A200"/>
    <mergeCell ref="B196:B200"/>
    <mergeCell ref="C196:C200"/>
    <mergeCell ref="D196:D197"/>
    <mergeCell ref="E196:E197"/>
    <mergeCell ref="F196:F200"/>
    <mergeCell ref="G196:G200"/>
    <mergeCell ref="J193:J194"/>
    <mergeCell ref="K193:K194"/>
    <mergeCell ref="L193:L194"/>
    <mergeCell ref="M193:M194"/>
    <mergeCell ref="N193:N194"/>
    <mergeCell ref="P193:P194"/>
    <mergeCell ref="A193:A194"/>
    <mergeCell ref="C193:C194"/>
    <mergeCell ref="F193:F194"/>
    <mergeCell ref="G193:G194"/>
    <mergeCell ref="H193:H194"/>
    <mergeCell ref="I193:I194"/>
    <mergeCell ref="H196:H200"/>
    <mergeCell ref="I196:I200"/>
    <mergeCell ref="J196:J200"/>
    <mergeCell ref="D198:D199"/>
    <mergeCell ref="E198:E199"/>
    <mergeCell ref="A203:A212"/>
    <mergeCell ref="B203:B212"/>
    <mergeCell ref="C203:C212"/>
    <mergeCell ref="D203:D212"/>
    <mergeCell ref="E203:E212"/>
    <mergeCell ref="H203:H212"/>
    <mergeCell ref="I203:I212"/>
    <mergeCell ref="F204:F205"/>
    <mergeCell ref="G204:G205"/>
    <mergeCell ref="F207:F208"/>
    <mergeCell ref="G207:G208"/>
    <mergeCell ref="F209:F210"/>
    <mergeCell ref="G209:G210"/>
    <mergeCell ref="F211:F212"/>
    <mergeCell ref="G211:G212"/>
    <mergeCell ref="G214:G216"/>
    <mergeCell ref="H214:H222"/>
    <mergeCell ref="I214:I222"/>
    <mergeCell ref="F219:F220"/>
    <mergeCell ref="G219:G220"/>
    <mergeCell ref="F221:F222"/>
    <mergeCell ref="G221:G222"/>
    <mergeCell ref="A213:A224"/>
    <mergeCell ref="B213:B224"/>
    <mergeCell ref="C213:C224"/>
    <mergeCell ref="D213:D224"/>
    <mergeCell ref="E213:E224"/>
    <mergeCell ref="F213:F216"/>
    <mergeCell ref="F223:F224"/>
    <mergeCell ref="G223:G224"/>
    <mergeCell ref="H223:H224"/>
    <mergeCell ref="I223:I224"/>
    <mergeCell ref="F217:F218"/>
    <mergeCell ref="G217:G218"/>
    <mergeCell ref="G227:G228"/>
    <mergeCell ref="H228:H229"/>
    <mergeCell ref="I228:I229"/>
    <mergeCell ref="K228:K229"/>
    <mergeCell ref="G229:G230"/>
    <mergeCell ref="M236:M237"/>
    <mergeCell ref="N230:N232"/>
    <mergeCell ref="G231:G232"/>
    <mergeCell ref="F234:F235"/>
    <mergeCell ref="L236:L237"/>
    <mergeCell ref="E236:E237"/>
    <mergeCell ref="H241:H242"/>
    <mergeCell ref="I241:I242"/>
    <mergeCell ref="J241:J242"/>
    <mergeCell ref="K241:K242"/>
    <mergeCell ref="H236:H237"/>
    <mergeCell ref="I236:I237"/>
    <mergeCell ref="J236:J237"/>
    <mergeCell ref="K236:K237"/>
    <mergeCell ref="S241:S242"/>
    <mergeCell ref="A243:A244"/>
    <mergeCell ref="C243:C244"/>
    <mergeCell ref="F243:F244"/>
    <mergeCell ref="G243:G244"/>
    <mergeCell ref="H243:H244"/>
    <mergeCell ref="I243:I244"/>
    <mergeCell ref="J243:J244"/>
    <mergeCell ref="K243:K244"/>
    <mergeCell ref="L243:L244"/>
    <mergeCell ref="L241:L242"/>
    <mergeCell ref="M241:M242"/>
    <mergeCell ref="N241:N242"/>
    <mergeCell ref="P241:P242"/>
    <mergeCell ref="Q241:Q242"/>
    <mergeCell ref="R241:R242"/>
    <mergeCell ref="A241:A242"/>
    <mergeCell ref="C241:C242"/>
    <mergeCell ref="P185:P186"/>
    <mergeCell ref="Q185:Q186"/>
    <mergeCell ref="A250:A251"/>
    <mergeCell ref="C250:C251"/>
    <mergeCell ref="F250:F251"/>
    <mergeCell ref="G250:G251"/>
    <mergeCell ref="H250:H251"/>
    <mergeCell ref="I250:I251"/>
    <mergeCell ref="J250:J251"/>
    <mergeCell ref="J245:J246"/>
    <mergeCell ref="K245:K246"/>
    <mergeCell ref="A245:A246"/>
    <mergeCell ref="C245:C246"/>
    <mergeCell ref="F245:F246"/>
    <mergeCell ref="G245:G246"/>
    <mergeCell ref="H245:H246"/>
    <mergeCell ref="I245:I246"/>
    <mergeCell ref="M243:M244"/>
    <mergeCell ref="N243:N244"/>
    <mergeCell ref="P243:P244"/>
    <mergeCell ref="A236:A237"/>
    <mergeCell ref="B236:B237"/>
    <mergeCell ref="C236:C237"/>
    <mergeCell ref="D236:D237"/>
    <mergeCell ref="R185:R186"/>
    <mergeCell ref="S185:S186"/>
    <mergeCell ref="H132:H134"/>
    <mergeCell ref="E132:E134"/>
    <mergeCell ref="R250:R251"/>
    <mergeCell ref="S250:S251"/>
    <mergeCell ref="K250:K251"/>
    <mergeCell ref="L250:L251"/>
    <mergeCell ref="M250:M251"/>
    <mergeCell ref="N250:N251"/>
    <mergeCell ref="P250:P251"/>
    <mergeCell ref="Q250:Q251"/>
    <mergeCell ref="Q245:Q246"/>
    <mergeCell ref="R245:R246"/>
    <mergeCell ref="S245:S246"/>
    <mergeCell ref="L245:L246"/>
    <mergeCell ref="M245:M246"/>
    <mergeCell ref="N245:N246"/>
    <mergeCell ref="P245:P246"/>
    <mergeCell ref="O193:O194"/>
    <mergeCell ref="O241:O242"/>
    <mergeCell ref="O243:O244"/>
    <mergeCell ref="O245:O246"/>
    <mergeCell ref="O250:O251"/>
  </mergeCells>
  <pageMargins left="0" right="0" top="0" bottom="0"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01.09.23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2023-09-01T09:40:15Z</dcterms:modified>
</cp:coreProperties>
</file>