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1.23" sheetId="4" r:id="rId1"/>
  </sheets>
  <calcPr calcId="145621"/>
</workbook>
</file>

<file path=xl/calcChain.xml><?xml version="1.0" encoding="utf-8"?>
<calcChain xmlns="http://schemas.openxmlformats.org/spreadsheetml/2006/main">
  <c r="P20" i="4" l="1"/>
  <c r="P243" i="4"/>
  <c r="P238" i="4"/>
  <c r="P237" i="4" s="1"/>
  <c r="P231" i="4" s="1"/>
  <c r="P233" i="4"/>
  <c r="P224" i="4"/>
  <c r="P212" i="4"/>
  <c r="P200" i="4"/>
  <c r="P191" i="4"/>
  <c r="P184" i="4"/>
  <c r="P180" i="4" s="1"/>
  <c r="P159" i="4"/>
  <c r="P129" i="4"/>
  <c r="P122" i="4"/>
  <c r="P118" i="4"/>
  <c r="P117" i="4"/>
  <c r="P113" i="4"/>
  <c r="P107" i="4"/>
  <c r="P104" i="4"/>
  <c r="P99" i="4"/>
  <c r="P94" i="4"/>
  <c r="P86" i="4"/>
  <c r="P83" i="4"/>
  <c r="P75" i="4"/>
  <c r="P68" i="4"/>
  <c r="P61" i="4"/>
  <c r="P51" i="4"/>
  <c r="P50" i="4"/>
  <c r="P49" i="4"/>
  <c r="P48" i="4"/>
  <c r="P29" i="4"/>
  <c r="P15" i="4"/>
  <c r="W238" i="4"/>
  <c r="W50" i="4"/>
  <c r="W49" i="4"/>
  <c r="W48" i="4"/>
  <c r="X239" i="4"/>
  <c r="X240" i="4"/>
  <c r="X241" i="4"/>
  <c r="X242" i="4"/>
  <c r="X12" i="4"/>
  <c r="X13" i="4"/>
  <c r="X14" i="4"/>
  <c r="X16" i="4"/>
  <c r="X17" i="4"/>
  <c r="X18" i="4"/>
  <c r="X19" i="4"/>
  <c r="X22" i="4"/>
  <c r="X23" i="4"/>
  <c r="X24" i="4"/>
  <c r="X25" i="4"/>
  <c r="X26" i="4"/>
  <c r="X27" i="4"/>
  <c r="X28" i="4"/>
  <c r="X30" i="4"/>
  <c r="X31" i="4"/>
  <c r="X32" i="4"/>
  <c r="X33" i="4"/>
  <c r="X34" i="4"/>
  <c r="X35" i="4"/>
  <c r="X36" i="4"/>
  <c r="X37" i="4"/>
  <c r="X38" i="4"/>
  <c r="X39" i="4"/>
  <c r="X40" i="4"/>
  <c r="X42" i="4"/>
  <c r="X43" i="4"/>
  <c r="X44" i="4"/>
  <c r="X45" i="4"/>
  <c r="X46" i="4"/>
  <c r="X47" i="4"/>
  <c r="X52" i="4"/>
  <c r="X53" i="4"/>
  <c r="X54" i="4"/>
  <c r="X55" i="4"/>
  <c r="X56" i="4"/>
  <c r="X57" i="4"/>
  <c r="X58" i="4"/>
  <c r="X59" i="4"/>
  <c r="X60" i="4"/>
  <c r="X62" i="4"/>
  <c r="X63" i="4"/>
  <c r="X64" i="4"/>
  <c r="X65" i="4"/>
  <c r="X66" i="4"/>
  <c r="X67" i="4"/>
  <c r="X69" i="4"/>
  <c r="X70" i="4"/>
  <c r="X71" i="4"/>
  <c r="X72" i="4"/>
  <c r="X73" i="4"/>
  <c r="X74" i="4"/>
  <c r="X76" i="4"/>
  <c r="X77" i="4"/>
  <c r="X78" i="4"/>
  <c r="X79" i="4"/>
  <c r="X80" i="4"/>
  <c r="X81" i="4"/>
  <c r="X82" i="4"/>
  <c r="X84" i="4"/>
  <c r="X85" i="4"/>
  <c r="X87" i="4"/>
  <c r="X88" i="4"/>
  <c r="X89" i="4"/>
  <c r="X90" i="4"/>
  <c r="X91" i="4"/>
  <c r="X92" i="4"/>
  <c r="X93" i="4"/>
  <c r="X95" i="4"/>
  <c r="X96" i="4"/>
  <c r="X97" i="4"/>
  <c r="X98" i="4"/>
  <c r="X100" i="4"/>
  <c r="X101" i="4"/>
  <c r="X102" i="4"/>
  <c r="X103" i="4"/>
  <c r="X105" i="4"/>
  <c r="X106" i="4"/>
  <c r="X108" i="4"/>
  <c r="X109" i="4"/>
  <c r="X110" i="4"/>
  <c r="X111" i="4"/>
  <c r="X112" i="4"/>
  <c r="X114" i="4"/>
  <c r="X115" i="4"/>
  <c r="X116" i="4"/>
  <c r="X119" i="4"/>
  <c r="X120" i="4"/>
  <c r="X121" i="4"/>
  <c r="X123" i="4"/>
  <c r="X124" i="4"/>
  <c r="X125" i="4"/>
  <c r="X126" i="4"/>
  <c r="X127"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60" i="4"/>
  <c r="X161" i="4"/>
  <c r="X162" i="4"/>
  <c r="X163" i="4"/>
  <c r="X164" i="4"/>
  <c r="X165" i="4"/>
  <c r="X166" i="4"/>
  <c r="X167" i="4"/>
  <c r="X168" i="4"/>
  <c r="X169" i="4"/>
  <c r="X170" i="4"/>
  <c r="X171" i="4"/>
  <c r="X172" i="4"/>
  <c r="X173" i="4"/>
  <c r="X174" i="4"/>
  <c r="X175" i="4"/>
  <c r="X176" i="4"/>
  <c r="X177" i="4"/>
  <c r="X178" i="4"/>
  <c r="X181" i="4"/>
  <c r="X182" i="4"/>
  <c r="X183" i="4"/>
  <c r="X185" i="4"/>
  <c r="X186" i="4"/>
  <c r="X187" i="4"/>
  <c r="X188" i="4"/>
  <c r="X189" i="4"/>
  <c r="X192" i="4"/>
  <c r="X193" i="4"/>
  <c r="X194" i="4"/>
  <c r="X195" i="4"/>
  <c r="X196" i="4"/>
  <c r="X197" i="4"/>
  <c r="X198" i="4"/>
  <c r="X199" i="4"/>
  <c r="X201" i="4"/>
  <c r="X202" i="4"/>
  <c r="X203" i="4"/>
  <c r="X204" i="4"/>
  <c r="X205" i="4"/>
  <c r="X206" i="4"/>
  <c r="X207" i="4"/>
  <c r="X208" i="4"/>
  <c r="X209" i="4"/>
  <c r="X213" i="4"/>
  <c r="X214" i="4"/>
  <c r="X215" i="4"/>
  <c r="X216" i="4"/>
  <c r="X217" i="4"/>
  <c r="X218" i="4"/>
  <c r="X223" i="4"/>
  <c r="X225" i="4"/>
  <c r="X226" i="4"/>
  <c r="X227" i="4"/>
  <c r="X228" i="4"/>
  <c r="X229" i="4"/>
  <c r="X230" i="4"/>
  <c r="X232" i="4"/>
  <c r="X234" i="4"/>
  <c r="X235" i="4"/>
  <c r="X236" i="4"/>
  <c r="X244" i="4"/>
  <c r="W260" i="4"/>
  <c r="W262" i="4" s="1"/>
  <c r="W258" i="4" s="1"/>
  <c r="W243" i="4"/>
  <c r="X243" i="4" s="1"/>
  <c r="X238" i="4"/>
  <c r="W233" i="4"/>
  <c r="X233" i="4" s="1"/>
  <c r="W224" i="4"/>
  <c r="X224" i="4" s="1"/>
  <c r="W212" i="4"/>
  <c r="X212" i="4" s="1"/>
  <c r="W200" i="4"/>
  <c r="X200" i="4" s="1"/>
  <c r="W191" i="4"/>
  <c r="X191" i="4" s="1"/>
  <c r="W184" i="4"/>
  <c r="W263" i="4" s="1"/>
  <c r="W265" i="4" s="1"/>
  <c r="W281" i="4"/>
  <c r="W283" i="4" s="1"/>
  <c r="W159" i="4"/>
  <c r="X159" i="4" s="1"/>
  <c r="W129" i="4"/>
  <c r="W128" i="4" s="1"/>
  <c r="X128" i="4" s="1"/>
  <c r="W122" i="4"/>
  <c r="X122" i="4" s="1"/>
  <c r="W118" i="4"/>
  <c r="W113" i="4"/>
  <c r="W269" i="4" s="1"/>
  <c r="W271" i="4" s="1"/>
  <c r="W107" i="4"/>
  <c r="X107" i="4" s="1"/>
  <c r="W104" i="4"/>
  <c r="X104" i="4" s="1"/>
  <c r="W99" i="4"/>
  <c r="W272" i="4" s="1"/>
  <c r="W274" i="4" s="1"/>
  <c r="W94" i="4"/>
  <c r="X94" i="4" s="1"/>
  <c r="W86" i="4"/>
  <c r="X86" i="4" s="1"/>
  <c r="W83" i="4"/>
  <c r="X83" i="4" s="1"/>
  <c r="W75" i="4"/>
  <c r="X75" i="4" s="1"/>
  <c r="W68" i="4"/>
  <c r="X68" i="4" s="1"/>
  <c r="W61" i="4"/>
  <c r="X61" i="4" s="1"/>
  <c r="W51" i="4"/>
  <c r="X51" i="4" s="1"/>
  <c r="W41" i="4"/>
  <c r="X41" i="4" s="1"/>
  <c r="W29" i="4"/>
  <c r="X29" i="4" s="1"/>
  <c r="W20" i="4"/>
  <c r="X20" i="4" s="1"/>
  <c r="W15" i="4"/>
  <c r="X15" i="4" s="1"/>
  <c r="Q61" i="4"/>
  <c r="R61" i="4"/>
  <c r="O61" i="4"/>
  <c r="U65" i="4"/>
  <c r="U66" i="4"/>
  <c r="P41" i="4" l="1"/>
  <c r="P11" i="4" s="1"/>
  <c r="P10" i="4" s="1"/>
  <c r="P190" i="4"/>
  <c r="P179" i="4" s="1"/>
  <c r="P128" i="4"/>
  <c r="W278" i="4"/>
  <c r="W280" i="4" s="1"/>
  <c r="X99" i="4"/>
  <c r="W266" i="4"/>
  <c r="W268" i="4" s="1"/>
  <c r="X113" i="4"/>
  <c r="X118" i="4"/>
  <c r="W117" i="4"/>
  <c r="X117" i="4" s="1"/>
  <c r="X129" i="4"/>
  <c r="X184" i="4"/>
  <c r="W180" i="4"/>
  <c r="X180" i="4" s="1"/>
  <c r="W190" i="4"/>
  <c r="X190" i="4" s="1"/>
  <c r="W237" i="4"/>
  <c r="W275" i="4"/>
  <c r="W277" i="4" s="1"/>
  <c r="W11" i="4"/>
  <c r="X11" i="4" s="1"/>
  <c r="P245" i="4" l="1"/>
  <c r="P246" i="4" s="1"/>
  <c r="P9" i="4" s="1"/>
  <c r="W10" i="4"/>
  <c r="X10" i="4" s="1"/>
  <c r="W179" i="4"/>
  <c r="X179" i="4" s="1"/>
  <c r="W231" i="4"/>
  <c r="X231" i="4" s="1"/>
  <c r="X237" i="4"/>
  <c r="W245" i="4" l="1"/>
  <c r="W246" i="4" s="1"/>
  <c r="W287" i="4" l="1"/>
  <c r="W251" i="4"/>
  <c r="W9" i="4"/>
  <c r="X9" i="4" s="1"/>
  <c r="U30" i="4" l="1"/>
  <c r="U213" i="4"/>
  <c r="U214" i="4"/>
  <c r="U215" i="4"/>
  <c r="U216" i="4"/>
  <c r="U217" i="4"/>
  <c r="U218" i="4"/>
  <c r="U225" i="4"/>
  <c r="U226" i="4"/>
  <c r="U228" i="4"/>
  <c r="U229" i="4"/>
  <c r="U230" i="4"/>
  <c r="U232" i="4"/>
  <c r="U235" i="4"/>
  <c r="U236" i="4"/>
  <c r="U239" i="4"/>
  <c r="U240" i="4"/>
  <c r="U241" i="4"/>
  <c r="U242" i="4"/>
  <c r="U244" i="4"/>
  <c r="T222" i="4"/>
  <c r="X222" i="4" s="1"/>
  <c r="T221" i="4"/>
  <c r="X221" i="4" s="1"/>
  <c r="T220" i="4"/>
  <c r="X220" i="4" s="1"/>
  <c r="T219" i="4"/>
  <c r="X219" i="4" s="1"/>
  <c r="T211" i="4"/>
  <c r="X211" i="4" s="1"/>
  <c r="T210" i="4"/>
  <c r="X210" i="4" s="1"/>
  <c r="T50" i="4"/>
  <c r="X50" i="4" s="1"/>
  <c r="T49" i="4"/>
  <c r="X49" i="4" s="1"/>
  <c r="T48" i="4"/>
  <c r="X48" i="4" s="1"/>
  <c r="Q41" i="4"/>
  <c r="R41" i="4"/>
  <c r="O41" i="4"/>
  <c r="T246" i="4" l="1"/>
  <c r="Q16" i="4"/>
  <c r="Q15" i="4" s="1"/>
  <c r="Q23" i="4"/>
  <c r="Q24" i="4"/>
  <c r="Q28" i="4"/>
  <c r="Q40" i="4"/>
  <c r="Q29" i="4" s="1"/>
  <c r="Q50" i="4"/>
  <c r="Q51" i="4"/>
  <c r="Q68" i="4"/>
  <c r="Q75" i="4"/>
  <c r="Q83" i="4"/>
  <c r="Q86" i="4"/>
  <c r="Q94" i="4"/>
  <c r="Q102" i="4"/>
  <c r="Q99" i="4" s="1"/>
  <c r="Q104" i="4"/>
  <c r="Q107" i="4"/>
  <c r="Q113" i="4"/>
  <c r="Q118" i="4"/>
  <c r="Q122" i="4"/>
  <c r="Q129" i="4"/>
  <c r="Q159" i="4"/>
  <c r="Q173" i="4"/>
  <c r="Q184" i="4"/>
  <c r="Q180" i="4" s="1"/>
  <c r="Q191" i="4"/>
  <c r="Q200" i="4"/>
  <c r="Q212" i="4"/>
  <c r="Q227" i="4"/>
  <c r="Q224" i="4" s="1"/>
  <c r="Q233" i="4"/>
  <c r="Q238" i="4"/>
  <c r="Q237" i="4" s="1"/>
  <c r="Q243" i="4"/>
  <c r="U18" i="4"/>
  <c r="U19" i="4"/>
  <c r="U22" i="4"/>
  <c r="U27" i="4"/>
  <c r="U31" i="4"/>
  <c r="U32" i="4"/>
  <c r="U33" i="4"/>
  <c r="U35" i="4"/>
  <c r="U36" i="4"/>
  <c r="U37" i="4"/>
  <c r="U38" i="4"/>
  <c r="U43" i="4"/>
  <c r="U44" i="4"/>
  <c r="U45" i="4"/>
  <c r="U46" i="4"/>
  <c r="U47" i="4"/>
  <c r="U54" i="4"/>
  <c r="U55" i="4"/>
  <c r="U56" i="4"/>
  <c r="U57" i="4"/>
  <c r="U58" i="4"/>
  <c r="U59" i="4"/>
  <c r="U60" i="4"/>
  <c r="U62" i="4"/>
  <c r="U63" i="4"/>
  <c r="U64" i="4"/>
  <c r="U67" i="4"/>
  <c r="U70" i="4"/>
  <c r="U71" i="4"/>
  <c r="U72" i="4"/>
  <c r="U73" i="4"/>
  <c r="U74" i="4"/>
  <c r="U77" i="4"/>
  <c r="U79" i="4"/>
  <c r="U80" i="4"/>
  <c r="U81" i="4"/>
  <c r="U82" i="4"/>
  <c r="U84" i="4"/>
  <c r="U87" i="4"/>
  <c r="U88" i="4"/>
  <c r="U89" i="4"/>
  <c r="U90" i="4"/>
  <c r="U91" i="4"/>
  <c r="U93" i="4"/>
  <c r="U95" i="4"/>
  <c r="U96" i="4"/>
  <c r="U97" i="4"/>
  <c r="U98" i="4"/>
  <c r="U100" i="4"/>
  <c r="U101" i="4"/>
  <c r="U102" i="4"/>
  <c r="U103" i="4"/>
  <c r="U105" i="4"/>
  <c r="U106" i="4"/>
  <c r="U108" i="4"/>
  <c r="U109" i="4"/>
  <c r="U110" i="4"/>
  <c r="U111" i="4"/>
  <c r="U112" i="4"/>
  <c r="U114" i="4"/>
  <c r="U115" i="4"/>
  <c r="U116" i="4"/>
  <c r="U119" i="4"/>
  <c r="U120" i="4"/>
  <c r="U121" i="4"/>
  <c r="U123" i="4"/>
  <c r="U124" i="4"/>
  <c r="U125" i="4"/>
  <c r="U126" i="4"/>
  <c r="U127"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60" i="4"/>
  <c r="U161" i="4"/>
  <c r="U162" i="4"/>
  <c r="U163" i="4"/>
  <c r="U164" i="4"/>
  <c r="U165" i="4"/>
  <c r="U166" i="4"/>
  <c r="U167" i="4"/>
  <c r="U168" i="4"/>
  <c r="U169" i="4"/>
  <c r="U170" i="4"/>
  <c r="U171" i="4"/>
  <c r="U172" i="4"/>
  <c r="U173" i="4"/>
  <c r="U174" i="4"/>
  <c r="U175" i="4"/>
  <c r="U176" i="4"/>
  <c r="U177" i="4"/>
  <c r="U178" i="4"/>
  <c r="U181" i="4"/>
  <c r="U182" i="4"/>
  <c r="U183" i="4"/>
  <c r="U186" i="4"/>
  <c r="U188" i="4"/>
  <c r="U189" i="4"/>
  <c r="U192" i="4"/>
  <c r="U193" i="4"/>
  <c r="U201" i="4"/>
  <c r="U202" i="4"/>
  <c r="U203" i="4"/>
  <c r="U204" i="4"/>
  <c r="U205" i="4"/>
  <c r="U194" i="4"/>
  <c r="U195" i="4"/>
  <c r="U196" i="4"/>
  <c r="Q20" i="4" l="1"/>
  <c r="T287" i="4"/>
  <c r="W289" i="4"/>
  <c r="Q117" i="4"/>
  <c r="Q190" i="4"/>
  <c r="Q179" i="4" s="1"/>
  <c r="Q128" i="4"/>
  <c r="Q231" i="4"/>
  <c r="Q11" i="4"/>
  <c r="Q10" i="4" s="1"/>
  <c r="Q245" i="4" l="1"/>
  <c r="Q246" i="4" s="1"/>
  <c r="Q9" i="4" s="1"/>
  <c r="O281" i="4"/>
  <c r="O283" i="4" s="1"/>
  <c r="R260" i="4"/>
  <c r="R262" i="4" s="1"/>
  <c r="R258" i="4" s="1"/>
  <c r="Q260" i="4"/>
  <c r="Q262" i="4" s="1"/>
  <c r="Q258" i="4" s="1"/>
  <c r="O260" i="4"/>
  <c r="O262" i="4" s="1"/>
  <c r="R243" i="4"/>
  <c r="U243" i="4"/>
  <c r="O243" i="4"/>
  <c r="R238" i="4"/>
  <c r="U238" i="4"/>
  <c r="O238" i="4"/>
  <c r="U237" i="4"/>
  <c r="U234" i="4"/>
  <c r="R233" i="4"/>
  <c r="U233" i="4"/>
  <c r="O233" i="4"/>
  <c r="R227" i="4"/>
  <c r="R224" i="4" s="1"/>
  <c r="O224" i="4"/>
  <c r="U223" i="4"/>
  <c r="U222" i="4"/>
  <c r="U221" i="4"/>
  <c r="U220" i="4"/>
  <c r="R212" i="4"/>
  <c r="O212" i="4"/>
  <c r="U211" i="4"/>
  <c r="U210" i="4"/>
  <c r="U209" i="4"/>
  <c r="U208" i="4"/>
  <c r="U207" i="4"/>
  <c r="U206" i="4"/>
  <c r="R200" i="4"/>
  <c r="O200" i="4"/>
  <c r="R191" i="4"/>
  <c r="O191" i="4"/>
  <c r="U187" i="4"/>
  <c r="U185" i="4"/>
  <c r="R184" i="4"/>
  <c r="R263" i="4" s="1"/>
  <c r="R265" i="4" s="1"/>
  <c r="Q263" i="4"/>
  <c r="Q265" i="4" s="1"/>
  <c r="O184" i="4"/>
  <c r="O263" i="4" s="1"/>
  <c r="O265" i="4" s="1"/>
  <c r="R173" i="4"/>
  <c r="R281" i="4" s="1"/>
  <c r="R283" i="4" s="1"/>
  <c r="Q281" i="4"/>
  <c r="Q283" i="4" s="1"/>
  <c r="R159" i="4"/>
  <c r="U159" i="4"/>
  <c r="O159" i="4"/>
  <c r="R129" i="4"/>
  <c r="U129" i="4"/>
  <c r="O129" i="4"/>
  <c r="R122" i="4"/>
  <c r="U122" i="4"/>
  <c r="O122" i="4"/>
  <c r="R118" i="4"/>
  <c r="U118" i="4"/>
  <c r="O118" i="4"/>
  <c r="O117" i="4" s="1"/>
  <c r="R113" i="4"/>
  <c r="R269" i="4" s="1"/>
  <c r="R271" i="4" s="1"/>
  <c r="Q269" i="4"/>
  <c r="Q271" i="4" s="1"/>
  <c r="O113" i="4"/>
  <c r="O269" i="4" s="1"/>
  <c r="O271" i="4" s="1"/>
  <c r="R107" i="4"/>
  <c r="R266" i="4" s="1"/>
  <c r="R268" i="4" s="1"/>
  <c r="Q266" i="4"/>
  <c r="Q268" i="4" s="1"/>
  <c r="O107" i="4"/>
  <c r="O266" i="4" s="1"/>
  <c r="O268" i="4" s="1"/>
  <c r="R104" i="4"/>
  <c r="U104" i="4"/>
  <c r="O104" i="4"/>
  <c r="Q272" i="4"/>
  <c r="Q274" i="4" s="1"/>
  <c r="R99" i="4"/>
  <c r="R272" i="4" s="1"/>
  <c r="R274" i="4" s="1"/>
  <c r="O99" i="4"/>
  <c r="O272" i="4" s="1"/>
  <c r="O274" i="4" s="1"/>
  <c r="R94" i="4"/>
  <c r="U94" i="4"/>
  <c r="O94" i="4"/>
  <c r="U92" i="4"/>
  <c r="R86" i="4"/>
  <c r="O86" i="4"/>
  <c r="U85" i="4"/>
  <c r="R83" i="4"/>
  <c r="O83" i="4"/>
  <c r="O81" i="4"/>
  <c r="O75" i="4" s="1"/>
  <c r="U78" i="4"/>
  <c r="U76" i="4"/>
  <c r="R75" i="4"/>
  <c r="U69" i="4"/>
  <c r="R68" i="4"/>
  <c r="Q278" i="4"/>
  <c r="Q280" i="4" s="1"/>
  <c r="O68" i="4"/>
  <c r="U61" i="4"/>
  <c r="U53" i="4"/>
  <c r="R51" i="4"/>
  <c r="O51" i="4"/>
  <c r="R50" i="4"/>
  <c r="U50" i="4"/>
  <c r="U48" i="4"/>
  <c r="R40" i="4"/>
  <c r="U40" i="4"/>
  <c r="U39" i="4"/>
  <c r="R33" i="4"/>
  <c r="O33" i="4"/>
  <c r="O29" i="4" s="1"/>
  <c r="R28" i="4"/>
  <c r="U28" i="4"/>
  <c r="U26" i="4"/>
  <c r="U25" i="4"/>
  <c r="R24" i="4"/>
  <c r="U24" i="4"/>
  <c r="O24" i="4"/>
  <c r="O20" i="4" s="1"/>
  <c r="R23" i="4"/>
  <c r="U23" i="4"/>
  <c r="U17" i="4"/>
  <c r="R16" i="4"/>
  <c r="R15" i="4" s="1"/>
  <c r="U16" i="4"/>
  <c r="O16" i="4"/>
  <c r="O15" i="4" s="1"/>
  <c r="U14" i="4"/>
  <c r="U13" i="4"/>
  <c r="U12" i="4"/>
  <c r="R20" i="4" l="1"/>
  <c r="O128" i="4"/>
  <c r="R29" i="4"/>
  <c r="R190" i="4"/>
  <c r="R180" i="4"/>
  <c r="U212" i="4"/>
  <c r="U219" i="4"/>
  <c r="U42" i="4"/>
  <c r="P272" i="4"/>
  <c r="P274" i="4" s="1"/>
  <c r="U191" i="4"/>
  <c r="U198" i="4"/>
  <c r="U34" i="4"/>
  <c r="U29" i="4"/>
  <c r="U83" i="4"/>
  <c r="U86" i="4"/>
  <c r="R117" i="4"/>
  <c r="U180" i="4"/>
  <c r="U224" i="4"/>
  <c r="U227" i="4"/>
  <c r="O278" i="4"/>
  <c r="O280" i="4" s="1"/>
  <c r="U117" i="4"/>
  <c r="O180" i="4"/>
  <c r="O237" i="4"/>
  <c r="O231" i="4" s="1"/>
  <c r="R128" i="4"/>
  <c r="R237" i="4"/>
  <c r="R231" i="4" s="1"/>
  <c r="U49" i="4"/>
  <c r="P266" i="4"/>
  <c r="P268" i="4" s="1"/>
  <c r="U107" i="4"/>
  <c r="U51" i="4"/>
  <c r="U52" i="4"/>
  <c r="R278" i="4"/>
  <c r="R280" i="4" s="1"/>
  <c r="U128" i="4"/>
  <c r="O190" i="4"/>
  <c r="O179" i="4" s="1"/>
  <c r="P269" i="4"/>
  <c r="P271" i="4" s="1"/>
  <c r="U113" i="4"/>
  <c r="O275" i="4"/>
  <c r="O277" i="4" s="1"/>
  <c r="U20" i="4"/>
  <c r="U231" i="4"/>
  <c r="U68" i="4"/>
  <c r="U75" i="4"/>
  <c r="O11" i="4"/>
  <c r="O10" i="4" s="1"/>
  <c r="P263" i="4"/>
  <c r="P265" i="4" s="1"/>
  <c r="U184" i="4"/>
  <c r="P281" i="4"/>
  <c r="P283" i="4" s="1"/>
  <c r="P260" i="4"/>
  <c r="P262" i="4" s="1"/>
  <c r="Q251" i="4"/>
  <c r="R275" i="4"/>
  <c r="R277" i="4" s="1"/>
  <c r="R11" i="4"/>
  <c r="R10" i="4" s="1"/>
  <c r="Q275" i="4"/>
  <c r="Q277" i="4" s="1"/>
  <c r="R179" i="4" l="1"/>
  <c r="R245" i="4"/>
  <c r="U99" i="4"/>
  <c r="R246" i="4"/>
  <c r="R9" i="4" s="1"/>
  <c r="P278" i="4"/>
  <c r="P280" i="4" s="1"/>
  <c r="O245" i="4"/>
  <c r="O246" i="4" s="1"/>
  <c r="P275" i="4"/>
  <c r="P277" i="4" s="1"/>
  <c r="U15" i="4"/>
  <c r="U190" i="4"/>
  <c r="U41" i="4"/>
  <c r="R251" i="4" l="1"/>
  <c r="O251" i="4"/>
  <c r="O9" i="4"/>
  <c r="U10" i="4"/>
  <c r="U11" i="4"/>
  <c r="U179" i="4"/>
  <c r="U9" i="4" l="1"/>
  <c r="P248" i="4"/>
  <c r="P251" i="4"/>
  <c r="Q287" i="4" l="1"/>
  <c r="R287" i="4"/>
  <c r="P287" i="4" l="1"/>
  <c r="O287" i="4" l="1"/>
</calcChain>
</file>

<file path=xl/sharedStrings.xml><?xml version="1.0" encoding="utf-8"?>
<sst xmlns="http://schemas.openxmlformats.org/spreadsheetml/2006/main" count="1449" uniqueCount="533">
  <si>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</si>
  <si>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</si>
  <si>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</si>
  <si>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</si>
  <si>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</si>
  <si>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</si>
  <si>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</si>
  <si>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</si>
  <si>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</si>
  <si>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</si>
  <si>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</si>
  <si>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</si>
  <si>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</si>
  <si>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</si>
  <si>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</si>
  <si>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</si>
  <si>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</si>
  <si>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</si>
  <si>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</si>
  <si>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</si>
  <si>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</si>
  <si>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</si>
  <si>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</si>
  <si>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</si>
  <si>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</si>
  <si>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</si>
  <si>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</si>
  <si>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</si>
  <si>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</si>
  <si>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</si>
  <si>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</si>
  <si>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</si>
  <si>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</si>
  <si>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</si>
  <si>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</si>
  <si>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</si>
  <si>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</si>
  <si>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</si>
  <si>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</si>
  <si>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</si>
  <si>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</si>
  <si>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</si>
  <si>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</si>
  <si>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</si>
  <si>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</si>
  <si>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</si>
  <si>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</si>
  <si>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</si>
  <si>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</si>
  <si>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</si>
  <si>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</si>
  <si>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</si>
  <si>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</si>
  <si>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</si>
  <si>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</si>
  <si>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</si>
  <si>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</si>
  <si>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</si>
  <si>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</si>
  <si>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</si>
  <si>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</si>
  <si>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</si>
  <si>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</si>
  <si>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</si>
  <si>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</si>
  <si>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</si>
  <si>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</si>
  <si>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</si>
  <si>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</si>
  <si>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</si>
  <si>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</si>
  <si>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</si>
  <si>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</si>
  <si>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</si>
  <si>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</si>
  <si>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</si>
  <si>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</si>
  <si>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</si>
  <si>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</si>
  <si>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</si>
  <si>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</si>
  <si>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</si>
  <si>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</si>
  <si>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</si>
  <si>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</si>
  <si>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</si>
  <si>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</si>
  <si>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</si>
  <si>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</si>
  <si>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</si>
  <si>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</si>
  <si>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</si>
  <si>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</si>
  <si>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</si>
  <si>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</si>
  <si>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</si>
  <si>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</si>
  <si>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</si>
  <si>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</si>
  <si>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</si>
  <si>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</si>
  <si>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</si>
  <si>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</si>
  <si>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</si>
  <si>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</si>
  <si>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</si>
  <si>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</si>
  <si>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</si>
  <si>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</si>
  <si>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</si>
  <si>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</si>
  <si>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</si>
  <si>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</si>
  <si>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</si>
  <si>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</si>
  <si>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</si>
  <si>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</si>
  <si>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</si>
  <si>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</si>
  <si>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</si>
  <si>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</si>
  <si>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</si>
  <si>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</si>
  <si>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</si>
  <si>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</si>
  <si>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</si>
  <si>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</si>
  <si>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</si>
  <si>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</si>
  <si>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</si>
  <si>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</si>
  <si>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</si>
  <si>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</si>
  <si>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</si>
  <si>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</si>
  <si>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</si>
  <si>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</si>
  <si>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</si>
  <si>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</si>
  <si>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</si>
  <si>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</si>
  <si>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</si>
  <si>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</si>
  <si>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</si>
  <si>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</si>
  <si>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</si>
  <si>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</si>
  <si>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</si>
  <si>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</si>
  <si>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</si>
  <si>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</si>
  <si>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</si>
  <si>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</si>
  <si>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</si>
  <si>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</si>
  <si>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</si>
  <si>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</si>
  <si>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</si>
  <si>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</si>
  <si>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</si>
  <si>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</si>
  <si>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</si>
  <si>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</si>
  <si>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</si>
  <si>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</si>
  <si>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</si>
  <si>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</si>
  <si>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</si>
  <si>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</si>
  <si>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</si>
  <si>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</si>
  <si>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</si>
  <si>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</si>
  <si>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</si>
  <si>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</si>
  <si>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</si>
  <si>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</si>
  <si>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</si>
  <si>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</si>
  <si>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</si>
  <si>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</si>
  <si>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</si>
  <si>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</si>
  <si>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</si>
  <si>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</si>
  <si>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</si>
  <si>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</si>
  <si>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</si>
  <si>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</si>
  <si>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</si>
  <si>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</si>
  <si>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</si>
  <si>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</si>
  <si>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</si>
  <si>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</si>
  <si>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</si>
  <si>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</si>
  <si>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</si>
  <si>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</si>
  <si>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</si>
  <si>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</si>
  <si>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</si>
  <si>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</si>
  <si>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</si>
  <si>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</si>
  <si>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</si>
  <si>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</si>
  <si>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</si>
  <si>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</si>
  <si>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</si>
  <si>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</si>
  <si>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</si>
  <si>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</si>
  <si>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</si>
  <si>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</si>
  <si>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</si>
  <si>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</si>
  <si>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</si>
  <si>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</si>
  <si>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</si>
  <si>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</si>
  <si>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</si>
  <si>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</si>
  <si>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</si>
  <si>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</si>
  <si>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</si>
  <si>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</si>
  <si>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</si>
  <si>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</si>
  <si>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</si>
  <si>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</si>
  <si>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</si>
  <si>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</si>
  <si>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</si>
  <si>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</si>
  <si>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</si>
  <si>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</si>
  <si>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</si>
  <si>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</si>
  <si>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</si>
  <si>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</si>
  <si>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</si>
  <si>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</si>
  <si>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</si>
  <si>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</si>
  <si>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</si>
  <si>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</si>
  <si>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</si>
  <si>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</si>
  <si>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</si>
  <si>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</si>
  <si>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</si>
  <si>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</si>
  <si>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</si>
  <si>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</si>
  <si>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</si>
  <si>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</si>
  <si>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</si>
  <si>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</si>
  <si>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</si>
  <si>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</si>
  <si>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</si>
  <si>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</si>
  <si>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</si>
  <si>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</si>
  <si>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</si>
  <si>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</si>
  <si>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</si>
  <si>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</si>
  <si>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</si>
  <si>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</si>
  <si>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</si>
  <si>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</si>
  <si>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</si>
  <si>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</si>
  <si>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</si>
  <si>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</si>
  <si>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</si>
  <si>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</si>
  <si>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</si>
  <si>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отчетный финансовый год</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</si>
  <si>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</si>
  <si>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</si>
  <si>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</si>
  <si>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</si>
  <si>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</si>
  <si>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</si>
  <si>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</si>
  <si>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</si>
  <si>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</si>
  <si>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</si>
  <si>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</si>
  <si>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</si>
  <si>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</si>
  <si>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</si>
  <si>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</si>
  <si>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</si>
  <si>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</si>
  <si>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</si>
  <si>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</si>
  <si>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</si>
  <si>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</si>
  <si>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</si>
  <si>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</si>
  <si>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</si>
  <si>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</si>
  <si>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</si>
  <si>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</si>
  <si>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</si>
  <si>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</si>
  <si>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</si>
  <si>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</si>
  <si>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</si>
  <si>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</si>
  <si>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</si>
  <si>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</si>
  <si>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</si>
  <si>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</si>
  <si>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</si>
  <si>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</si>
  <si>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</si>
  <si>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</si>
  <si>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</si>
  <si>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</si>
  <si>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</si>
  <si>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</si>
  <si>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</si>
  <si>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</si>
  <si>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</si>
  <si>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</si>
  <si>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</si>
  <si>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</si>
  <si>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</si>
  <si>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</si>
  <si>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</si>
  <si>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</si>
  <si>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</si>
  <si>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</si>
  <si>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</si>
  <si>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</si>
  <si>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51421 S7620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</si>
  <si>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</si>
  <si>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</si>
  <si>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</si>
  <si>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</si>
  <si>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</si>
  <si>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</si>
  <si>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</si>
  <si>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</si>
  <si>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</si>
  <si>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</si>
  <si>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</si>
  <si>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</si>
  <si>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</si>
  <si>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</si>
  <si>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</si>
  <si>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</si>
  <si>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</si>
  <si>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</si>
  <si>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</si>
  <si>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</si>
  <si>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</si>
  <si>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</si>
  <si>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</si>
  <si>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</si>
  <si>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</si>
  <si>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</si>
  <si>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</si>
  <si>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</si>
  <si>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</si>
  <si>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</si>
  <si>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</si>
  <si>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</si>
  <si>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</si>
  <si>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</si>
  <si>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</si>
  <si>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</si>
  <si>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</si>
  <si>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2021 откл.обл. опека</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</si>
  <si>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</si>
  <si>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</si>
  <si>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</si>
  <si>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</si>
  <si>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</si>
  <si>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</si>
  <si>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</si>
  <si>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</si>
  <si>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</si>
  <si>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</si>
  <si>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</si>
  <si>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</si>
  <si>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</si>
  <si>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</si>
  <si>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</si>
  <si>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</si>
  <si>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</si>
  <si>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51011 80930</t>
  </si>
  <si>
    <t>51401 12021</t>
  </si>
  <si>
    <t>Текущий
2022 год</t>
  </si>
  <si>
    <t>Плановый период</t>
  </si>
  <si>
    <t>2023 год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</si>
  <si>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</si>
  <si>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</si>
  <si>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</si>
  <si>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</si>
  <si>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</si>
  <si>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</si>
  <si>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</si>
  <si>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</si>
  <si>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</si>
  <si>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</si>
  <si>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</si>
  <si>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</si>
  <si>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</si>
  <si>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</si>
  <si>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</si>
  <si>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</si>
  <si>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</si>
  <si>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</si>
  <si>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</si>
  <si>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</si>
  <si>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</si>
  <si>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</si>
  <si>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</si>
  <si>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</si>
  <si>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</si>
  <si>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</si>
  <si>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</si>
  <si>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</si>
  <si>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</si>
  <si>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</si>
  <si>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</si>
  <si>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</si>
  <si>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</si>
  <si>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</si>
  <si>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</si>
  <si>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</si>
  <si>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</si>
  <si>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</si>
  <si>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</si>
  <si>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</si>
  <si>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</si>
  <si>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</si>
  <si>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</si>
  <si>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</si>
  <si>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</si>
  <si>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</si>
  <si>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</si>
  <si>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</si>
  <si>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</si>
  <si>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</si>
  <si>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</si>
  <si>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</si>
  <si>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</si>
  <si>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</si>
  <si>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</si>
  <si>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</si>
  <si>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</si>
  <si>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</si>
  <si>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</si>
  <si>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</si>
  <si>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</si>
  <si>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</si>
  <si>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</si>
  <si>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</si>
  <si>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</si>
  <si>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</si>
  <si>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</si>
  <si>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</si>
  <si>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</si>
  <si>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</si>
  <si>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</si>
  <si>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</si>
  <si>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</si>
  <si>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</si>
  <si>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</si>
  <si>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</si>
  <si>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</si>
  <si>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</si>
  <si>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</si>
  <si>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</si>
  <si>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</si>
  <si>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</si>
  <si>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</si>
  <si>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</si>
  <si>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</si>
  <si>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</si>
  <si>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</si>
  <si>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</si>
  <si>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</si>
  <si>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</si>
  <si>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</si>
  <si>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</si>
  <si>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</si>
  <si>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</si>
  <si>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</si>
  <si>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</si>
  <si>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</si>
  <si>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</si>
  <si>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</si>
  <si>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</si>
  <si>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</si>
  <si>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</si>
  <si>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</si>
  <si>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</si>
  <si>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</si>
  <si>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</si>
  <si>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</si>
  <si>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</si>
  <si>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</si>
  <si>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</si>
  <si>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</si>
  <si>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</si>
  <si>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</si>
  <si>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</si>
  <si>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</si>
  <si>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</si>
  <si>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</si>
  <si>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</si>
  <si>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</si>
  <si>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</si>
  <si>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</si>
  <si>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</si>
  <si>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</si>
  <si>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</si>
  <si>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</si>
  <si>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</si>
  <si>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</si>
  <si>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</si>
  <si>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</si>
  <si>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</si>
  <si>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521ЕВ 5179F</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</si>
  <si>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января 2023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</si>
</sst>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
      <sz val="10"/>
      <color theme="0"/>
      <name val="Times New Roman"/>
      <family val="1"/>
      <charset val="204"/>
    </font>
    <font>
      <sz val="9"/>
      <color theme="0"/>
      <name val="Times New Roman"/>
      <family val="1"/>
      <charset val="204"/>
    </font>
    <font>
      <b/>
      <sz val="9"/>
      <color theme="0"/>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s>
  <cellStyleXfs count="2">
    <xf numFmtId="0" fontId="0" fillId="0" borderId="0">
      <alignment vertical="top" wrapText="1"/>
    </xf>
    <xf numFmtId="0" fontId="14" fillId="0" borderId="7">
      <alignment horizontal="center" vertical="top" wrapText="1"/>
    </xf>
  </cellStyleXfs>
  <cellXfs count="330">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 fontId="4" fillId="0" borderId="21" xfId="0" applyNumberFormat="1" applyFont="1" applyFill="1" applyBorder="1" applyAlignment="1">
      <alignment horizontal="center" vertical="top" wrapText="1"/>
    </xf>
    <xf numFmtId="4" fontId="5" fillId="0" borderId="21" xfId="0" applyNumberFormat="1"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4" fontId="11" fillId="0" borderId="0" xfId="0" applyNumberFormat="1" applyFont="1" applyFill="1" applyAlignment="1">
      <alignment vertical="top" wrapText="1"/>
    </xf>
    <xf numFmtId="4" fontId="5" fillId="0" borderId="3"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4" fontId="5" fillId="0" borderId="29"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4" fontId="5" fillId="0" borderId="37"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 fontId="5"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0" fontId="13" fillId="0" borderId="2"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4"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7" fillId="0" borderId="18" xfId="0" applyFont="1" applyFill="1" applyBorder="1" applyAlignment="1">
      <alignment horizontal="center" vertical="center" wrapText="1"/>
    </xf>
    <xf numFmtId="49" fontId="3" fillId="0" borderId="21"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16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164" fontId="16" fillId="4" borderId="10"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 fontId="18" fillId="0" borderId="0" xfId="0" applyNumberFormat="1" applyFont="1" applyFill="1" applyAlignment="1">
      <alignment vertical="top" wrapText="1"/>
    </xf>
    <xf numFmtId="0" fontId="18" fillId="0" borderId="0" xfId="0" applyFont="1" applyFill="1" applyAlignment="1">
      <alignment vertical="top" wrapText="1"/>
    </xf>
    <xf numFmtId="4" fontId="18" fillId="0" borderId="0" xfId="0" applyNumberFormat="1"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 fontId="19" fillId="0" borderId="0" xfId="0" applyNumberFormat="1" applyFont="1" applyFill="1" applyBorder="1" applyAlignment="1">
      <alignment horizontal="center" vertical="top" wrapText="1"/>
    </xf>
    <xf numFmtId="164" fontId="19" fillId="0" borderId="0" xfId="0" applyNumberFormat="1" applyFont="1" applyFill="1" applyBorder="1" applyAlignment="1">
      <alignment horizontal="center" vertical="top" wrapText="1"/>
    </xf>
    <xf numFmtId="4" fontId="18" fillId="0" borderId="0" xfId="0" applyNumberFormat="1" applyFont="1" applyFill="1" applyBorder="1" applyAlignment="1">
      <alignment horizontal="center" vertical="top" wrapText="1"/>
    </xf>
    <xf numFmtId="164"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top" wrapText="1"/>
    </xf>
    <xf numFmtId="4" fontId="20"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top" wrapText="1"/>
    </xf>
    <xf numFmtId="164" fontId="19" fillId="0" borderId="0"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top" wrapText="1"/>
    </xf>
    <xf numFmtId="164" fontId="3" fillId="4" borderId="2" xfId="0" applyNumberFormat="1" applyFont="1" applyFill="1" applyBorder="1" applyAlignment="1">
      <alignment horizontal="center" vertical="top" wrapText="1"/>
    </xf>
    <xf numFmtId="164" fontId="3" fillId="3" borderId="13" xfId="0" applyNumberFormat="1" applyFont="1" applyFill="1" applyBorder="1" applyAlignment="1">
      <alignment horizontal="center" vertical="top" wrapText="1"/>
    </xf>
    <xf numFmtId="4" fontId="3" fillId="0" borderId="2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16" fillId="4"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16" fillId="4" borderId="2" xfId="0" applyNumberFormat="1" applyFont="1" applyFill="1" applyBorder="1" applyAlignment="1">
      <alignment horizontal="center" vertical="top" wrapText="1"/>
    </xf>
    <xf numFmtId="164" fontId="16" fillId="3" borderId="2" xfId="0" applyNumberFormat="1" applyFont="1" applyFill="1" applyBorder="1" applyAlignment="1">
      <alignment horizontal="center" vertical="top" wrapText="1"/>
    </xf>
    <xf numFmtId="4" fontId="4" fillId="0" borderId="2"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top" wrapText="1"/>
    </xf>
    <xf numFmtId="164" fontId="3" fillId="5" borderId="2" xfId="0" applyNumberFormat="1" applyFont="1" applyFill="1" applyBorder="1" applyAlignment="1">
      <alignment horizontal="center" vertical="top" wrapText="1"/>
    </xf>
    <xf numFmtId="164" fontId="3" fillId="4"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top" wrapText="1"/>
    </xf>
    <xf numFmtId="4" fontId="3" fillId="4" borderId="2" xfId="0" applyNumberFormat="1"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0" fontId="18" fillId="0" borderId="0" xfId="0" applyFont="1" applyFill="1" applyBorder="1" applyAlignment="1">
      <alignment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26"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5" fillId="0" borderId="6"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5" fillId="0" borderId="31" xfId="0" applyFont="1" applyFill="1" applyBorder="1" applyAlignment="1">
      <alignment horizontal="center" vertical="top" wrapText="1"/>
    </xf>
    <xf numFmtId="0" fontId="7" fillId="0" borderId="7"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00FF00"/>
      <color rgb="FFFFCCCC"/>
      <color rgb="FFCCFF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9"/>
  <sheetViews>
    <sheetView tabSelected="1" zoomScale="90" zoomScaleNormal="90" workbookViewId="0">
      <pane xSplit="1" ySplit="7" topLeftCell="B9" activePane="bottomRight" state="frozen"/>
      <selection pane="topRight" activeCell="B1" sqref="B1"/>
      <selection pane="bottomLeft" activeCell="A8" sqref="A8"/>
      <selection pane="bottomRight" activeCell="F14" sqref="F14"/>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7" customWidth="1"/>
    <col min="15" max="15" width="15.5" customWidth="1"/>
    <col min="16" max="18" width="16.5" customWidth="1"/>
    <col min="19" max="19" width="9.33203125" style="152"/>
    <col min="20" max="20" width="18.33203125" style="151" customWidth="1"/>
    <col min="21" max="21" width="15.5" style="150" customWidth="1"/>
    <col min="22" max="22" width="9.33203125" style="150"/>
    <col min="23" max="23" width="16.5" style="152" customWidth="1"/>
    <col min="24" max="24" width="21.5" style="150" customWidth="1"/>
  </cols>
  <sheetData>
    <row r="1" spans="1:24" ht="24.75" customHeight="1" x14ac:dyDescent="0.2">
      <c r="A1" s="265" t="s">
        <v>532</v>
      </c>
      <c r="B1" s="265"/>
      <c r="C1" s="265"/>
      <c r="D1" s="265"/>
      <c r="E1" s="265"/>
      <c r="F1" s="265"/>
      <c r="G1" s="265"/>
      <c r="H1" s="265"/>
      <c r="I1" s="265"/>
      <c r="J1" s="265"/>
      <c r="K1" s="265"/>
      <c r="L1" s="265"/>
      <c r="M1" s="265"/>
      <c r="N1" s="265"/>
      <c r="O1" s="265"/>
      <c r="P1" s="265"/>
      <c r="Q1" s="265"/>
      <c r="R1" s="265"/>
    </row>
    <row r="2" spans="1:24" ht="12.75" customHeight="1" x14ac:dyDescent="0.2">
      <c r="A2" s="265" t="s">
        <v>0</v>
      </c>
      <c r="B2" s="265"/>
      <c r="C2" s="265"/>
      <c r="D2" s="265"/>
      <c r="E2" s="265"/>
      <c r="F2" s="265"/>
      <c r="G2" s="265"/>
      <c r="H2" s="265"/>
      <c r="I2" s="265"/>
      <c r="J2" s="265"/>
      <c r="K2" s="265"/>
      <c r="L2" s="265"/>
      <c r="M2" s="265"/>
      <c r="N2" s="265"/>
      <c r="O2" s="265"/>
      <c r="P2" s="265"/>
      <c r="Q2" s="265"/>
      <c r="R2" s="265"/>
    </row>
    <row r="3" spans="1:24" ht="12.75" customHeight="1" x14ac:dyDescent="0.2">
      <c r="A3" s="266" t="s">
        <v>0</v>
      </c>
      <c r="B3" s="266"/>
      <c r="C3" s="266"/>
      <c r="D3" s="266"/>
      <c r="E3" s="266"/>
      <c r="F3" s="266"/>
      <c r="G3" s="266"/>
      <c r="H3" s="266"/>
      <c r="I3" s="266"/>
      <c r="J3" s="266"/>
      <c r="K3" s="266"/>
      <c r="L3" s="266"/>
      <c r="M3" s="266"/>
      <c r="N3" s="266"/>
      <c r="O3" s="266"/>
      <c r="P3" s="266"/>
      <c r="Q3" s="266"/>
      <c r="R3" s="266"/>
    </row>
    <row r="4" spans="1:24" ht="22.5" customHeight="1" x14ac:dyDescent="0.2">
      <c r="A4" s="208" t="s">
        <v>1</v>
      </c>
      <c r="B4" s="208" t="s">
        <v>2</v>
      </c>
      <c r="C4" s="208" t="s">
        <v>3</v>
      </c>
      <c r="D4" s="267" t="s">
        <v>423</v>
      </c>
      <c r="E4" s="208"/>
      <c r="F4" s="208"/>
      <c r="G4" s="208"/>
      <c r="H4" s="208"/>
      <c r="I4" s="208"/>
      <c r="J4" s="208" t="s">
        <v>4</v>
      </c>
      <c r="K4" s="275" t="s">
        <v>274</v>
      </c>
      <c r="L4" s="276"/>
      <c r="M4" s="276"/>
      <c r="N4" s="277"/>
      <c r="O4" s="272" t="s">
        <v>279</v>
      </c>
      <c r="P4" s="268" t="s">
        <v>398</v>
      </c>
      <c r="Q4" s="268" t="s">
        <v>399</v>
      </c>
      <c r="R4" s="268"/>
    </row>
    <row r="5" spans="1:24" ht="22.9" customHeight="1" x14ac:dyDescent="0.2">
      <c r="A5" s="208" t="s">
        <v>0</v>
      </c>
      <c r="B5" s="208" t="s">
        <v>0</v>
      </c>
      <c r="C5" s="208" t="s">
        <v>0</v>
      </c>
      <c r="D5" s="269" t="s">
        <v>5</v>
      </c>
      <c r="E5" s="270"/>
      <c r="F5" s="271" t="s">
        <v>426</v>
      </c>
      <c r="G5" s="270"/>
      <c r="H5" s="271" t="s">
        <v>427</v>
      </c>
      <c r="I5" s="270"/>
      <c r="J5" s="208" t="s">
        <v>0</v>
      </c>
      <c r="K5" s="12" t="s">
        <v>275</v>
      </c>
      <c r="L5" s="12" t="s">
        <v>276</v>
      </c>
      <c r="M5" s="12" t="s">
        <v>277</v>
      </c>
      <c r="N5" s="12" t="s">
        <v>278</v>
      </c>
      <c r="O5" s="273"/>
      <c r="P5" s="268"/>
      <c r="Q5" s="268"/>
      <c r="R5" s="268"/>
    </row>
    <row r="6" spans="1:24" ht="33.75" customHeight="1" x14ac:dyDescent="0.2">
      <c r="A6" s="208" t="s">
        <v>0</v>
      </c>
      <c r="B6" s="208" t="s">
        <v>0</v>
      </c>
      <c r="C6" s="258" t="s">
        <v>0</v>
      </c>
      <c r="D6" s="268" t="s">
        <v>424</v>
      </c>
      <c r="E6" s="268" t="s">
        <v>425</v>
      </c>
      <c r="F6" s="268" t="s">
        <v>424</v>
      </c>
      <c r="G6" s="268" t="s">
        <v>425</v>
      </c>
      <c r="H6" s="268" t="s">
        <v>424</v>
      </c>
      <c r="I6" s="268" t="s">
        <v>425</v>
      </c>
      <c r="J6" s="208" t="s">
        <v>0</v>
      </c>
      <c r="K6" s="13"/>
      <c r="L6" s="13"/>
      <c r="M6" s="13"/>
      <c r="N6" s="13"/>
      <c r="O6" s="273"/>
      <c r="P6" s="268"/>
      <c r="Q6" s="268" t="s">
        <v>400</v>
      </c>
      <c r="R6" s="268" t="s">
        <v>401</v>
      </c>
      <c r="W6" s="317" t="s">
        <v>400</v>
      </c>
    </row>
    <row r="7" spans="1:24" ht="28.5" customHeight="1" x14ac:dyDescent="0.2">
      <c r="A7" s="208" t="s">
        <v>0</v>
      </c>
      <c r="B7" s="208" t="s">
        <v>0</v>
      </c>
      <c r="C7" s="258" t="s">
        <v>0</v>
      </c>
      <c r="D7" s="268"/>
      <c r="E7" s="264"/>
      <c r="F7" s="268"/>
      <c r="G7" s="264"/>
      <c r="H7" s="268"/>
      <c r="I7" s="264"/>
      <c r="J7" s="208" t="s">
        <v>0</v>
      </c>
      <c r="K7" s="13"/>
      <c r="L7" s="13"/>
      <c r="M7" s="13"/>
      <c r="N7" s="13"/>
      <c r="O7" s="130" t="s">
        <v>280</v>
      </c>
      <c r="P7" s="268"/>
      <c r="Q7" s="268"/>
      <c r="R7" s="268"/>
      <c r="W7" s="317"/>
    </row>
    <row r="8" spans="1:24" ht="13.5" customHeight="1" x14ac:dyDescent="0.2">
      <c r="A8" s="116" t="s">
        <v>6</v>
      </c>
      <c r="B8" s="116" t="s">
        <v>7</v>
      </c>
      <c r="C8" s="116" t="s">
        <v>8</v>
      </c>
      <c r="D8" s="118" t="s">
        <v>9</v>
      </c>
      <c r="E8" s="118" t="s">
        <v>10</v>
      </c>
      <c r="F8" s="116" t="s">
        <v>12</v>
      </c>
      <c r="G8" s="116" t="s">
        <v>13</v>
      </c>
      <c r="H8" s="116" t="s">
        <v>22</v>
      </c>
      <c r="I8" s="116" t="s">
        <v>23</v>
      </c>
      <c r="J8" s="116" t="s">
        <v>24</v>
      </c>
      <c r="K8" s="14"/>
      <c r="L8" s="14"/>
      <c r="M8" s="14"/>
      <c r="N8" s="14"/>
      <c r="O8" s="182"/>
      <c r="P8" s="21"/>
      <c r="Q8" s="21"/>
      <c r="R8" s="21"/>
      <c r="W8" s="154"/>
    </row>
    <row r="9" spans="1:24" ht="57.75" customHeight="1" x14ac:dyDescent="0.2">
      <c r="A9" s="4" t="s">
        <v>30</v>
      </c>
      <c r="B9" s="116" t="s">
        <v>31</v>
      </c>
      <c r="C9" s="116" t="s">
        <v>32</v>
      </c>
      <c r="D9" s="3"/>
      <c r="E9" s="3"/>
      <c r="F9" s="116" t="s">
        <v>0</v>
      </c>
      <c r="G9" s="116" t="s">
        <v>0</v>
      </c>
      <c r="H9" s="116" t="s">
        <v>0</v>
      </c>
      <c r="I9" s="116" t="s">
        <v>0</v>
      </c>
      <c r="J9" s="116" t="s">
        <v>0</v>
      </c>
      <c r="K9" s="14"/>
      <c r="L9" s="14"/>
      <c r="M9" s="14"/>
      <c r="N9" s="14"/>
      <c r="O9" s="163">
        <f>O246</f>
        <v>327291985.54000002</v>
      </c>
      <c r="P9" s="132">
        <f t="shared" ref="P9" si="0">P246</f>
        <v>390105330.92000002</v>
      </c>
      <c r="Q9" s="132">
        <f>Q246</f>
        <v>284937300.90999997</v>
      </c>
      <c r="R9" s="132">
        <f>R246</f>
        <v>262559068.88</v>
      </c>
      <c r="U9" s="149">
        <f t="shared" ref="U9:U76" si="1">T9-P9</f>
        <v>-390105330.92000002</v>
      </c>
      <c r="W9" s="155">
        <f t="shared" ref="W9" si="2">W246</f>
        <v>389996652.64000005</v>
      </c>
      <c r="X9" s="149">
        <f t="shared" ref="X9:X72" si="3">T9-W9</f>
        <v>-389996652.64000005</v>
      </c>
    </row>
    <row r="10" spans="1:24" ht="79.5" customHeight="1" x14ac:dyDescent="0.2">
      <c r="A10" s="5" t="s">
        <v>33</v>
      </c>
      <c r="B10" s="116" t="s">
        <v>34</v>
      </c>
      <c r="C10" s="116" t="s">
        <v>35</v>
      </c>
      <c r="D10" s="3"/>
      <c r="E10" s="116"/>
      <c r="F10" s="116" t="s">
        <v>0</v>
      </c>
      <c r="G10" s="116" t="s">
        <v>0</v>
      </c>
      <c r="H10" s="116" t="s">
        <v>0</v>
      </c>
      <c r="I10" s="116" t="s">
        <v>0</v>
      </c>
      <c r="J10" s="116" t="s">
        <v>0</v>
      </c>
      <c r="K10" s="14"/>
      <c r="L10" s="14"/>
      <c r="M10" s="14"/>
      <c r="N10" s="14"/>
      <c r="O10" s="164">
        <f>O11+O117</f>
        <v>150083909.76000002</v>
      </c>
      <c r="P10" s="133">
        <f>P11+P117</f>
        <v>195520014.76999995</v>
      </c>
      <c r="Q10" s="133">
        <f>Q11+Q117</f>
        <v>115663307.75999999</v>
      </c>
      <c r="R10" s="133">
        <f>R11+R117</f>
        <v>91883706.310000002</v>
      </c>
      <c r="U10" s="149">
        <f t="shared" si="1"/>
        <v>-195520014.76999995</v>
      </c>
      <c r="W10" s="155">
        <f>W11+W117</f>
        <v>195411336.48999998</v>
      </c>
      <c r="X10" s="149">
        <f t="shared" si="3"/>
        <v>-195411336.48999998</v>
      </c>
    </row>
    <row r="11" spans="1:24" ht="75.75" customHeight="1" x14ac:dyDescent="0.2">
      <c r="A11" s="6" t="s">
        <v>36</v>
      </c>
      <c r="B11" s="116" t="s">
        <v>37</v>
      </c>
      <c r="C11" s="116" t="s">
        <v>38</v>
      </c>
      <c r="D11" s="3"/>
      <c r="E11" s="116"/>
      <c r="F11" s="117" t="s">
        <v>0</v>
      </c>
      <c r="G11" s="117" t="s">
        <v>0</v>
      </c>
      <c r="H11" s="117" t="s">
        <v>0</v>
      </c>
      <c r="I11" s="117" t="s">
        <v>0</v>
      </c>
      <c r="J11" s="117" t="s">
        <v>0</v>
      </c>
      <c r="K11" s="89"/>
      <c r="L11" s="89"/>
      <c r="M11" s="89"/>
      <c r="N11" s="89"/>
      <c r="O11" s="165">
        <f>O12+O13+O14+O15+O20+O29+O41+O50+O51+O61+O68+O75+O83+O86+O94+O98+O99+O104+O107+O113</f>
        <v>144449891.44000003</v>
      </c>
      <c r="P11" s="134">
        <f>P12+P13+P14+P15+P20+P29+P41+P50+P51+P61+P68+P75+P83+P86+P94+P98+P99+P104+P107+P113</f>
        <v>189693141.36999995</v>
      </c>
      <c r="Q11" s="134">
        <f>Q12+Q13+Q14+Q15+Q20+Q29+Q41+Q50+Q51+Q61+Q68+Q75+Q83+Q86+Q94+Q98+Q99+Q104+Q107+Q113</f>
        <v>109772407.75999999</v>
      </c>
      <c r="R11" s="134">
        <f>R12+R13+R14+R15+R20+R29+R41+R50+R51+R61+R68+R75+R83+R86+R94+R98+R99+R104+R107+R113</f>
        <v>85992806.310000002</v>
      </c>
      <c r="U11" s="149">
        <f t="shared" si="1"/>
        <v>-189693141.36999995</v>
      </c>
      <c r="W11" s="155">
        <f>W12+W13+W14+W15+W20+W29+W41+W50+W51+W61+W68+W75+W83+W86+W94+W98+W99+W104+W107+W113</f>
        <v>189584463.08999997</v>
      </c>
      <c r="X11" s="149">
        <f t="shared" si="3"/>
        <v>-189584463.08999997</v>
      </c>
    </row>
    <row r="12" spans="1:24" s="1" customFormat="1" ht="53.25" customHeight="1" x14ac:dyDescent="0.2">
      <c r="A12" s="184" t="s">
        <v>39</v>
      </c>
      <c r="B12" s="184" t="s">
        <v>40</v>
      </c>
      <c r="C12" s="184" t="s">
        <v>41</v>
      </c>
      <c r="D12" s="184" t="s">
        <v>270</v>
      </c>
      <c r="E12" s="197" t="s">
        <v>271</v>
      </c>
      <c r="F12" s="239" t="s">
        <v>436</v>
      </c>
      <c r="G12" s="239" t="s">
        <v>42</v>
      </c>
      <c r="H12" s="239" t="s">
        <v>428</v>
      </c>
      <c r="I12" s="239" t="s">
        <v>42</v>
      </c>
      <c r="J12" s="239" t="s">
        <v>17</v>
      </c>
      <c r="K12" s="114" t="s">
        <v>285</v>
      </c>
      <c r="L12" s="114" t="s">
        <v>209</v>
      </c>
      <c r="M12" s="114" t="s">
        <v>291</v>
      </c>
      <c r="N12" s="114" t="s">
        <v>292</v>
      </c>
      <c r="O12" s="35">
        <v>170000</v>
      </c>
      <c r="P12" s="135">
        <v>200000</v>
      </c>
      <c r="Q12" s="22"/>
      <c r="R12" s="22"/>
      <c r="S12" s="152"/>
      <c r="T12" s="151">
        <v>200000</v>
      </c>
      <c r="U12" s="149">
        <f t="shared" si="1"/>
        <v>0</v>
      </c>
      <c r="V12" s="150"/>
      <c r="W12" s="151">
        <v>200000</v>
      </c>
      <c r="X12" s="149">
        <f t="shared" si="3"/>
        <v>0</v>
      </c>
    </row>
    <row r="13" spans="1:24" s="1" customFormat="1" ht="53.25" customHeight="1" x14ac:dyDescent="0.2">
      <c r="A13" s="185"/>
      <c r="B13" s="185"/>
      <c r="C13" s="185"/>
      <c r="D13" s="185"/>
      <c r="E13" s="198"/>
      <c r="F13" s="239"/>
      <c r="G13" s="239"/>
      <c r="H13" s="239"/>
      <c r="I13" s="239"/>
      <c r="J13" s="239"/>
      <c r="K13" s="114" t="s">
        <v>290</v>
      </c>
      <c r="L13" s="114" t="s">
        <v>299</v>
      </c>
      <c r="M13" s="114" t="s">
        <v>291</v>
      </c>
      <c r="N13" s="114" t="s">
        <v>300</v>
      </c>
      <c r="O13" s="35">
        <v>0</v>
      </c>
      <c r="P13" s="135">
        <v>800000</v>
      </c>
      <c r="Q13" s="22"/>
      <c r="R13" s="22"/>
      <c r="S13" s="152"/>
      <c r="T13" s="151">
        <v>800000</v>
      </c>
      <c r="U13" s="149">
        <f t="shared" si="1"/>
        <v>0</v>
      </c>
      <c r="V13" s="150"/>
      <c r="W13" s="151">
        <v>800000</v>
      </c>
      <c r="X13" s="149">
        <f t="shared" si="3"/>
        <v>0</v>
      </c>
    </row>
    <row r="14" spans="1:24" s="1" customFormat="1" ht="120" customHeight="1" x14ac:dyDescent="0.2">
      <c r="A14" s="98" t="s">
        <v>525</v>
      </c>
      <c r="B14" s="98" t="s">
        <v>524</v>
      </c>
      <c r="C14" s="98">
        <v>1016</v>
      </c>
      <c r="D14" s="98" t="s">
        <v>270</v>
      </c>
      <c r="E14" s="99" t="s">
        <v>271</v>
      </c>
      <c r="F14" s="125" t="s">
        <v>528</v>
      </c>
      <c r="G14" s="125" t="s">
        <v>42</v>
      </c>
      <c r="H14" s="125" t="s">
        <v>529</v>
      </c>
      <c r="I14" s="125"/>
      <c r="J14" s="125"/>
      <c r="K14" s="114" t="s">
        <v>285</v>
      </c>
      <c r="L14" s="114" t="s">
        <v>526</v>
      </c>
      <c r="M14" s="114" t="s">
        <v>527</v>
      </c>
      <c r="N14" s="114" t="s">
        <v>286</v>
      </c>
      <c r="O14" s="35"/>
      <c r="P14" s="135">
        <v>1038144</v>
      </c>
      <c r="Q14" s="22"/>
      <c r="R14" s="22"/>
      <c r="S14" s="152"/>
      <c r="T14" s="151">
        <v>1038144</v>
      </c>
      <c r="U14" s="149">
        <f t="shared" si="1"/>
        <v>0</v>
      </c>
      <c r="V14" s="150"/>
      <c r="W14" s="151">
        <v>1038144</v>
      </c>
      <c r="X14" s="149">
        <f t="shared" si="3"/>
        <v>0</v>
      </c>
    </row>
    <row r="15" spans="1:24" s="1" customFormat="1" ht="33" customHeight="1" x14ac:dyDescent="0.2">
      <c r="A15" s="184" t="s">
        <v>43</v>
      </c>
      <c r="B15" s="184" t="s">
        <v>44</v>
      </c>
      <c r="C15" s="184" t="s">
        <v>45</v>
      </c>
      <c r="D15" s="184" t="s">
        <v>270</v>
      </c>
      <c r="E15" s="184" t="s">
        <v>271</v>
      </c>
      <c r="F15" s="209" t="s">
        <v>430</v>
      </c>
      <c r="G15" s="209" t="s">
        <v>42</v>
      </c>
      <c r="H15" s="209" t="s">
        <v>505</v>
      </c>
      <c r="I15" s="209" t="s">
        <v>0</v>
      </c>
      <c r="J15" s="212" t="s">
        <v>11</v>
      </c>
      <c r="K15" s="248" t="s">
        <v>293</v>
      </c>
      <c r="L15" s="248" t="s">
        <v>47</v>
      </c>
      <c r="M15" s="113" t="s">
        <v>289</v>
      </c>
      <c r="N15" s="113" t="s">
        <v>289</v>
      </c>
      <c r="O15" s="41">
        <f>SUM(O16:O19)</f>
        <v>12548487.949999999</v>
      </c>
      <c r="P15" s="22">
        <f>SUM(P16:P19)</f>
        <v>10375483</v>
      </c>
      <c r="Q15" s="22">
        <f>SUM(Q16:Q19)</f>
        <v>8721147</v>
      </c>
      <c r="R15" s="22">
        <f>SUM(R16:R19)</f>
        <v>10083300</v>
      </c>
      <c r="S15" s="152"/>
      <c r="T15" s="151"/>
      <c r="U15" s="149">
        <f t="shared" si="1"/>
        <v>-10375483</v>
      </c>
      <c r="V15" s="150"/>
      <c r="W15" s="154">
        <f>SUM(W16:W19)</f>
        <v>10375483</v>
      </c>
      <c r="X15" s="149">
        <f t="shared" si="3"/>
        <v>-10375483</v>
      </c>
    </row>
    <row r="16" spans="1:24" s="9" customFormat="1" ht="33" customHeight="1" x14ac:dyDescent="0.2">
      <c r="A16" s="209"/>
      <c r="B16" s="209"/>
      <c r="C16" s="209"/>
      <c r="D16" s="209"/>
      <c r="E16" s="209"/>
      <c r="F16" s="209"/>
      <c r="G16" s="209"/>
      <c r="H16" s="209"/>
      <c r="I16" s="209"/>
      <c r="J16" s="212"/>
      <c r="K16" s="249"/>
      <c r="L16" s="249"/>
      <c r="M16" s="114" t="s">
        <v>367</v>
      </c>
      <c r="N16" s="114" t="s">
        <v>297</v>
      </c>
      <c r="O16" s="43">
        <f>7880654+2210457</f>
        <v>10091111</v>
      </c>
      <c r="P16" s="135">
        <v>9774258</v>
      </c>
      <c r="Q16" s="22">
        <f>7414185+1228847</f>
        <v>8643032</v>
      </c>
      <c r="R16" s="22">
        <f>9005185+1000000</f>
        <v>10005185</v>
      </c>
      <c r="S16" s="152"/>
      <c r="T16" s="151">
        <v>9774258</v>
      </c>
      <c r="U16" s="149">
        <f t="shared" si="1"/>
        <v>0</v>
      </c>
      <c r="V16" s="150"/>
      <c r="W16" s="151">
        <v>9774258</v>
      </c>
      <c r="X16" s="149">
        <f t="shared" si="3"/>
        <v>0</v>
      </c>
    </row>
    <row r="17" spans="1:24" s="9" customFormat="1" ht="33" customHeight="1" x14ac:dyDescent="0.2">
      <c r="A17" s="209"/>
      <c r="B17" s="209"/>
      <c r="C17" s="209"/>
      <c r="D17" s="209"/>
      <c r="E17" s="209"/>
      <c r="F17" s="209"/>
      <c r="G17" s="209"/>
      <c r="H17" s="209"/>
      <c r="I17" s="209"/>
      <c r="J17" s="212"/>
      <c r="K17" s="249"/>
      <c r="L17" s="249"/>
      <c r="M17" s="114" t="s">
        <v>368</v>
      </c>
      <c r="N17" s="114" t="s">
        <v>298</v>
      </c>
      <c r="O17" s="43">
        <v>226505</v>
      </c>
      <c r="P17" s="135">
        <v>372328</v>
      </c>
      <c r="Q17" s="22"/>
      <c r="R17" s="22"/>
      <c r="S17" s="152"/>
      <c r="T17" s="151">
        <v>372328</v>
      </c>
      <c r="U17" s="149">
        <f t="shared" si="1"/>
        <v>0</v>
      </c>
      <c r="V17" s="150"/>
      <c r="W17" s="151">
        <v>372328</v>
      </c>
      <c r="X17" s="149">
        <f t="shared" si="3"/>
        <v>0</v>
      </c>
    </row>
    <row r="18" spans="1:24" s="9" customFormat="1" ht="33" customHeight="1" x14ac:dyDescent="0.2">
      <c r="A18" s="209"/>
      <c r="B18" s="209"/>
      <c r="C18" s="209"/>
      <c r="D18" s="209"/>
      <c r="E18" s="209"/>
      <c r="F18" s="209"/>
      <c r="G18" s="209"/>
      <c r="H18" s="209"/>
      <c r="I18" s="209"/>
      <c r="J18" s="212"/>
      <c r="K18" s="249"/>
      <c r="L18" s="249"/>
      <c r="M18" s="114" t="s">
        <v>369</v>
      </c>
      <c r="N18" s="114" t="s">
        <v>298</v>
      </c>
      <c r="O18" s="40">
        <v>155173</v>
      </c>
      <c r="P18" s="135">
        <v>228897</v>
      </c>
      <c r="Q18" s="22">
        <v>78115</v>
      </c>
      <c r="R18" s="22">
        <v>78115</v>
      </c>
      <c r="S18" s="152"/>
      <c r="T18" s="151">
        <v>228897</v>
      </c>
      <c r="U18" s="149">
        <f t="shared" si="1"/>
        <v>0</v>
      </c>
      <c r="V18" s="150"/>
      <c r="W18" s="151">
        <v>228897</v>
      </c>
      <c r="X18" s="149">
        <f t="shared" si="3"/>
        <v>0</v>
      </c>
    </row>
    <row r="19" spans="1:24" s="9" customFormat="1" ht="33" customHeight="1" x14ac:dyDescent="0.2">
      <c r="A19" s="209"/>
      <c r="B19" s="209"/>
      <c r="C19" s="209"/>
      <c r="D19" s="221"/>
      <c r="E19" s="221"/>
      <c r="F19" s="221"/>
      <c r="G19" s="221"/>
      <c r="H19" s="221"/>
      <c r="I19" s="221"/>
      <c r="J19" s="243"/>
      <c r="K19" s="253"/>
      <c r="L19" s="253"/>
      <c r="M19" s="115" t="s">
        <v>301</v>
      </c>
      <c r="N19" s="45" t="s">
        <v>298</v>
      </c>
      <c r="O19" s="35">
        <v>2075698.95</v>
      </c>
      <c r="P19" s="22"/>
      <c r="Q19" s="22"/>
      <c r="R19" s="22"/>
      <c r="S19" s="152"/>
      <c r="T19" s="151"/>
      <c r="U19" s="149">
        <f t="shared" si="1"/>
        <v>0</v>
      </c>
      <c r="V19" s="150"/>
      <c r="W19" s="154"/>
      <c r="X19" s="149">
        <f t="shared" si="3"/>
        <v>0</v>
      </c>
    </row>
    <row r="20" spans="1:24" s="1" customFormat="1" ht="26.45" customHeight="1" x14ac:dyDescent="0.2">
      <c r="A20" s="240" t="s">
        <v>48</v>
      </c>
      <c r="B20" s="217" t="s">
        <v>49</v>
      </c>
      <c r="C20" s="240" t="s">
        <v>50</v>
      </c>
      <c r="D20" s="217" t="s">
        <v>270</v>
      </c>
      <c r="E20" s="217" t="s">
        <v>271</v>
      </c>
      <c r="F20" s="217" t="s">
        <v>430</v>
      </c>
      <c r="G20" s="217" t="s">
        <v>42</v>
      </c>
      <c r="H20" s="217" t="s">
        <v>505</v>
      </c>
      <c r="I20" s="217" t="s">
        <v>0</v>
      </c>
      <c r="J20" s="217" t="s">
        <v>11</v>
      </c>
      <c r="K20" s="281" t="s">
        <v>293</v>
      </c>
      <c r="L20" s="281" t="s">
        <v>51</v>
      </c>
      <c r="M20" s="23" t="s">
        <v>289</v>
      </c>
      <c r="N20" s="46" t="s">
        <v>289</v>
      </c>
      <c r="O20" s="166">
        <f>SUM(O21:O28)</f>
        <v>31155163.379999999</v>
      </c>
      <c r="P20" s="21">
        <f t="shared" ref="P20:R20" si="4">SUM(P21:P28)</f>
        <v>71292305.660000011</v>
      </c>
      <c r="Q20" s="21">
        <f t="shared" si="4"/>
        <v>11080971.58</v>
      </c>
      <c r="R20" s="21">
        <f t="shared" si="4"/>
        <v>13422760.16</v>
      </c>
      <c r="S20" s="152"/>
      <c r="T20" s="151"/>
      <c r="U20" s="149">
        <f t="shared" si="1"/>
        <v>-71292305.660000011</v>
      </c>
      <c r="V20" s="150"/>
      <c r="W20" s="154">
        <f>SUM(W22:W28)</f>
        <v>71066411.600000009</v>
      </c>
      <c r="X20" s="149">
        <f t="shared" si="3"/>
        <v>-71066411.600000009</v>
      </c>
    </row>
    <row r="21" spans="1:24" s="1" customFormat="1" ht="26.45" customHeight="1" x14ac:dyDescent="0.2">
      <c r="A21" s="241"/>
      <c r="B21" s="218"/>
      <c r="C21" s="241"/>
      <c r="D21" s="218"/>
      <c r="E21" s="218"/>
      <c r="F21" s="218"/>
      <c r="G21" s="218"/>
      <c r="H21" s="218"/>
      <c r="I21" s="218"/>
      <c r="J21" s="218"/>
      <c r="K21" s="282"/>
      <c r="L21" s="282"/>
      <c r="M21" s="127" t="s">
        <v>531</v>
      </c>
      <c r="N21" s="131" t="s">
        <v>298</v>
      </c>
      <c r="O21" s="35"/>
      <c r="P21" s="135">
        <v>225894.06</v>
      </c>
      <c r="Q21" s="21"/>
      <c r="R21" s="21"/>
      <c r="S21" s="152"/>
      <c r="T21" s="151"/>
      <c r="U21" s="149"/>
      <c r="V21" s="150"/>
      <c r="W21" s="154"/>
      <c r="X21" s="149"/>
    </row>
    <row r="22" spans="1:24" s="1" customFormat="1" ht="26.45" customHeight="1" x14ac:dyDescent="0.2">
      <c r="A22" s="241"/>
      <c r="B22" s="218"/>
      <c r="C22" s="241"/>
      <c r="D22" s="218"/>
      <c r="E22" s="218"/>
      <c r="F22" s="218"/>
      <c r="G22" s="218"/>
      <c r="H22" s="218"/>
      <c r="I22" s="218"/>
      <c r="J22" s="218"/>
      <c r="K22" s="282"/>
      <c r="L22" s="282"/>
      <c r="M22" s="114" t="s">
        <v>371</v>
      </c>
      <c r="N22" s="28" t="s">
        <v>298</v>
      </c>
      <c r="O22" s="35"/>
      <c r="P22" s="135">
        <v>49254423.289999999</v>
      </c>
      <c r="Q22" s="22"/>
      <c r="R22" s="22"/>
      <c r="S22" s="152"/>
      <c r="T22" s="151">
        <v>49254423.289999999</v>
      </c>
      <c r="U22" s="149">
        <f t="shared" si="1"/>
        <v>0</v>
      </c>
      <c r="V22" s="150"/>
      <c r="W22" s="151">
        <v>49254423.289999999</v>
      </c>
      <c r="X22" s="149">
        <f t="shared" si="3"/>
        <v>0</v>
      </c>
    </row>
    <row r="23" spans="1:24" s="1" customFormat="1" ht="26.45" customHeight="1" x14ac:dyDescent="0.2">
      <c r="A23" s="241"/>
      <c r="B23" s="218"/>
      <c r="C23" s="241"/>
      <c r="D23" s="218"/>
      <c r="E23" s="218"/>
      <c r="F23" s="218"/>
      <c r="G23" s="218"/>
      <c r="H23" s="218"/>
      <c r="I23" s="218"/>
      <c r="J23" s="218"/>
      <c r="K23" s="282"/>
      <c r="L23" s="282"/>
      <c r="M23" s="114" t="s">
        <v>372</v>
      </c>
      <c r="N23" s="28" t="s">
        <v>298</v>
      </c>
      <c r="O23" s="35">
        <v>4434344.7</v>
      </c>
      <c r="P23" s="135">
        <v>4383679.66</v>
      </c>
      <c r="Q23" s="22">
        <f>7499520-3181296</f>
        <v>4318224</v>
      </c>
      <c r="R23" s="22">
        <f>7499520-3181296</f>
        <v>4318224</v>
      </c>
      <c r="S23" s="152"/>
      <c r="T23" s="151">
        <v>4383679.66</v>
      </c>
      <c r="U23" s="149">
        <f t="shared" si="1"/>
        <v>0</v>
      </c>
      <c r="V23" s="150"/>
      <c r="W23" s="151">
        <v>4383679.66</v>
      </c>
      <c r="X23" s="149">
        <f t="shared" si="3"/>
        <v>0</v>
      </c>
    </row>
    <row r="24" spans="1:24" s="1" customFormat="1" ht="26.45" customHeight="1" x14ac:dyDescent="0.2">
      <c r="A24" s="241"/>
      <c r="B24" s="218"/>
      <c r="C24" s="241"/>
      <c r="D24" s="218"/>
      <c r="E24" s="218"/>
      <c r="F24" s="218"/>
      <c r="G24" s="218"/>
      <c r="H24" s="218"/>
      <c r="I24" s="218"/>
      <c r="J24" s="218"/>
      <c r="K24" s="282"/>
      <c r="L24" s="282"/>
      <c r="M24" s="114" t="s">
        <v>373</v>
      </c>
      <c r="N24" s="28" t="s">
        <v>297</v>
      </c>
      <c r="O24" s="35">
        <f>11720299+990582</f>
        <v>12710881</v>
      </c>
      <c r="P24" s="135">
        <v>13265438</v>
      </c>
      <c r="Q24" s="22">
        <f>11232300-4560314</f>
        <v>6671986</v>
      </c>
      <c r="R24" s="22">
        <f>11147300-4525804+2372517</f>
        <v>8994013</v>
      </c>
      <c r="S24" s="152"/>
      <c r="T24" s="151">
        <v>13265438</v>
      </c>
      <c r="U24" s="149">
        <f t="shared" si="1"/>
        <v>0</v>
      </c>
      <c r="V24" s="150"/>
      <c r="W24" s="151">
        <v>13265438</v>
      </c>
      <c r="X24" s="149">
        <f t="shared" si="3"/>
        <v>0</v>
      </c>
    </row>
    <row r="25" spans="1:24" s="1" customFormat="1" ht="26.45" customHeight="1" x14ac:dyDescent="0.2">
      <c r="A25" s="241"/>
      <c r="B25" s="218"/>
      <c r="C25" s="241"/>
      <c r="D25" s="218"/>
      <c r="E25" s="218"/>
      <c r="F25" s="218"/>
      <c r="G25" s="218"/>
      <c r="H25" s="218"/>
      <c r="I25" s="218"/>
      <c r="J25" s="218"/>
      <c r="K25" s="282"/>
      <c r="L25" s="282"/>
      <c r="M25" s="114" t="s">
        <v>368</v>
      </c>
      <c r="N25" s="28" t="s">
        <v>298</v>
      </c>
      <c r="O25" s="35">
        <v>12890224.310000001</v>
      </c>
      <c r="P25" s="135">
        <v>2432629.77</v>
      </c>
      <c r="Q25" s="22"/>
      <c r="R25" s="22"/>
      <c r="S25" s="152"/>
      <c r="T25" s="151">
        <v>2432629.77</v>
      </c>
      <c r="U25" s="149">
        <f t="shared" si="1"/>
        <v>0</v>
      </c>
      <c r="V25" s="150"/>
      <c r="W25" s="151">
        <v>2432629.77</v>
      </c>
      <c r="X25" s="149">
        <f t="shared" si="3"/>
        <v>0</v>
      </c>
    </row>
    <row r="26" spans="1:24" s="1" customFormat="1" ht="26.45" customHeight="1" x14ac:dyDescent="0.2">
      <c r="A26" s="241"/>
      <c r="B26" s="218"/>
      <c r="C26" s="241"/>
      <c r="D26" s="218"/>
      <c r="E26" s="218"/>
      <c r="F26" s="218"/>
      <c r="G26" s="218"/>
      <c r="H26" s="218"/>
      <c r="I26" s="218"/>
      <c r="J26" s="218"/>
      <c r="K26" s="282"/>
      <c r="L26" s="282"/>
      <c r="M26" s="114" t="s">
        <v>369</v>
      </c>
      <c r="N26" s="28" t="s">
        <v>298</v>
      </c>
      <c r="O26" s="35">
        <v>442066</v>
      </c>
      <c r="P26" s="135">
        <v>1612151.4</v>
      </c>
      <c r="Q26" s="22"/>
      <c r="R26" s="22"/>
      <c r="S26" s="152"/>
      <c r="T26" s="151">
        <v>1612151.4</v>
      </c>
      <c r="U26" s="149">
        <f t="shared" si="1"/>
        <v>0</v>
      </c>
      <c r="V26" s="150"/>
      <c r="W26" s="151">
        <v>1612151.4</v>
      </c>
      <c r="X26" s="149">
        <f t="shared" si="3"/>
        <v>0</v>
      </c>
    </row>
    <row r="27" spans="1:24" s="1" customFormat="1" ht="26.45" customHeight="1" x14ac:dyDescent="0.2">
      <c r="A27" s="241"/>
      <c r="B27" s="218"/>
      <c r="C27" s="241"/>
      <c r="D27" s="218"/>
      <c r="E27" s="218"/>
      <c r="F27" s="218"/>
      <c r="G27" s="218"/>
      <c r="H27" s="218"/>
      <c r="I27" s="218"/>
      <c r="J27" s="218"/>
      <c r="K27" s="282"/>
      <c r="L27" s="282"/>
      <c r="M27" s="114" t="s">
        <v>374</v>
      </c>
      <c r="N27" s="28" t="s">
        <v>298</v>
      </c>
      <c r="O27" s="35">
        <v>560400</v>
      </c>
      <c r="P27" s="135"/>
      <c r="Q27" s="22"/>
      <c r="R27" s="22"/>
      <c r="S27" s="152"/>
      <c r="T27" s="151"/>
      <c r="U27" s="149">
        <f t="shared" si="1"/>
        <v>0</v>
      </c>
      <c r="V27" s="150"/>
      <c r="W27" s="151"/>
      <c r="X27" s="149">
        <f t="shared" si="3"/>
        <v>0</v>
      </c>
    </row>
    <row r="28" spans="1:24" s="1" customFormat="1" ht="26.45" customHeight="1" x14ac:dyDescent="0.2">
      <c r="A28" s="242"/>
      <c r="B28" s="219"/>
      <c r="C28" s="242"/>
      <c r="D28" s="219"/>
      <c r="E28" s="219"/>
      <c r="F28" s="219"/>
      <c r="G28" s="219"/>
      <c r="H28" s="219"/>
      <c r="I28" s="219"/>
      <c r="J28" s="219"/>
      <c r="K28" s="283"/>
      <c r="L28" s="283"/>
      <c r="M28" s="114" t="s">
        <v>375</v>
      </c>
      <c r="N28" s="28" t="s">
        <v>298</v>
      </c>
      <c r="O28" s="35">
        <v>117247.37</v>
      </c>
      <c r="P28" s="135">
        <v>118089.48</v>
      </c>
      <c r="Q28" s="22">
        <f>172447+9076.16-90761.58</f>
        <v>90761.58</v>
      </c>
      <c r="R28" s="22">
        <f>209994+11052.32-110523.16</f>
        <v>110523.16</v>
      </c>
      <c r="S28" s="152"/>
      <c r="T28" s="151">
        <v>118089.48</v>
      </c>
      <c r="U28" s="149">
        <f t="shared" si="1"/>
        <v>0</v>
      </c>
      <c r="V28" s="150"/>
      <c r="W28" s="151">
        <v>118089.48</v>
      </c>
      <c r="X28" s="149">
        <f t="shared" si="3"/>
        <v>0</v>
      </c>
    </row>
    <row r="29" spans="1:24" s="1" customFormat="1" ht="26.45" customHeight="1" x14ac:dyDescent="0.2">
      <c r="A29" s="289" t="s">
        <v>53</v>
      </c>
      <c r="B29" s="217" t="s">
        <v>54</v>
      </c>
      <c r="C29" s="287" t="s">
        <v>55</v>
      </c>
      <c r="D29" s="217" t="s">
        <v>270</v>
      </c>
      <c r="E29" s="217" t="s">
        <v>271</v>
      </c>
      <c r="F29" s="217" t="s">
        <v>430</v>
      </c>
      <c r="G29" s="217" t="s">
        <v>42</v>
      </c>
      <c r="H29" s="217" t="s">
        <v>505</v>
      </c>
      <c r="I29" s="217" t="s">
        <v>0</v>
      </c>
      <c r="J29" s="217" t="s">
        <v>11</v>
      </c>
      <c r="K29" s="281" t="s">
        <v>293</v>
      </c>
      <c r="L29" s="281" t="s">
        <v>51</v>
      </c>
      <c r="M29" s="23" t="s">
        <v>289</v>
      </c>
      <c r="N29" s="46" t="s">
        <v>289</v>
      </c>
      <c r="O29" s="35">
        <f>SUM(O30:O40)</f>
        <v>20045800.100000001</v>
      </c>
      <c r="P29" s="22">
        <f t="shared" ref="P29" si="5">SUM(P30:P40)</f>
        <v>19254790.609999999</v>
      </c>
      <c r="Q29" s="22">
        <f t="shared" ref="Q29:R29" si="6">SUM(Q30:Q40)</f>
        <v>8161318.9500000002</v>
      </c>
      <c r="R29" s="22">
        <f t="shared" si="6"/>
        <v>10097581.050000001</v>
      </c>
      <c r="S29" s="152"/>
      <c r="T29" s="151"/>
      <c r="U29" s="149">
        <f t="shared" si="1"/>
        <v>-19254790.609999999</v>
      </c>
      <c r="V29" s="150"/>
      <c r="W29" s="154">
        <f t="shared" ref="W29" si="7">SUM(W30:W40)</f>
        <v>19372006.390000001</v>
      </c>
      <c r="X29" s="149">
        <f t="shared" si="3"/>
        <v>-19372006.390000001</v>
      </c>
    </row>
    <row r="30" spans="1:24" s="1" customFormat="1" ht="26.45" customHeight="1" x14ac:dyDescent="0.2">
      <c r="A30" s="289"/>
      <c r="B30" s="218"/>
      <c r="C30" s="287"/>
      <c r="D30" s="218"/>
      <c r="E30" s="218"/>
      <c r="F30" s="218"/>
      <c r="G30" s="218"/>
      <c r="H30" s="218"/>
      <c r="I30" s="218"/>
      <c r="J30" s="218"/>
      <c r="K30" s="282"/>
      <c r="L30" s="282"/>
      <c r="M30" s="127" t="s">
        <v>531</v>
      </c>
      <c r="N30" s="131" t="s">
        <v>298</v>
      </c>
      <c r="O30" s="35"/>
      <c r="P30" s="135">
        <v>108678.28</v>
      </c>
      <c r="Q30" s="22"/>
      <c r="R30" s="22"/>
      <c r="S30" s="152"/>
      <c r="T30" s="151">
        <v>225894.06</v>
      </c>
      <c r="U30" s="149">
        <f t="shared" si="1"/>
        <v>117215.78</v>
      </c>
      <c r="V30" s="150"/>
      <c r="W30" s="151">
        <v>225894.06</v>
      </c>
      <c r="X30" s="149">
        <f t="shared" si="3"/>
        <v>0</v>
      </c>
    </row>
    <row r="31" spans="1:24" s="1" customFormat="1" ht="26.45" customHeight="1" x14ac:dyDescent="0.2">
      <c r="A31" s="289"/>
      <c r="B31" s="218"/>
      <c r="C31" s="287"/>
      <c r="D31" s="218"/>
      <c r="E31" s="218"/>
      <c r="F31" s="218"/>
      <c r="G31" s="218"/>
      <c r="H31" s="218"/>
      <c r="I31" s="218"/>
      <c r="J31" s="218"/>
      <c r="K31" s="282"/>
      <c r="L31" s="282"/>
      <c r="M31" s="114" t="s">
        <v>370</v>
      </c>
      <c r="N31" s="114" t="s">
        <v>298</v>
      </c>
      <c r="O31" s="35"/>
      <c r="P31" s="135">
        <v>2574341</v>
      </c>
      <c r="Q31" s="22"/>
      <c r="R31" s="22"/>
      <c r="S31" s="152"/>
      <c r="T31" s="151">
        <v>2574341</v>
      </c>
      <c r="U31" s="149">
        <f t="shared" si="1"/>
        <v>0</v>
      </c>
      <c r="V31" s="150"/>
      <c r="W31" s="151">
        <v>2574341</v>
      </c>
      <c r="X31" s="149">
        <f t="shared" si="3"/>
        <v>0</v>
      </c>
    </row>
    <row r="32" spans="1:24" s="24" customFormat="1" ht="26.45" customHeight="1" x14ac:dyDescent="0.2">
      <c r="A32" s="289"/>
      <c r="B32" s="218"/>
      <c r="C32" s="287"/>
      <c r="D32" s="218"/>
      <c r="E32" s="218"/>
      <c r="F32" s="218"/>
      <c r="G32" s="218"/>
      <c r="H32" s="218"/>
      <c r="I32" s="218"/>
      <c r="J32" s="218"/>
      <c r="K32" s="282"/>
      <c r="L32" s="282"/>
      <c r="M32" s="114" t="s">
        <v>372</v>
      </c>
      <c r="N32" s="114" t="s">
        <v>298</v>
      </c>
      <c r="O32" s="35">
        <v>3259492.13</v>
      </c>
      <c r="P32" s="135">
        <v>2987200.34</v>
      </c>
      <c r="Q32" s="22">
        <v>3181296</v>
      </c>
      <c r="R32" s="22">
        <v>3181296</v>
      </c>
      <c r="S32" s="152"/>
      <c r="T32" s="151">
        <v>2987200.34</v>
      </c>
      <c r="U32" s="149">
        <f t="shared" si="1"/>
        <v>0</v>
      </c>
      <c r="V32" s="152"/>
      <c r="W32" s="151">
        <v>2987200.34</v>
      </c>
      <c r="X32" s="149">
        <f t="shared" si="3"/>
        <v>0</v>
      </c>
    </row>
    <row r="33" spans="1:24" s="24" customFormat="1" ht="26.45" customHeight="1" x14ac:dyDescent="0.2">
      <c r="A33" s="289"/>
      <c r="B33" s="218"/>
      <c r="C33" s="287"/>
      <c r="D33" s="218"/>
      <c r="E33" s="218"/>
      <c r="F33" s="218"/>
      <c r="G33" s="218"/>
      <c r="H33" s="218"/>
      <c r="I33" s="218"/>
      <c r="J33" s="218"/>
      <c r="K33" s="282"/>
      <c r="L33" s="282"/>
      <c r="M33" s="114" t="s">
        <v>373</v>
      </c>
      <c r="N33" s="114" t="s">
        <v>297</v>
      </c>
      <c r="O33" s="35">
        <f>7846975+265137</f>
        <v>8112112</v>
      </c>
      <c r="P33" s="135">
        <v>8628737</v>
      </c>
      <c r="Q33" s="22">
        <v>4560314</v>
      </c>
      <c r="R33" s="22">
        <f>4525804+2000000</f>
        <v>6525804</v>
      </c>
      <c r="S33" s="152"/>
      <c r="T33" s="151">
        <v>8628737</v>
      </c>
      <c r="U33" s="149">
        <f t="shared" si="1"/>
        <v>0</v>
      </c>
      <c r="V33" s="152"/>
      <c r="W33" s="151">
        <v>8628737</v>
      </c>
      <c r="X33" s="149">
        <f t="shared" si="3"/>
        <v>0</v>
      </c>
    </row>
    <row r="34" spans="1:24" s="24" customFormat="1" ht="26.45" customHeight="1" x14ac:dyDescent="0.2">
      <c r="A34" s="289"/>
      <c r="B34" s="218"/>
      <c r="C34" s="287"/>
      <c r="D34" s="218"/>
      <c r="E34" s="218"/>
      <c r="F34" s="218"/>
      <c r="G34" s="218"/>
      <c r="H34" s="218"/>
      <c r="I34" s="218"/>
      <c r="J34" s="218"/>
      <c r="K34" s="282"/>
      <c r="L34" s="282"/>
      <c r="M34" s="114" t="s">
        <v>368</v>
      </c>
      <c r="N34" s="114" t="s">
        <v>298</v>
      </c>
      <c r="O34" s="35">
        <v>212119.16</v>
      </c>
      <c r="P34" s="135">
        <v>490195.23</v>
      </c>
      <c r="Q34" s="22"/>
      <c r="R34" s="22"/>
      <c r="S34" s="152"/>
      <c r="T34" s="151">
        <v>490195.23</v>
      </c>
      <c r="U34" s="149">
        <f t="shared" si="1"/>
        <v>0</v>
      </c>
      <c r="V34" s="152"/>
      <c r="W34" s="151">
        <v>490195.23</v>
      </c>
      <c r="X34" s="149">
        <f t="shared" si="3"/>
        <v>0</v>
      </c>
    </row>
    <row r="35" spans="1:24" s="24" customFormat="1" ht="26.45" customHeight="1" x14ac:dyDescent="0.2">
      <c r="A35" s="289"/>
      <c r="B35" s="218"/>
      <c r="C35" s="287"/>
      <c r="D35" s="218"/>
      <c r="E35" s="218"/>
      <c r="F35" s="218"/>
      <c r="G35" s="218"/>
      <c r="H35" s="218"/>
      <c r="I35" s="218"/>
      <c r="J35" s="218"/>
      <c r="K35" s="282"/>
      <c r="L35" s="282"/>
      <c r="M35" s="114" t="s">
        <v>369</v>
      </c>
      <c r="N35" s="114" t="s">
        <v>298</v>
      </c>
      <c r="O35" s="35">
        <v>326733.09999999998</v>
      </c>
      <c r="P35" s="135">
        <v>513075.6</v>
      </c>
      <c r="Q35" s="22"/>
      <c r="R35" s="22"/>
      <c r="S35" s="152"/>
      <c r="T35" s="151">
        <v>513075.6</v>
      </c>
      <c r="U35" s="149">
        <f t="shared" si="1"/>
        <v>0</v>
      </c>
      <c r="V35" s="152"/>
      <c r="W35" s="151">
        <v>513075.6</v>
      </c>
      <c r="X35" s="149">
        <f t="shared" si="3"/>
        <v>0</v>
      </c>
    </row>
    <row r="36" spans="1:24" s="24" customFormat="1" ht="26.45" customHeight="1" x14ac:dyDescent="0.2">
      <c r="A36" s="289"/>
      <c r="B36" s="218"/>
      <c r="C36" s="287"/>
      <c r="D36" s="218"/>
      <c r="E36" s="218"/>
      <c r="F36" s="218"/>
      <c r="G36" s="218"/>
      <c r="H36" s="218"/>
      <c r="I36" s="218"/>
      <c r="J36" s="218"/>
      <c r="K36" s="282"/>
      <c r="L36" s="282"/>
      <c r="M36" s="114" t="s">
        <v>374</v>
      </c>
      <c r="N36" s="28" t="s">
        <v>298</v>
      </c>
      <c r="O36" s="35"/>
      <c r="P36" s="135">
        <v>670000</v>
      </c>
      <c r="Q36" s="22"/>
      <c r="R36" s="22"/>
      <c r="S36" s="152"/>
      <c r="T36" s="151">
        <v>670000</v>
      </c>
      <c r="U36" s="149">
        <f t="shared" si="1"/>
        <v>0</v>
      </c>
      <c r="V36" s="152"/>
      <c r="W36" s="151">
        <v>670000</v>
      </c>
      <c r="X36" s="149">
        <f t="shared" si="3"/>
        <v>0</v>
      </c>
    </row>
    <row r="37" spans="1:24" s="24" customFormat="1" ht="26.45" customHeight="1" x14ac:dyDescent="0.2">
      <c r="A37" s="289"/>
      <c r="B37" s="218"/>
      <c r="C37" s="287"/>
      <c r="D37" s="218"/>
      <c r="E37" s="218"/>
      <c r="F37" s="218"/>
      <c r="G37" s="218"/>
      <c r="H37" s="218"/>
      <c r="I37" s="218"/>
      <c r="J37" s="218"/>
      <c r="K37" s="282"/>
      <c r="L37" s="282"/>
      <c r="M37" s="114" t="s">
        <v>302</v>
      </c>
      <c r="N37" s="114" t="s">
        <v>298</v>
      </c>
      <c r="O37" s="35">
        <v>6429236.7000000002</v>
      </c>
      <c r="P37" s="135"/>
      <c r="Q37" s="22"/>
      <c r="R37" s="22"/>
      <c r="S37" s="152"/>
      <c r="T37" s="151"/>
      <c r="U37" s="149">
        <f t="shared" si="1"/>
        <v>0</v>
      </c>
      <c r="V37" s="152"/>
      <c r="W37" s="151"/>
      <c r="X37" s="149">
        <f t="shared" si="3"/>
        <v>0</v>
      </c>
    </row>
    <row r="38" spans="1:24" s="24" customFormat="1" ht="26.45" customHeight="1" x14ac:dyDescent="0.2">
      <c r="A38" s="289"/>
      <c r="B38" s="218"/>
      <c r="C38" s="287"/>
      <c r="D38" s="218"/>
      <c r="E38" s="218"/>
      <c r="F38" s="218"/>
      <c r="G38" s="218"/>
      <c r="H38" s="218"/>
      <c r="I38" s="218"/>
      <c r="J38" s="218"/>
      <c r="K38" s="282"/>
      <c r="L38" s="282"/>
      <c r="M38" s="114" t="s">
        <v>376</v>
      </c>
      <c r="N38" s="114" t="s">
        <v>298</v>
      </c>
      <c r="O38" s="35">
        <v>1535225.26</v>
      </c>
      <c r="P38" s="135">
        <v>3000000</v>
      </c>
      <c r="Q38" s="22"/>
      <c r="R38" s="22"/>
      <c r="S38" s="152"/>
      <c r="T38" s="151">
        <v>3000000</v>
      </c>
      <c r="U38" s="149">
        <f t="shared" si="1"/>
        <v>0</v>
      </c>
      <c r="V38" s="152"/>
      <c r="W38" s="151">
        <v>3000000</v>
      </c>
      <c r="X38" s="149">
        <f t="shared" si="3"/>
        <v>0</v>
      </c>
    </row>
    <row r="39" spans="1:24" s="1" customFormat="1" ht="26.45" customHeight="1" x14ac:dyDescent="0.2">
      <c r="A39" s="289"/>
      <c r="B39" s="218"/>
      <c r="C39" s="287"/>
      <c r="D39" s="218"/>
      <c r="E39" s="218"/>
      <c r="F39" s="218"/>
      <c r="G39" s="218"/>
      <c r="H39" s="218"/>
      <c r="I39" s="218"/>
      <c r="J39" s="218"/>
      <c r="K39" s="282"/>
      <c r="L39" s="282"/>
      <c r="M39" s="114" t="s">
        <v>375</v>
      </c>
      <c r="N39" s="28" t="s">
        <v>298</v>
      </c>
      <c r="O39" s="35"/>
      <c r="P39" s="135">
        <v>118089.48</v>
      </c>
      <c r="Q39" s="22">
        <v>90761.58</v>
      </c>
      <c r="R39" s="22">
        <v>110523.16</v>
      </c>
      <c r="S39" s="152"/>
      <c r="T39" s="151">
        <v>118089.48</v>
      </c>
      <c r="U39" s="149">
        <f t="shared" si="1"/>
        <v>0</v>
      </c>
      <c r="V39" s="150"/>
      <c r="W39" s="151">
        <v>118089.48</v>
      </c>
      <c r="X39" s="149">
        <f t="shared" si="3"/>
        <v>0</v>
      </c>
    </row>
    <row r="40" spans="1:24" s="24" customFormat="1" ht="26.45" customHeight="1" x14ac:dyDescent="0.2">
      <c r="A40" s="289"/>
      <c r="B40" s="219"/>
      <c r="C40" s="287"/>
      <c r="D40" s="219"/>
      <c r="E40" s="219"/>
      <c r="F40" s="219"/>
      <c r="G40" s="219"/>
      <c r="H40" s="219"/>
      <c r="I40" s="219"/>
      <c r="J40" s="219"/>
      <c r="K40" s="283"/>
      <c r="L40" s="283"/>
      <c r="M40" s="114" t="s">
        <v>377</v>
      </c>
      <c r="N40" s="28" t="s">
        <v>298</v>
      </c>
      <c r="O40" s="35">
        <v>170881.75</v>
      </c>
      <c r="P40" s="135">
        <v>164473.68</v>
      </c>
      <c r="Q40" s="22">
        <f>312500+16447.37</f>
        <v>328947.37</v>
      </c>
      <c r="R40" s="22">
        <f>265960+13997.89</f>
        <v>279957.89</v>
      </c>
      <c r="S40" s="152"/>
      <c r="T40" s="151">
        <v>164473.68</v>
      </c>
      <c r="U40" s="149">
        <f t="shared" si="1"/>
        <v>0</v>
      </c>
      <c r="V40" s="152"/>
      <c r="W40" s="151">
        <v>164473.68</v>
      </c>
      <c r="X40" s="149">
        <f t="shared" si="3"/>
        <v>0</v>
      </c>
    </row>
    <row r="41" spans="1:24" s="1" customFormat="1" ht="26.45" customHeight="1" x14ac:dyDescent="0.2">
      <c r="A41" s="255" t="s">
        <v>56</v>
      </c>
      <c r="B41" s="244" t="s">
        <v>57</v>
      </c>
      <c r="C41" s="261" t="s">
        <v>58</v>
      </c>
      <c r="D41" s="244" t="s">
        <v>270</v>
      </c>
      <c r="E41" s="244" t="s">
        <v>271</v>
      </c>
      <c r="F41" s="244" t="s">
        <v>430</v>
      </c>
      <c r="G41" s="244" t="s">
        <v>42</v>
      </c>
      <c r="H41" s="244" t="s">
        <v>507</v>
      </c>
      <c r="I41" s="244" t="s">
        <v>0</v>
      </c>
      <c r="J41" s="244" t="s">
        <v>11</v>
      </c>
      <c r="K41" s="124" t="s">
        <v>289</v>
      </c>
      <c r="L41" s="124" t="s">
        <v>306</v>
      </c>
      <c r="M41" s="124" t="s">
        <v>289</v>
      </c>
      <c r="N41" s="47" t="s">
        <v>289</v>
      </c>
      <c r="O41" s="34">
        <f>SUM(O42:O49)</f>
        <v>13652522</v>
      </c>
      <c r="P41" s="26">
        <f>SUM(P42:P49)</f>
        <v>20283241.16</v>
      </c>
      <c r="Q41" s="26">
        <f>SUM(Q42:Q49)</f>
        <v>12370600</v>
      </c>
      <c r="R41" s="26">
        <f>SUM(R42:R49)</f>
        <v>12370600</v>
      </c>
      <c r="S41" s="152"/>
      <c r="T41" s="151"/>
      <c r="U41" s="149">
        <f t="shared" si="1"/>
        <v>-20283241.16</v>
      </c>
      <c r="V41" s="150"/>
      <c r="W41" s="154">
        <f>SUM(W42:W49)</f>
        <v>20283241.16</v>
      </c>
      <c r="X41" s="149">
        <f t="shared" si="3"/>
        <v>-20283241.16</v>
      </c>
    </row>
    <row r="42" spans="1:24" s="1" customFormat="1" ht="26.45" customHeight="1" x14ac:dyDescent="0.2">
      <c r="A42" s="255"/>
      <c r="B42" s="209"/>
      <c r="C42" s="256"/>
      <c r="D42" s="209"/>
      <c r="E42" s="209"/>
      <c r="F42" s="209"/>
      <c r="G42" s="209"/>
      <c r="H42" s="209"/>
      <c r="I42" s="209"/>
      <c r="J42" s="209"/>
      <c r="K42" s="222" t="s">
        <v>285</v>
      </c>
      <c r="L42" s="222" t="s">
        <v>59</v>
      </c>
      <c r="M42" s="15" t="s">
        <v>380</v>
      </c>
      <c r="N42" s="15" t="s">
        <v>297</v>
      </c>
      <c r="O42" s="36">
        <v>6107253</v>
      </c>
      <c r="P42" s="135">
        <v>7340298</v>
      </c>
      <c r="Q42" s="22">
        <v>6372600</v>
      </c>
      <c r="R42" s="22">
        <v>6372600</v>
      </c>
      <c r="S42" s="152"/>
      <c r="T42" s="151">
        <v>7340298</v>
      </c>
      <c r="U42" s="149">
        <f t="shared" si="1"/>
        <v>0</v>
      </c>
      <c r="V42" s="150"/>
      <c r="W42" s="151">
        <v>7340298</v>
      </c>
      <c r="X42" s="149">
        <f t="shared" si="3"/>
        <v>0</v>
      </c>
    </row>
    <row r="43" spans="1:24" s="1" customFormat="1" ht="26.45" customHeight="1" x14ac:dyDescent="0.2">
      <c r="A43" s="255"/>
      <c r="B43" s="209"/>
      <c r="C43" s="256"/>
      <c r="D43" s="209"/>
      <c r="E43" s="209"/>
      <c r="F43" s="209"/>
      <c r="G43" s="209"/>
      <c r="H43" s="209"/>
      <c r="I43" s="209"/>
      <c r="J43" s="209"/>
      <c r="K43" s="223"/>
      <c r="L43" s="223"/>
      <c r="M43" s="15" t="s">
        <v>379</v>
      </c>
      <c r="N43" s="15" t="s">
        <v>298</v>
      </c>
      <c r="O43" s="36"/>
      <c r="P43" s="135">
        <v>5742330</v>
      </c>
      <c r="Q43" s="22"/>
      <c r="R43" s="22"/>
      <c r="S43" s="152"/>
      <c r="T43" s="151">
        <v>5742330</v>
      </c>
      <c r="U43" s="149">
        <f t="shared" si="1"/>
        <v>0</v>
      </c>
      <c r="V43" s="150"/>
      <c r="W43" s="151">
        <v>5742330</v>
      </c>
      <c r="X43" s="149">
        <f t="shared" si="3"/>
        <v>0</v>
      </c>
    </row>
    <row r="44" spans="1:24" s="1" customFormat="1" ht="26.45" customHeight="1" x14ac:dyDescent="0.2">
      <c r="A44" s="255"/>
      <c r="B44" s="209"/>
      <c r="C44" s="256"/>
      <c r="D44" s="209"/>
      <c r="E44" s="209"/>
      <c r="F44" s="209"/>
      <c r="G44" s="209"/>
      <c r="H44" s="209"/>
      <c r="I44" s="209"/>
      <c r="J44" s="209"/>
      <c r="K44" s="223"/>
      <c r="L44" s="223"/>
      <c r="M44" s="15" t="s">
        <v>381</v>
      </c>
      <c r="N44" s="15" t="s">
        <v>298</v>
      </c>
      <c r="O44" s="37">
        <v>127434</v>
      </c>
      <c r="P44" s="22">
        <v>82247</v>
      </c>
      <c r="Q44" s="22"/>
      <c r="R44" s="22"/>
      <c r="S44" s="152"/>
      <c r="T44" s="154">
        <v>82247</v>
      </c>
      <c r="U44" s="149">
        <f t="shared" si="1"/>
        <v>0</v>
      </c>
      <c r="V44" s="150"/>
      <c r="W44" s="154">
        <v>82247</v>
      </c>
      <c r="X44" s="149">
        <f t="shared" si="3"/>
        <v>0</v>
      </c>
    </row>
    <row r="45" spans="1:24" s="1" customFormat="1" ht="26.45" customHeight="1" x14ac:dyDescent="0.2">
      <c r="A45" s="255"/>
      <c r="B45" s="209"/>
      <c r="C45" s="256"/>
      <c r="D45" s="209"/>
      <c r="E45" s="209"/>
      <c r="F45" s="209"/>
      <c r="G45" s="209"/>
      <c r="H45" s="209"/>
      <c r="I45" s="209"/>
      <c r="J45" s="209"/>
      <c r="K45" s="224"/>
      <c r="L45" s="224"/>
      <c r="M45" s="15" t="s">
        <v>382</v>
      </c>
      <c r="N45" s="15" t="s">
        <v>298</v>
      </c>
      <c r="O45" s="37">
        <v>30276</v>
      </c>
      <c r="P45" s="22">
        <v>48117</v>
      </c>
      <c r="Q45" s="22"/>
      <c r="R45" s="22"/>
      <c r="S45" s="152"/>
      <c r="T45" s="154">
        <v>48117</v>
      </c>
      <c r="U45" s="149">
        <f t="shared" si="1"/>
        <v>0</v>
      </c>
      <c r="V45" s="150"/>
      <c r="W45" s="154">
        <v>48117</v>
      </c>
      <c r="X45" s="149">
        <f t="shared" si="3"/>
        <v>0</v>
      </c>
    </row>
    <row r="46" spans="1:24" s="1" customFormat="1" ht="26.45" customHeight="1" x14ac:dyDescent="0.2">
      <c r="A46" s="255"/>
      <c r="B46" s="209"/>
      <c r="C46" s="256"/>
      <c r="D46" s="209" t="s">
        <v>429</v>
      </c>
      <c r="E46" s="209"/>
      <c r="F46" s="209"/>
      <c r="G46" s="209"/>
      <c r="H46" s="209"/>
      <c r="I46" s="209"/>
      <c r="J46" s="209"/>
      <c r="K46" s="186" t="s">
        <v>293</v>
      </c>
      <c r="L46" s="186" t="s">
        <v>59</v>
      </c>
      <c r="M46" s="15" t="s">
        <v>383</v>
      </c>
      <c r="N46" s="15" t="s">
        <v>297</v>
      </c>
      <c r="O46" s="37">
        <v>6030173</v>
      </c>
      <c r="P46" s="22">
        <v>6681419</v>
      </c>
      <c r="Q46" s="22">
        <v>5998000</v>
      </c>
      <c r="R46" s="22">
        <v>5998000</v>
      </c>
      <c r="S46" s="152"/>
      <c r="T46" s="154">
        <v>6681419</v>
      </c>
      <c r="U46" s="149">
        <f t="shared" si="1"/>
        <v>0</v>
      </c>
      <c r="V46" s="150"/>
      <c r="W46" s="154">
        <v>6681419</v>
      </c>
      <c r="X46" s="149">
        <f t="shared" si="3"/>
        <v>0</v>
      </c>
    </row>
    <row r="47" spans="1:24" s="1" customFormat="1" ht="26.45" customHeight="1" x14ac:dyDescent="0.2">
      <c r="A47" s="255"/>
      <c r="B47" s="209"/>
      <c r="C47" s="256"/>
      <c r="D47" s="209"/>
      <c r="E47" s="209"/>
      <c r="F47" s="209"/>
      <c r="G47" s="209"/>
      <c r="H47" s="209"/>
      <c r="I47" s="209"/>
      <c r="J47" s="209"/>
      <c r="K47" s="274"/>
      <c r="L47" s="274"/>
      <c r="M47" s="15" t="s">
        <v>368</v>
      </c>
      <c r="N47" s="15" t="s">
        <v>298</v>
      </c>
      <c r="O47" s="37">
        <v>1029943</v>
      </c>
      <c r="P47" s="22">
        <v>121040</v>
      </c>
      <c r="Q47" s="22"/>
      <c r="R47" s="22"/>
      <c r="S47" s="152"/>
      <c r="T47" s="154">
        <v>121040</v>
      </c>
      <c r="U47" s="149">
        <f t="shared" si="1"/>
        <v>0</v>
      </c>
      <c r="V47" s="150"/>
      <c r="W47" s="154">
        <v>121040</v>
      </c>
      <c r="X47" s="149">
        <f t="shared" si="3"/>
        <v>0</v>
      </c>
    </row>
    <row r="48" spans="1:24" s="1" customFormat="1" ht="26.45" customHeight="1" x14ac:dyDescent="0.2">
      <c r="A48" s="255"/>
      <c r="B48" s="209"/>
      <c r="C48" s="256"/>
      <c r="D48" s="209"/>
      <c r="E48" s="209"/>
      <c r="F48" s="209"/>
      <c r="G48" s="209"/>
      <c r="H48" s="209"/>
      <c r="I48" s="209"/>
      <c r="J48" s="209"/>
      <c r="K48" s="274"/>
      <c r="L48" s="274"/>
      <c r="M48" s="15" t="s">
        <v>369</v>
      </c>
      <c r="N48" s="15" t="s">
        <v>298</v>
      </c>
      <c r="O48" s="37">
        <v>120445</v>
      </c>
      <c r="P48" s="22">
        <f>4000+80667</f>
        <v>84667</v>
      </c>
      <c r="Q48" s="22"/>
      <c r="R48" s="22"/>
      <c r="S48" s="152"/>
      <c r="T48" s="154">
        <f>4000+80667</f>
        <v>84667</v>
      </c>
      <c r="U48" s="149">
        <f t="shared" si="1"/>
        <v>0</v>
      </c>
      <c r="V48" s="150"/>
      <c r="W48" s="154">
        <f>4000+80667</f>
        <v>84667</v>
      </c>
      <c r="X48" s="149">
        <f t="shared" si="3"/>
        <v>0</v>
      </c>
    </row>
    <row r="49" spans="1:24" s="1" customFormat="1" ht="26.45" customHeight="1" x14ac:dyDescent="0.2">
      <c r="A49" s="290"/>
      <c r="B49" s="209"/>
      <c r="C49" s="259"/>
      <c r="D49" s="221"/>
      <c r="E49" s="185"/>
      <c r="F49" s="185"/>
      <c r="G49" s="185"/>
      <c r="H49" s="185"/>
      <c r="I49" s="185"/>
      <c r="J49" s="185"/>
      <c r="K49" s="187"/>
      <c r="L49" s="187"/>
      <c r="M49" s="15" t="s">
        <v>384</v>
      </c>
      <c r="N49" s="15" t="s">
        <v>298</v>
      </c>
      <c r="O49" s="37">
        <v>206998</v>
      </c>
      <c r="P49" s="22">
        <f>10660+173967-1503.84</f>
        <v>183123.16</v>
      </c>
      <c r="Q49" s="22"/>
      <c r="R49" s="22"/>
      <c r="S49" s="152"/>
      <c r="T49" s="154">
        <f>10660+173967-1503.84</f>
        <v>183123.16</v>
      </c>
      <c r="U49" s="149">
        <f t="shared" si="1"/>
        <v>0</v>
      </c>
      <c r="V49" s="150"/>
      <c r="W49" s="154">
        <f>10660+173967-1503.84</f>
        <v>183123.16</v>
      </c>
      <c r="X49" s="149">
        <f t="shared" si="3"/>
        <v>0</v>
      </c>
    </row>
    <row r="50" spans="1:24" s="1" customFormat="1" ht="74.25" customHeight="1" x14ac:dyDescent="0.2">
      <c r="A50" s="50" t="s">
        <v>60</v>
      </c>
      <c r="B50" s="125" t="s">
        <v>61</v>
      </c>
      <c r="C50" s="125" t="s">
        <v>62</v>
      </c>
      <c r="D50" s="109" t="s">
        <v>270</v>
      </c>
      <c r="E50" s="95" t="s">
        <v>271</v>
      </c>
      <c r="F50" s="120" t="s">
        <v>437</v>
      </c>
      <c r="G50" s="120" t="s">
        <v>42</v>
      </c>
      <c r="H50" s="120" t="s">
        <v>506</v>
      </c>
      <c r="I50" s="120" t="s">
        <v>0</v>
      </c>
      <c r="J50" s="120" t="s">
        <v>11</v>
      </c>
      <c r="K50" s="15" t="s">
        <v>293</v>
      </c>
      <c r="L50" s="15" t="s">
        <v>51</v>
      </c>
      <c r="M50" s="15" t="s">
        <v>366</v>
      </c>
      <c r="N50" s="15" t="s">
        <v>298</v>
      </c>
      <c r="O50" s="37">
        <v>523980</v>
      </c>
      <c r="P50" s="22">
        <f>332280+191700</f>
        <v>523980</v>
      </c>
      <c r="Q50" s="22">
        <f t="shared" ref="Q50:R50" si="8">332280+191700</f>
        <v>523980</v>
      </c>
      <c r="R50" s="22">
        <f t="shared" si="8"/>
        <v>523980</v>
      </c>
      <c r="S50" s="152"/>
      <c r="T50" s="154">
        <f>332280+191700</f>
        <v>523980</v>
      </c>
      <c r="U50" s="149">
        <f t="shared" si="1"/>
        <v>0</v>
      </c>
      <c r="V50" s="150"/>
      <c r="W50" s="154">
        <f>332280+191700</f>
        <v>523980</v>
      </c>
      <c r="X50" s="149">
        <f t="shared" si="3"/>
        <v>0</v>
      </c>
    </row>
    <row r="51" spans="1:24" s="1" customFormat="1" ht="26.45" customHeight="1" x14ac:dyDescent="0.2">
      <c r="A51" s="239" t="s">
        <v>63</v>
      </c>
      <c r="B51" s="239" t="s">
        <v>64</v>
      </c>
      <c r="C51" s="239" t="s">
        <v>65</v>
      </c>
      <c r="D51" s="239" t="s">
        <v>270</v>
      </c>
      <c r="E51" s="239" t="s">
        <v>271</v>
      </c>
      <c r="F51" s="195" t="s">
        <v>430</v>
      </c>
      <c r="G51" s="184" t="s">
        <v>42</v>
      </c>
      <c r="H51" s="184" t="s">
        <v>508</v>
      </c>
      <c r="I51" s="184" t="s">
        <v>0</v>
      </c>
      <c r="J51" s="184" t="s">
        <v>11</v>
      </c>
      <c r="K51" s="15" t="s">
        <v>293</v>
      </c>
      <c r="L51" s="15" t="s">
        <v>66</v>
      </c>
      <c r="M51" s="15" t="s">
        <v>288</v>
      </c>
      <c r="N51" s="15" t="s">
        <v>289</v>
      </c>
      <c r="O51" s="37">
        <f>SUM(O52:O60)</f>
        <v>14686065.909999998</v>
      </c>
      <c r="P51" s="22">
        <f t="shared" ref="P51" si="9">SUM(P52:P60)</f>
        <v>17876447</v>
      </c>
      <c r="Q51" s="22">
        <f t="shared" ref="Q51:R51" si="10">SUM(Q52:Q60)</f>
        <v>14563800</v>
      </c>
      <c r="R51" s="22">
        <f t="shared" si="10"/>
        <v>14563800</v>
      </c>
      <c r="S51" s="152"/>
      <c r="T51" s="151"/>
      <c r="U51" s="149">
        <f t="shared" si="1"/>
        <v>-17876447</v>
      </c>
      <c r="V51" s="150"/>
      <c r="W51" s="154">
        <f t="shared" ref="W51" si="11">SUM(W52:W60)</f>
        <v>17876447</v>
      </c>
      <c r="X51" s="149">
        <f t="shared" si="3"/>
        <v>-17876447</v>
      </c>
    </row>
    <row r="52" spans="1:24" s="1" customFormat="1" ht="26.45" customHeight="1" x14ac:dyDescent="0.2">
      <c r="A52" s="239"/>
      <c r="B52" s="239"/>
      <c r="C52" s="239"/>
      <c r="D52" s="239"/>
      <c r="E52" s="239"/>
      <c r="F52" s="297"/>
      <c r="G52" s="209"/>
      <c r="H52" s="209"/>
      <c r="I52" s="209"/>
      <c r="J52" s="209"/>
      <c r="K52" s="222" t="s">
        <v>293</v>
      </c>
      <c r="L52" s="222" t="s">
        <v>66</v>
      </c>
      <c r="M52" s="222" t="s">
        <v>365</v>
      </c>
      <c r="N52" s="20" t="s">
        <v>28</v>
      </c>
      <c r="O52" s="60">
        <v>10536841.5</v>
      </c>
      <c r="P52" s="22">
        <v>12951465.51</v>
      </c>
      <c r="Q52" s="61">
        <v>11186200</v>
      </c>
      <c r="R52" s="61">
        <v>11186200</v>
      </c>
      <c r="S52" s="152"/>
      <c r="T52" s="154">
        <v>12951465.51</v>
      </c>
      <c r="U52" s="149">
        <f t="shared" si="1"/>
        <v>0</v>
      </c>
      <c r="V52" s="150"/>
      <c r="W52" s="154">
        <v>12951465.51</v>
      </c>
      <c r="X52" s="149">
        <f t="shared" si="3"/>
        <v>0</v>
      </c>
    </row>
    <row r="53" spans="1:24" s="1" customFormat="1" ht="26.45" customHeight="1" x14ac:dyDescent="0.2">
      <c r="A53" s="239"/>
      <c r="B53" s="239"/>
      <c r="C53" s="239"/>
      <c r="D53" s="239"/>
      <c r="E53" s="239"/>
      <c r="F53" s="297"/>
      <c r="G53" s="209"/>
      <c r="H53" s="209"/>
      <c r="I53" s="209"/>
      <c r="J53" s="209"/>
      <c r="K53" s="223"/>
      <c r="L53" s="223"/>
      <c r="M53" s="223"/>
      <c r="N53" s="20" t="s">
        <v>316</v>
      </c>
      <c r="O53" s="60">
        <v>3098457.88</v>
      </c>
      <c r="P53" s="22">
        <v>3820030.49</v>
      </c>
      <c r="Q53" s="61">
        <v>3321900</v>
      </c>
      <c r="R53" s="61">
        <v>3321900</v>
      </c>
      <c r="S53" s="152"/>
      <c r="T53" s="154">
        <v>3820030.49</v>
      </c>
      <c r="U53" s="149">
        <f t="shared" si="1"/>
        <v>0</v>
      </c>
      <c r="V53" s="150"/>
      <c r="W53" s="154">
        <v>3820030.49</v>
      </c>
      <c r="X53" s="149">
        <f t="shared" si="3"/>
        <v>0</v>
      </c>
    </row>
    <row r="54" spans="1:24" s="1" customFormat="1" ht="26.45" customHeight="1" x14ac:dyDescent="0.2">
      <c r="A54" s="239"/>
      <c r="B54" s="239"/>
      <c r="C54" s="239"/>
      <c r="D54" s="239"/>
      <c r="E54" s="239"/>
      <c r="F54" s="297"/>
      <c r="G54" s="209"/>
      <c r="H54" s="209"/>
      <c r="I54" s="209"/>
      <c r="J54" s="209"/>
      <c r="K54" s="223"/>
      <c r="L54" s="223"/>
      <c r="M54" s="223"/>
      <c r="N54" s="20" t="s">
        <v>286</v>
      </c>
      <c r="O54" s="60">
        <v>879740.9</v>
      </c>
      <c r="P54" s="22">
        <v>1083800</v>
      </c>
      <c r="Q54" s="61">
        <v>46700</v>
      </c>
      <c r="R54" s="61">
        <v>46700</v>
      </c>
      <c r="S54" s="152"/>
      <c r="T54" s="154">
        <v>1083800</v>
      </c>
      <c r="U54" s="149">
        <f t="shared" si="1"/>
        <v>0</v>
      </c>
      <c r="V54" s="150"/>
      <c r="W54" s="154">
        <v>1083800</v>
      </c>
      <c r="X54" s="149">
        <f t="shared" si="3"/>
        <v>0</v>
      </c>
    </row>
    <row r="55" spans="1:24" s="1" customFormat="1" ht="26.45" customHeight="1" x14ac:dyDescent="0.2">
      <c r="A55" s="239"/>
      <c r="B55" s="239"/>
      <c r="C55" s="239"/>
      <c r="D55" s="288" t="s">
        <v>429</v>
      </c>
      <c r="E55" s="209" t="s">
        <v>42</v>
      </c>
      <c r="F55" s="209"/>
      <c r="G55" s="209"/>
      <c r="H55" s="209"/>
      <c r="I55" s="209"/>
      <c r="J55" s="209"/>
      <c r="K55" s="223"/>
      <c r="L55" s="223"/>
      <c r="M55" s="223"/>
      <c r="N55" s="20" t="s">
        <v>320</v>
      </c>
      <c r="O55" s="60">
        <v>314.60000000000002</v>
      </c>
      <c r="P55" s="22">
        <v>500</v>
      </c>
      <c r="Q55" s="61">
        <v>500</v>
      </c>
      <c r="R55" s="61">
        <v>500</v>
      </c>
      <c r="S55" s="152"/>
      <c r="T55" s="154">
        <v>500</v>
      </c>
      <c r="U55" s="149">
        <f t="shared" si="1"/>
        <v>0</v>
      </c>
      <c r="V55" s="150"/>
      <c r="W55" s="154">
        <v>500</v>
      </c>
      <c r="X55" s="149">
        <f t="shared" si="3"/>
        <v>0</v>
      </c>
    </row>
    <row r="56" spans="1:24" s="1" customFormat="1" ht="26.45" customHeight="1" x14ac:dyDescent="0.2">
      <c r="A56" s="239"/>
      <c r="B56" s="239"/>
      <c r="C56" s="239"/>
      <c r="D56" s="288"/>
      <c r="E56" s="209"/>
      <c r="F56" s="209"/>
      <c r="G56" s="209"/>
      <c r="H56" s="209"/>
      <c r="I56" s="209"/>
      <c r="J56" s="209"/>
      <c r="K56" s="223"/>
      <c r="L56" s="223"/>
      <c r="M56" s="223"/>
      <c r="N56" s="20" t="s">
        <v>285</v>
      </c>
      <c r="O56" s="60">
        <v>12810</v>
      </c>
      <c r="P56" s="22">
        <v>5980</v>
      </c>
      <c r="Q56" s="61">
        <v>4800</v>
      </c>
      <c r="R56" s="61">
        <v>4800</v>
      </c>
      <c r="S56" s="152"/>
      <c r="T56" s="154">
        <v>5980</v>
      </c>
      <c r="U56" s="149">
        <f t="shared" si="1"/>
        <v>0</v>
      </c>
      <c r="V56" s="150"/>
      <c r="W56" s="154">
        <v>5980</v>
      </c>
      <c r="X56" s="149">
        <f t="shared" si="3"/>
        <v>0</v>
      </c>
    </row>
    <row r="57" spans="1:24" s="1" customFormat="1" ht="26.45" customHeight="1" x14ac:dyDescent="0.2">
      <c r="A57" s="239"/>
      <c r="B57" s="239"/>
      <c r="C57" s="239"/>
      <c r="D57" s="288"/>
      <c r="E57" s="209"/>
      <c r="F57" s="209"/>
      <c r="G57" s="209"/>
      <c r="H57" s="209"/>
      <c r="I57" s="209"/>
      <c r="J57" s="209"/>
      <c r="K57" s="223"/>
      <c r="L57" s="223"/>
      <c r="M57" s="223"/>
      <c r="N57" s="15" t="s">
        <v>293</v>
      </c>
      <c r="O57" s="37">
        <v>5222</v>
      </c>
      <c r="P57" s="22">
        <v>14486.54</v>
      </c>
      <c r="Q57" s="22">
        <v>3700</v>
      </c>
      <c r="R57" s="22">
        <v>3700</v>
      </c>
      <c r="S57" s="152"/>
      <c r="T57" s="154">
        <v>14486.54</v>
      </c>
      <c r="U57" s="149">
        <f t="shared" si="1"/>
        <v>0</v>
      </c>
      <c r="V57" s="150"/>
      <c r="W57" s="154">
        <v>14486.54</v>
      </c>
      <c r="X57" s="149">
        <f t="shared" si="3"/>
        <v>0</v>
      </c>
    </row>
    <row r="58" spans="1:24" s="1" customFormat="1" ht="26.45" customHeight="1" x14ac:dyDescent="0.2">
      <c r="A58" s="239"/>
      <c r="B58" s="239"/>
      <c r="C58" s="239"/>
      <c r="D58" s="288"/>
      <c r="E58" s="209"/>
      <c r="F58" s="209"/>
      <c r="G58" s="209"/>
      <c r="H58" s="209"/>
      <c r="I58" s="209"/>
      <c r="J58" s="209"/>
      <c r="K58" s="223"/>
      <c r="L58" s="223"/>
      <c r="M58" s="224"/>
      <c r="N58" s="15" t="s">
        <v>290</v>
      </c>
      <c r="O58" s="37"/>
      <c r="P58" s="22">
        <v>184.46</v>
      </c>
      <c r="Q58" s="22"/>
      <c r="R58" s="22"/>
      <c r="S58" s="152"/>
      <c r="T58" s="154">
        <v>184.46</v>
      </c>
      <c r="U58" s="149">
        <f t="shared" si="1"/>
        <v>0</v>
      </c>
      <c r="V58" s="150"/>
      <c r="W58" s="154">
        <v>184.46</v>
      </c>
      <c r="X58" s="149">
        <f t="shared" si="3"/>
        <v>0</v>
      </c>
    </row>
    <row r="59" spans="1:24" s="1" customFormat="1" ht="26.45" customHeight="1" x14ac:dyDescent="0.2">
      <c r="A59" s="239"/>
      <c r="B59" s="239"/>
      <c r="C59" s="239"/>
      <c r="D59" s="288"/>
      <c r="E59" s="209"/>
      <c r="F59" s="209"/>
      <c r="G59" s="209"/>
      <c r="H59" s="209"/>
      <c r="I59" s="209"/>
      <c r="J59" s="209"/>
      <c r="K59" s="223"/>
      <c r="L59" s="223"/>
      <c r="M59" s="222" t="s">
        <v>323</v>
      </c>
      <c r="N59" s="15" t="s">
        <v>28</v>
      </c>
      <c r="O59" s="37">
        <v>117265</v>
      </c>
      <c r="P59" s="22"/>
      <c r="Q59" s="22"/>
      <c r="R59" s="22"/>
      <c r="S59" s="152"/>
      <c r="T59" s="154"/>
      <c r="U59" s="149">
        <f t="shared" si="1"/>
        <v>0</v>
      </c>
      <c r="V59" s="150"/>
      <c r="W59" s="154"/>
      <c r="X59" s="149">
        <f t="shared" si="3"/>
        <v>0</v>
      </c>
    </row>
    <row r="60" spans="1:24" s="1" customFormat="1" ht="26.45" customHeight="1" x14ac:dyDescent="0.2">
      <c r="A60" s="239"/>
      <c r="B60" s="239"/>
      <c r="C60" s="239"/>
      <c r="D60" s="288"/>
      <c r="E60" s="185"/>
      <c r="F60" s="185"/>
      <c r="G60" s="185"/>
      <c r="H60" s="185"/>
      <c r="I60" s="185"/>
      <c r="J60" s="185"/>
      <c r="K60" s="224"/>
      <c r="L60" s="224"/>
      <c r="M60" s="224"/>
      <c r="N60" s="15" t="s">
        <v>316</v>
      </c>
      <c r="O60" s="37">
        <v>35414.03</v>
      </c>
      <c r="P60" s="22"/>
      <c r="Q60" s="22"/>
      <c r="R60" s="22"/>
      <c r="S60" s="152"/>
      <c r="T60" s="154"/>
      <c r="U60" s="149">
        <f t="shared" si="1"/>
        <v>0</v>
      </c>
      <c r="V60" s="150"/>
      <c r="W60" s="154"/>
      <c r="X60" s="149">
        <f t="shared" si="3"/>
        <v>0</v>
      </c>
    </row>
    <row r="61" spans="1:24" s="1" customFormat="1" ht="51" customHeight="1" x14ac:dyDescent="0.2">
      <c r="A61" s="244" t="s">
        <v>67</v>
      </c>
      <c r="B61" s="209" t="s">
        <v>68</v>
      </c>
      <c r="C61" s="210" t="s">
        <v>69</v>
      </c>
      <c r="D61" s="217" t="s">
        <v>70</v>
      </c>
      <c r="E61" s="291" t="s">
        <v>42</v>
      </c>
      <c r="F61" s="184" t="s">
        <v>510</v>
      </c>
      <c r="G61" s="184" t="s">
        <v>42</v>
      </c>
      <c r="H61" s="184" t="s">
        <v>509</v>
      </c>
      <c r="I61" s="184" t="s">
        <v>42</v>
      </c>
      <c r="J61" s="184" t="s">
        <v>6</v>
      </c>
      <c r="K61" s="15" t="s">
        <v>285</v>
      </c>
      <c r="L61" s="15" t="s">
        <v>306</v>
      </c>
      <c r="M61" s="15" t="s">
        <v>288</v>
      </c>
      <c r="N61" s="15" t="s">
        <v>289</v>
      </c>
      <c r="O61" s="37">
        <f>SUM(O62:O67)</f>
        <v>650931.23</v>
      </c>
      <c r="P61" s="22">
        <f t="shared" ref="P61" si="12">SUM(P62:P67)</f>
        <v>881079.25</v>
      </c>
      <c r="Q61" s="22">
        <f t="shared" ref="Q61:R61" si="13">SUM(Q62:Q67)</f>
        <v>23000</v>
      </c>
      <c r="R61" s="22">
        <f t="shared" si="13"/>
        <v>23000</v>
      </c>
      <c r="S61" s="152"/>
      <c r="T61" s="151"/>
      <c r="U61" s="149">
        <f t="shared" si="1"/>
        <v>-881079.25</v>
      </c>
      <c r="V61" s="150"/>
      <c r="W61" s="154">
        <f t="shared" ref="W61" si="14">SUM(W62:W67)</f>
        <v>881079.25</v>
      </c>
      <c r="X61" s="149">
        <f t="shared" si="3"/>
        <v>-881079.25</v>
      </c>
    </row>
    <row r="62" spans="1:24" s="1" customFormat="1" ht="51" customHeight="1" x14ac:dyDescent="0.2">
      <c r="A62" s="209"/>
      <c r="B62" s="209"/>
      <c r="C62" s="210"/>
      <c r="D62" s="218"/>
      <c r="E62" s="288"/>
      <c r="F62" s="209"/>
      <c r="G62" s="209"/>
      <c r="H62" s="209"/>
      <c r="I62" s="209"/>
      <c r="J62" s="209"/>
      <c r="K62" s="15" t="s">
        <v>285</v>
      </c>
      <c r="L62" s="15" t="s">
        <v>152</v>
      </c>
      <c r="M62" s="90" t="s">
        <v>395</v>
      </c>
      <c r="N62" s="90" t="s">
        <v>286</v>
      </c>
      <c r="O62" s="37">
        <v>203526.85</v>
      </c>
      <c r="P62" s="135">
        <v>463139.8</v>
      </c>
      <c r="Q62" s="22"/>
      <c r="R62" s="22"/>
      <c r="S62" s="152"/>
      <c r="T62" s="151">
        <v>463139.8</v>
      </c>
      <c r="U62" s="149">
        <f t="shared" si="1"/>
        <v>0</v>
      </c>
      <c r="V62" s="150"/>
      <c r="W62" s="151">
        <v>463139.8</v>
      </c>
      <c r="X62" s="149">
        <f t="shared" si="3"/>
        <v>0</v>
      </c>
    </row>
    <row r="63" spans="1:24" s="1" customFormat="1" ht="51" customHeight="1" x14ac:dyDescent="0.2">
      <c r="A63" s="209"/>
      <c r="B63" s="209"/>
      <c r="C63" s="210"/>
      <c r="D63" s="218"/>
      <c r="E63" s="288"/>
      <c r="F63" s="209"/>
      <c r="G63" s="209"/>
      <c r="H63" s="209"/>
      <c r="I63" s="209"/>
      <c r="J63" s="209"/>
      <c r="K63" s="15" t="s">
        <v>285</v>
      </c>
      <c r="L63" s="27" t="s">
        <v>152</v>
      </c>
      <c r="M63" s="114" t="s">
        <v>396</v>
      </c>
      <c r="N63" s="114" t="s">
        <v>290</v>
      </c>
      <c r="O63" s="43">
        <v>20000</v>
      </c>
      <c r="P63" s="135"/>
      <c r="Q63" s="22"/>
      <c r="R63" s="22"/>
      <c r="S63" s="152"/>
      <c r="T63" s="151"/>
      <c r="U63" s="149">
        <f t="shared" si="1"/>
        <v>0</v>
      </c>
      <c r="V63" s="150"/>
      <c r="W63" s="151"/>
      <c r="X63" s="149">
        <f t="shared" si="3"/>
        <v>0</v>
      </c>
    </row>
    <row r="64" spans="1:24" s="1" customFormat="1" ht="51" customHeight="1" x14ac:dyDescent="0.2">
      <c r="A64" s="209"/>
      <c r="B64" s="209"/>
      <c r="C64" s="210"/>
      <c r="D64" s="218"/>
      <c r="E64" s="288"/>
      <c r="F64" s="209"/>
      <c r="G64" s="209"/>
      <c r="H64" s="209"/>
      <c r="I64" s="209"/>
      <c r="J64" s="209"/>
      <c r="K64" s="15" t="s">
        <v>285</v>
      </c>
      <c r="L64" s="32" t="s">
        <v>111</v>
      </c>
      <c r="M64" s="114" t="s">
        <v>393</v>
      </c>
      <c r="N64" s="114" t="s">
        <v>293</v>
      </c>
      <c r="O64" s="40">
        <v>58100</v>
      </c>
      <c r="P64" s="135">
        <v>55100</v>
      </c>
      <c r="Q64" s="22">
        <v>23000</v>
      </c>
      <c r="R64" s="22">
        <v>23000</v>
      </c>
      <c r="S64" s="152"/>
      <c r="T64" s="151">
        <v>55100</v>
      </c>
      <c r="U64" s="149">
        <f t="shared" si="1"/>
        <v>0</v>
      </c>
      <c r="V64" s="150"/>
      <c r="W64" s="151">
        <v>55100</v>
      </c>
      <c r="X64" s="149">
        <f t="shared" si="3"/>
        <v>0</v>
      </c>
    </row>
    <row r="65" spans="1:24" s="1" customFormat="1" ht="51" customHeight="1" x14ac:dyDescent="0.2">
      <c r="A65" s="209"/>
      <c r="B65" s="209"/>
      <c r="C65" s="210"/>
      <c r="D65" s="218"/>
      <c r="E65" s="288"/>
      <c r="F65" s="209"/>
      <c r="G65" s="209"/>
      <c r="H65" s="209"/>
      <c r="I65" s="209"/>
      <c r="J65" s="209"/>
      <c r="K65" s="126" t="s">
        <v>285</v>
      </c>
      <c r="L65" s="32" t="s">
        <v>259</v>
      </c>
      <c r="M65" s="128" t="s">
        <v>327</v>
      </c>
      <c r="N65" s="129" t="s">
        <v>286</v>
      </c>
      <c r="O65" s="40">
        <v>369304.38</v>
      </c>
      <c r="P65" s="135">
        <v>257460.75</v>
      </c>
      <c r="Q65" s="22"/>
      <c r="R65" s="22"/>
      <c r="S65" s="152"/>
      <c r="T65" s="151">
        <v>257460.75</v>
      </c>
      <c r="U65" s="149">
        <f t="shared" si="1"/>
        <v>0</v>
      </c>
      <c r="V65" s="150"/>
      <c r="W65" s="151">
        <v>257460.75</v>
      </c>
      <c r="X65" s="149">
        <f t="shared" si="3"/>
        <v>0</v>
      </c>
    </row>
    <row r="66" spans="1:24" s="1" customFormat="1" ht="51" customHeight="1" x14ac:dyDescent="0.2">
      <c r="A66" s="209"/>
      <c r="B66" s="209"/>
      <c r="C66" s="210"/>
      <c r="D66" s="218"/>
      <c r="E66" s="288"/>
      <c r="F66" s="209"/>
      <c r="G66" s="209"/>
      <c r="H66" s="209"/>
      <c r="I66" s="209"/>
      <c r="J66" s="209"/>
      <c r="K66" s="126" t="s">
        <v>285</v>
      </c>
      <c r="L66" s="32" t="s">
        <v>259</v>
      </c>
      <c r="M66" s="128" t="s">
        <v>327</v>
      </c>
      <c r="N66" s="129" t="s">
        <v>530</v>
      </c>
      <c r="O66" s="40"/>
      <c r="P66" s="135">
        <v>5378.7</v>
      </c>
      <c r="Q66" s="22"/>
      <c r="R66" s="22"/>
      <c r="S66" s="152"/>
      <c r="T66" s="151">
        <v>5378.7</v>
      </c>
      <c r="U66" s="149">
        <f t="shared" si="1"/>
        <v>0</v>
      </c>
      <c r="V66" s="150"/>
      <c r="W66" s="151">
        <v>5378.7</v>
      </c>
      <c r="X66" s="149">
        <f t="shared" si="3"/>
        <v>0</v>
      </c>
    </row>
    <row r="67" spans="1:24" s="1" customFormat="1" ht="51" customHeight="1" x14ac:dyDescent="0.2">
      <c r="A67" s="185"/>
      <c r="B67" s="185"/>
      <c r="C67" s="198"/>
      <c r="D67" s="219"/>
      <c r="E67" s="292"/>
      <c r="F67" s="185"/>
      <c r="G67" s="185"/>
      <c r="H67" s="185"/>
      <c r="I67" s="185"/>
      <c r="J67" s="185"/>
      <c r="K67" s="90" t="s">
        <v>285</v>
      </c>
      <c r="L67" s="32" t="s">
        <v>259</v>
      </c>
      <c r="M67" s="114" t="s">
        <v>327</v>
      </c>
      <c r="N67" s="115" t="s">
        <v>290</v>
      </c>
      <c r="O67" s="40"/>
      <c r="P67" s="135">
        <v>100000</v>
      </c>
      <c r="Q67" s="22"/>
      <c r="R67" s="22"/>
      <c r="S67" s="152"/>
      <c r="T67" s="151">
        <v>100000</v>
      </c>
      <c r="U67" s="149">
        <f t="shared" si="1"/>
        <v>0</v>
      </c>
      <c r="V67" s="150"/>
      <c r="W67" s="151">
        <v>100000</v>
      </c>
      <c r="X67" s="149">
        <f t="shared" si="3"/>
        <v>0</v>
      </c>
    </row>
    <row r="68" spans="1:24" s="1" customFormat="1" ht="26.45" customHeight="1" x14ac:dyDescent="0.2">
      <c r="A68" s="255" t="s">
        <v>71</v>
      </c>
      <c r="B68" s="184" t="s">
        <v>72</v>
      </c>
      <c r="C68" s="256" t="s">
        <v>73</v>
      </c>
      <c r="D68" s="244" t="s">
        <v>270</v>
      </c>
      <c r="E68" s="184" t="s">
        <v>271</v>
      </c>
      <c r="F68" s="184" t="s">
        <v>74</v>
      </c>
      <c r="G68" s="184" t="s">
        <v>42</v>
      </c>
      <c r="H68" s="184" t="s">
        <v>441</v>
      </c>
      <c r="I68" s="184" t="s">
        <v>42</v>
      </c>
      <c r="J68" s="192" t="s">
        <v>12</v>
      </c>
      <c r="K68" s="280" t="s">
        <v>285</v>
      </c>
      <c r="L68" s="280" t="s">
        <v>75</v>
      </c>
      <c r="M68" s="51" t="s">
        <v>289</v>
      </c>
      <c r="N68" s="25" t="s">
        <v>289</v>
      </c>
      <c r="O68" s="34">
        <f>SUM(O69:O74)</f>
        <v>7721386</v>
      </c>
      <c r="P68" s="26">
        <f t="shared" ref="P68" si="15">SUM(P69:P74)</f>
        <v>11163300.699999999</v>
      </c>
      <c r="Q68" s="26">
        <f t="shared" ref="Q68:R68" si="16">SUM(Q69:Q74)</f>
        <v>7088767</v>
      </c>
      <c r="R68" s="26">
        <f t="shared" si="16"/>
        <v>7144567</v>
      </c>
      <c r="S68" s="152"/>
      <c r="T68" s="151"/>
      <c r="U68" s="149">
        <f t="shared" si="1"/>
        <v>-11163300.699999999</v>
      </c>
      <c r="V68" s="150"/>
      <c r="W68" s="154">
        <f t="shared" ref="W68" si="17">SUM(W69:W74)</f>
        <v>11163300.699999999</v>
      </c>
      <c r="X68" s="149">
        <f t="shared" si="3"/>
        <v>-11163300.699999999</v>
      </c>
    </row>
    <row r="69" spans="1:24" s="1" customFormat="1" ht="26.45" customHeight="1" x14ac:dyDescent="0.2">
      <c r="A69" s="255"/>
      <c r="B69" s="209"/>
      <c r="C69" s="256"/>
      <c r="D69" s="209"/>
      <c r="E69" s="209"/>
      <c r="F69" s="209"/>
      <c r="G69" s="209"/>
      <c r="H69" s="209"/>
      <c r="I69" s="209"/>
      <c r="J69" s="193"/>
      <c r="K69" s="280"/>
      <c r="L69" s="280"/>
      <c r="M69" s="225" t="s">
        <v>356</v>
      </c>
      <c r="N69" s="113" t="s">
        <v>297</v>
      </c>
      <c r="O69" s="52">
        <v>7256700</v>
      </c>
      <c r="P69" s="135">
        <v>8293400</v>
      </c>
      <c r="Q69" s="22">
        <v>7000100</v>
      </c>
      <c r="R69" s="22">
        <v>7055900</v>
      </c>
      <c r="S69" s="152"/>
      <c r="T69" s="151">
        <v>8293400</v>
      </c>
      <c r="U69" s="149">
        <f t="shared" si="1"/>
        <v>0</v>
      </c>
      <c r="V69" s="150"/>
      <c r="W69" s="151">
        <v>8293400</v>
      </c>
      <c r="X69" s="149">
        <f t="shared" si="3"/>
        <v>0</v>
      </c>
    </row>
    <row r="70" spans="1:24" s="1" customFormat="1" ht="26.45" customHeight="1" x14ac:dyDescent="0.2">
      <c r="A70" s="255"/>
      <c r="B70" s="209"/>
      <c r="C70" s="256"/>
      <c r="D70" s="209"/>
      <c r="E70" s="209"/>
      <c r="F70" s="209"/>
      <c r="G70" s="209"/>
      <c r="H70" s="209"/>
      <c r="I70" s="209"/>
      <c r="J70" s="193"/>
      <c r="K70" s="280"/>
      <c r="L70" s="280"/>
      <c r="M70" s="226"/>
      <c r="N70" s="114" t="s">
        <v>298</v>
      </c>
      <c r="O70" s="41">
        <v>266785</v>
      </c>
      <c r="P70" s="135">
        <v>2603775.7000000002</v>
      </c>
      <c r="Q70" s="22"/>
      <c r="R70" s="22"/>
      <c r="S70" s="152"/>
      <c r="T70" s="151">
        <v>2603775.7000000002</v>
      </c>
      <c r="U70" s="149">
        <f t="shared" si="1"/>
        <v>0</v>
      </c>
      <c r="V70" s="150"/>
      <c r="W70" s="151">
        <v>2603775.7000000002</v>
      </c>
      <c r="X70" s="149">
        <f t="shared" si="3"/>
        <v>0</v>
      </c>
    </row>
    <row r="71" spans="1:24" s="1" customFormat="1" ht="26.45" customHeight="1" x14ac:dyDescent="0.2">
      <c r="A71" s="255"/>
      <c r="B71" s="209"/>
      <c r="C71" s="256"/>
      <c r="D71" s="209"/>
      <c r="E71" s="185"/>
      <c r="F71" s="209"/>
      <c r="G71" s="209"/>
      <c r="H71" s="209"/>
      <c r="I71" s="209"/>
      <c r="J71" s="193"/>
      <c r="K71" s="280"/>
      <c r="L71" s="280"/>
      <c r="M71" s="15" t="s">
        <v>523</v>
      </c>
      <c r="N71" s="15" t="s">
        <v>298</v>
      </c>
      <c r="O71" s="37"/>
      <c r="P71" s="135">
        <v>70000</v>
      </c>
      <c r="Q71" s="22"/>
      <c r="R71" s="22"/>
      <c r="S71" s="152"/>
      <c r="T71" s="151">
        <v>70000</v>
      </c>
      <c r="U71" s="149">
        <f t="shared" si="1"/>
        <v>0</v>
      </c>
      <c r="V71" s="150"/>
      <c r="W71" s="151">
        <v>70000</v>
      </c>
      <c r="X71" s="149">
        <f t="shared" si="3"/>
        <v>0</v>
      </c>
    </row>
    <row r="72" spans="1:24" s="1" customFormat="1" ht="34.5" customHeight="1" x14ac:dyDescent="0.2">
      <c r="A72" s="255"/>
      <c r="B72" s="209"/>
      <c r="C72" s="256"/>
      <c r="D72" s="296" t="s">
        <v>431</v>
      </c>
      <c r="E72" s="184" t="s">
        <v>42</v>
      </c>
      <c r="F72" s="209"/>
      <c r="G72" s="209"/>
      <c r="H72" s="209" t="s">
        <v>442</v>
      </c>
      <c r="I72" s="209"/>
      <c r="J72" s="193"/>
      <c r="K72" s="280"/>
      <c r="L72" s="280"/>
      <c r="M72" s="15" t="s">
        <v>354</v>
      </c>
      <c r="N72" s="15" t="s">
        <v>298</v>
      </c>
      <c r="O72" s="37"/>
      <c r="P72" s="135">
        <v>107458</v>
      </c>
      <c r="Q72" s="22"/>
      <c r="R72" s="22"/>
      <c r="S72" s="152"/>
      <c r="T72" s="151">
        <v>107458</v>
      </c>
      <c r="U72" s="149">
        <f t="shared" si="1"/>
        <v>0</v>
      </c>
      <c r="V72" s="150"/>
      <c r="W72" s="151">
        <v>107458</v>
      </c>
      <c r="X72" s="149">
        <f t="shared" si="3"/>
        <v>0</v>
      </c>
    </row>
    <row r="73" spans="1:24" s="1" customFormat="1" ht="34.5" customHeight="1" x14ac:dyDescent="0.2">
      <c r="A73" s="255"/>
      <c r="B73" s="209"/>
      <c r="C73" s="256"/>
      <c r="D73" s="296"/>
      <c r="E73" s="209"/>
      <c r="F73" s="209"/>
      <c r="G73" s="209"/>
      <c r="H73" s="293"/>
      <c r="I73" s="209"/>
      <c r="J73" s="193"/>
      <c r="K73" s="280"/>
      <c r="L73" s="280"/>
      <c r="M73" s="15" t="s">
        <v>303</v>
      </c>
      <c r="N73" s="15" t="s">
        <v>298</v>
      </c>
      <c r="O73" s="37">
        <v>109794</v>
      </c>
      <c r="P73" s="22"/>
      <c r="Q73" s="22"/>
      <c r="R73" s="22"/>
      <c r="S73" s="152"/>
      <c r="T73" s="151"/>
      <c r="U73" s="149">
        <f t="shared" si="1"/>
        <v>0</v>
      </c>
      <c r="V73" s="150"/>
      <c r="W73" s="154"/>
      <c r="X73" s="149">
        <f t="shared" ref="X73:X135" si="18">T73-W73</f>
        <v>0</v>
      </c>
    </row>
    <row r="74" spans="1:24" s="1" customFormat="1" ht="34.5" customHeight="1" x14ac:dyDescent="0.2">
      <c r="A74" s="255"/>
      <c r="B74" s="185"/>
      <c r="C74" s="256"/>
      <c r="D74" s="298"/>
      <c r="E74" s="185"/>
      <c r="F74" s="185"/>
      <c r="G74" s="185"/>
      <c r="H74" s="294"/>
      <c r="I74" s="185"/>
      <c r="J74" s="194"/>
      <c r="K74" s="280"/>
      <c r="L74" s="280"/>
      <c r="M74" s="19" t="s">
        <v>355</v>
      </c>
      <c r="N74" s="91" t="s">
        <v>298</v>
      </c>
      <c r="O74" s="37">
        <v>88107</v>
      </c>
      <c r="P74" s="22">
        <v>88667</v>
      </c>
      <c r="Q74" s="22">
        <v>88667</v>
      </c>
      <c r="R74" s="22">
        <v>88667</v>
      </c>
      <c r="S74" s="152"/>
      <c r="T74" s="151">
        <v>88667</v>
      </c>
      <c r="U74" s="149">
        <f t="shared" si="1"/>
        <v>0</v>
      </c>
      <c r="V74" s="150"/>
      <c r="W74" s="154">
        <v>88667</v>
      </c>
      <c r="X74" s="149">
        <f t="shared" si="18"/>
        <v>0</v>
      </c>
    </row>
    <row r="75" spans="1:24" s="1" customFormat="1" ht="26.45" customHeight="1" x14ac:dyDescent="0.2">
      <c r="A75" s="255" t="s">
        <v>76</v>
      </c>
      <c r="B75" s="184" t="s">
        <v>77</v>
      </c>
      <c r="C75" s="256" t="s">
        <v>78</v>
      </c>
      <c r="D75" s="184" t="s">
        <v>270</v>
      </c>
      <c r="E75" s="184" t="s">
        <v>271</v>
      </c>
      <c r="F75" s="184" t="s">
        <v>79</v>
      </c>
      <c r="G75" s="184" t="s">
        <v>42</v>
      </c>
      <c r="H75" s="184" t="s">
        <v>511</v>
      </c>
      <c r="I75" s="184" t="s">
        <v>42</v>
      </c>
      <c r="J75" s="192" t="s">
        <v>12</v>
      </c>
      <c r="K75" s="299" t="s">
        <v>285</v>
      </c>
      <c r="L75" s="299" t="s">
        <v>75</v>
      </c>
      <c r="M75" s="16" t="s">
        <v>289</v>
      </c>
      <c r="N75" s="16" t="s">
        <v>289</v>
      </c>
      <c r="O75" s="167">
        <f>SUM(O76:O82)</f>
        <v>9574321</v>
      </c>
      <c r="P75" s="26">
        <f>SUM(P76:P82)</f>
        <v>8457072</v>
      </c>
      <c r="Q75" s="26">
        <f>SUM(Q76:Q82)</f>
        <v>8059952</v>
      </c>
      <c r="R75" s="26">
        <f>SUM(R76:R82)</f>
        <v>5786716</v>
      </c>
      <c r="S75" s="152"/>
      <c r="T75" s="151"/>
      <c r="U75" s="149">
        <f t="shared" si="1"/>
        <v>-8457072</v>
      </c>
      <c r="V75" s="150"/>
      <c r="W75" s="154">
        <f>SUM(W76:W82)</f>
        <v>8457072</v>
      </c>
      <c r="X75" s="149">
        <f t="shared" si="18"/>
        <v>-8457072</v>
      </c>
    </row>
    <row r="76" spans="1:24" s="1" customFormat="1" ht="26.45" customHeight="1" x14ac:dyDescent="0.2">
      <c r="A76" s="255"/>
      <c r="B76" s="209"/>
      <c r="C76" s="256"/>
      <c r="D76" s="209"/>
      <c r="E76" s="209"/>
      <c r="F76" s="209"/>
      <c r="G76" s="209"/>
      <c r="H76" s="209"/>
      <c r="I76" s="209"/>
      <c r="J76" s="193"/>
      <c r="K76" s="300"/>
      <c r="L76" s="300"/>
      <c r="M76" s="222" t="s">
        <v>351</v>
      </c>
      <c r="N76" s="15" t="s">
        <v>297</v>
      </c>
      <c r="O76" s="37">
        <v>5996870</v>
      </c>
      <c r="P76" s="135">
        <v>7549576</v>
      </c>
      <c r="Q76" s="22">
        <v>5260400</v>
      </c>
      <c r="R76" s="22">
        <v>5260400</v>
      </c>
      <c r="S76" s="152"/>
      <c r="T76" s="151">
        <v>7549576</v>
      </c>
      <c r="U76" s="149">
        <f t="shared" si="1"/>
        <v>0</v>
      </c>
      <c r="V76" s="150"/>
      <c r="W76" s="151">
        <v>7549576</v>
      </c>
      <c r="X76" s="149">
        <f t="shared" si="18"/>
        <v>0</v>
      </c>
    </row>
    <row r="77" spans="1:24" s="1" customFormat="1" ht="26.45" customHeight="1" x14ac:dyDescent="0.2">
      <c r="A77" s="255"/>
      <c r="B77" s="209"/>
      <c r="C77" s="256"/>
      <c r="D77" s="209"/>
      <c r="E77" s="209"/>
      <c r="F77" s="209"/>
      <c r="G77" s="209"/>
      <c r="H77" s="209"/>
      <c r="I77" s="209"/>
      <c r="J77" s="193"/>
      <c r="K77" s="300"/>
      <c r="L77" s="300"/>
      <c r="M77" s="224"/>
      <c r="N77" s="15" t="s">
        <v>298</v>
      </c>
      <c r="O77" s="37"/>
      <c r="P77" s="135">
        <v>50000</v>
      </c>
      <c r="Q77" s="22"/>
      <c r="R77" s="22"/>
      <c r="S77" s="152"/>
      <c r="T77" s="151">
        <v>50000</v>
      </c>
      <c r="U77" s="149">
        <f t="shared" ref="U77:U139" si="19">T77-P77</f>
        <v>0</v>
      </c>
      <c r="V77" s="150"/>
      <c r="W77" s="151">
        <v>50000</v>
      </c>
      <c r="X77" s="149">
        <f t="shared" si="18"/>
        <v>0</v>
      </c>
    </row>
    <row r="78" spans="1:24" s="1" customFormat="1" ht="26.45" customHeight="1" x14ac:dyDescent="0.2">
      <c r="A78" s="255"/>
      <c r="B78" s="209"/>
      <c r="C78" s="256"/>
      <c r="D78" s="185"/>
      <c r="E78" s="185"/>
      <c r="F78" s="209"/>
      <c r="G78" s="209"/>
      <c r="H78" s="209"/>
      <c r="I78" s="209"/>
      <c r="J78" s="193"/>
      <c r="K78" s="300"/>
      <c r="L78" s="300"/>
      <c r="M78" s="15" t="s">
        <v>352</v>
      </c>
      <c r="N78" s="15" t="s">
        <v>286</v>
      </c>
      <c r="O78" s="37">
        <v>102000</v>
      </c>
      <c r="P78" s="135">
        <v>83136</v>
      </c>
      <c r="Q78" s="22"/>
      <c r="R78" s="22"/>
      <c r="S78" s="152"/>
      <c r="T78" s="151">
        <v>83136</v>
      </c>
      <c r="U78" s="149">
        <f t="shared" si="19"/>
        <v>0</v>
      </c>
      <c r="V78" s="150"/>
      <c r="W78" s="151">
        <v>83136</v>
      </c>
      <c r="X78" s="149">
        <f t="shared" si="18"/>
        <v>0</v>
      </c>
    </row>
    <row r="79" spans="1:24" s="1" customFormat="1" ht="26.45" customHeight="1" x14ac:dyDescent="0.2">
      <c r="A79" s="255"/>
      <c r="B79" s="209"/>
      <c r="C79" s="256"/>
      <c r="D79" s="295" t="s">
        <v>432</v>
      </c>
      <c r="E79" s="259" t="s">
        <v>42</v>
      </c>
      <c r="F79" s="209"/>
      <c r="G79" s="209"/>
      <c r="H79" s="209"/>
      <c r="I79" s="209"/>
      <c r="J79" s="193"/>
      <c r="K79" s="300"/>
      <c r="L79" s="300"/>
      <c r="M79" s="15" t="s">
        <v>352</v>
      </c>
      <c r="N79" s="15" t="s">
        <v>298</v>
      </c>
      <c r="O79" s="37">
        <v>418288</v>
      </c>
      <c r="P79" s="135">
        <v>774360</v>
      </c>
      <c r="Q79" s="22"/>
      <c r="R79" s="22"/>
      <c r="S79" s="152"/>
      <c r="T79" s="151">
        <v>774360</v>
      </c>
      <c r="U79" s="149">
        <f t="shared" si="19"/>
        <v>0</v>
      </c>
      <c r="V79" s="150"/>
      <c r="W79" s="151">
        <v>774360</v>
      </c>
      <c r="X79" s="149">
        <f t="shared" si="18"/>
        <v>0</v>
      </c>
    </row>
    <row r="80" spans="1:24" s="1" customFormat="1" ht="26.45" customHeight="1" x14ac:dyDescent="0.2">
      <c r="A80" s="255"/>
      <c r="B80" s="209"/>
      <c r="C80" s="256"/>
      <c r="D80" s="296"/>
      <c r="E80" s="260"/>
      <c r="F80" s="209"/>
      <c r="G80" s="209"/>
      <c r="H80" s="209"/>
      <c r="I80" s="209"/>
      <c r="J80" s="193"/>
      <c r="K80" s="300"/>
      <c r="L80" s="300"/>
      <c r="M80" s="15" t="s">
        <v>353</v>
      </c>
      <c r="N80" s="15" t="s">
        <v>298</v>
      </c>
      <c r="O80" s="37">
        <v>1368422</v>
      </c>
      <c r="P80" s="22"/>
      <c r="Q80" s="22">
        <v>2799552</v>
      </c>
      <c r="R80" s="22">
        <v>526316</v>
      </c>
      <c r="S80" s="152"/>
      <c r="T80" s="151"/>
      <c r="U80" s="149">
        <f t="shared" si="19"/>
        <v>0</v>
      </c>
      <c r="V80" s="150"/>
      <c r="W80" s="154"/>
      <c r="X80" s="149">
        <f t="shared" si="18"/>
        <v>0</v>
      </c>
    </row>
    <row r="81" spans="1:24" s="1" customFormat="1" ht="26.45" customHeight="1" x14ac:dyDescent="0.2">
      <c r="A81" s="255"/>
      <c r="B81" s="209"/>
      <c r="C81" s="256"/>
      <c r="D81" s="296"/>
      <c r="E81" s="260"/>
      <c r="F81" s="209"/>
      <c r="G81" s="209"/>
      <c r="H81" s="209"/>
      <c r="I81" s="209"/>
      <c r="J81" s="193"/>
      <c r="K81" s="300"/>
      <c r="L81" s="300"/>
      <c r="M81" s="15" t="s">
        <v>303</v>
      </c>
      <c r="N81" s="15" t="s">
        <v>298</v>
      </c>
      <c r="O81" s="37">
        <f>219587-109794</f>
        <v>109793</v>
      </c>
      <c r="P81" s="22"/>
      <c r="Q81" s="22"/>
      <c r="R81" s="22"/>
      <c r="S81" s="152"/>
      <c r="T81" s="151"/>
      <c r="U81" s="149">
        <f t="shared" si="19"/>
        <v>0</v>
      </c>
      <c r="V81" s="150"/>
      <c r="W81" s="154"/>
      <c r="X81" s="149">
        <f t="shared" si="18"/>
        <v>0</v>
      </c>
    </row>
    <row r="82" spans="1:24" s="1" customFormat="1" ht="26.45" customHeight="1" x14ac:dyDescent="0.2">
      <c r="A82" s="255"/>
      <c r="B82" s="221"/>
      <c r="C82" s="256"/>
      <c r="D82" s="296"/>
      <c r="E82" s="260"/>
      <c r="F82" s="221"/>
      <c r="G82" s="221"/>
      <c r="H82" s="221"/>
      <c r="I82" s="221"/>
      <c r="J82" s="235"/>
      <c r="K82" s="301"/>
      <c r="L82" s="301"/>
      <c r="M82" s="15" t="s">
        <v>304</v>
      </c>
      <c r="N82" s="15" t="s">
        <v>298</v>
      </c>
      <c r="O82" s="37">
        <v>1578948</v>
      </c>
      <c r="P82" s="22"/>
      <c r="Q82" s="22"/>
      <c r="R82" s="22"/>
      <c r="S82" s="152"/>
      <c r="T82" s="151"/>
      <c r="U82" s="149">
        <f t="shared" si="19"/>
        <v>0</v>
      </c>
      <c r="V82" s="150"/>
      <c r="W82" s="154"/>
      <c r="X82" s="149">
        <f t="shared" si="18"/>
        <v>0</v>
      </c>
    </row>
    <row r="83" spans="1:24" s="1" customFormat="1" ht="36.75" customHeight="1" x14ac:dyDescent="0.2">
      <c r="A83" s="211" t="s">
        <v>80</v>
      </c>
      <c r="B83" s="217" t="s">
        <v>81</v>
      </c>
      <c r="C83" s="217" t="s">
        <v>82</v>
      </c>
      <c r="D83" s="50" t="s">
        <v>270</v>
      </c>
      <c r="E83" s="125" t="s">
        <v>271</v>
      </c>
      <c r="F83" s="217" t="s">
        <v>512</v>
      </c>
      <c r="G83" s="217" t="s">
        <v>42</v>
      </c>
      <c r="H83" s="217" t="s">
        <v>473</v>
      </c>
      <c r="I83" s="217" t="s">
        <v>42</v>
      </c>
      <c r="J83" s="217" t="s">
        <v>12</v>
      </c>
      <c r="K83" s="253" t="s">
        <v>285</v>
      </c>
      <c r="L83" s="25" t="s">
        <v>306</v>
      </c>
      <c r="M83" s="25" t="s">
        <v>289</v>
      </c>
      <c r="N83" s="25" t="s">
        <v>289</v>
      </c>
      <c r="O83" s="34">
        <f>O84+O85</f>
        <v>497047</v>
      </c>
      <c r="P83" s="26">
        <f t="shared" ref="P83" si="20">P84+P85</f>
        <v>209203</v>
      </c>
      <c r="Q83" s="26">
        <f t="shared" ref="Q83:R83" si="21">Q84+Q85</f>
        <v>3327010.6</v>
      </c>
      <c r="R83" s="26">
        <f t="shared" si="21"/>
        <v>1004904.3</v>
      </c>
      <c r="S83" s="152"/>
      <c r="T83" s="151"/>
      <c r="U83" s="149">
        <f t="shared" si="19"/>
        <v>-209203</v>
      </c>
      <c r="V83" s="150"/>
      <c r="W83" s="154">
        <f t="shared" ref="W83" si="22">W84+W85</f>
        <v>209203</v>
      </c>
      <c r="X83" s="149">
        <f t="shared" si="18"/>
        <v>-209203</v>
      </c>
    </row>
    <row r="84" spans="1:24" s="1" customFormat="1" ht="36.75" customHeight="1" x14ac:dyDescent="0.2">
      <c r="A84" s="212"/>
      <c r="B84" s="218"/>
      <c r="C84" s="218"/>
      <c r="D84" s="239" t="s">
        <v>433</v>
      </c>
      <c r="E84" s="239" t="s">
        <v>42</v>
      </c>
      <c r="F84" s="218"/>
      <c r="G84" s="218"/>
      <c r="H84" s="218"/>
      <c r="I84" s="218"/>
      <c r="J84" s="218"/>
      <c r="K84" s="254"/>
      <c r="L84" s="114" t="s">
        <v>305</v>
      </c>
      <c r="M84" s="114" t="s">
        <v>422</v>
      </c>
      <c r="N84" s="114" t="s">
        <v>286</v>
      </c>
      <c r="O84" s="35">
        <v>277399</v>
      </c>
      <c r="P84" s="22"/>
      <c r="Q84" s="22">
        <v>3327010.6</v>
      </c>
      <c r="R84" s="22">
        <v>1004904.3</v>
      </c>
      <c r="S84" s="152"/>
      <c r="T84" s="151"/>
      <c r="U84" s="149">
        <f t="shared" si="19"/>
        <v>0</v>
      </c>
      <c r="V84" s="150"/>
      <c r="W84" s="154"/>
      <c r="X84" s="149">
        <f t="shared" si="18"/>
        <v>0</v>
      </c>
    </row>
    <row r="85" spans="1:24" s="1" customFormat="1" ht="36.75" customHeight="1" x14ac:dyDescent="0.2">
      <c r="A85" s="213"/>
      <c r="B85" s="219"/>
      <c r="C85" s="219"/>
      <c r="D85" s="239"/>
      <c r="E85" s="239"/>
      <c r="F85" s="219"/>
      <c r="G85" s="219"/>
      <c r="H85" s="219"/>
      <c r="I85" s="219"/>
      <c r="J85" s="219"/>
      <c r="K85" s="248"/>
      <c r="L85" s="114" t="s">
        <v>75</v>
      </c>
      <c r="M85" s="114" t="s">
        <v>350</v>
      </c>
      <c r="N85" s="114" t="s">
        <v>286</v>
      </c>
      <c r="O85" s="35">
        <v>219648</v>
      </c>
      <c r="P85" s="22">
        <v>209203</v>
      </c>
      <c r="Q85" s="22"/>
      <c r="R85" s="22"/>
      <c r="S85" s="152"/>
      <c r="T85" s="151">
        <v>209203</v>
      </c>
      <c r="U85" s="149">
        <f t="shared" si="19"/>
        <v>0</v>
      </c>
      <c r="V85" s="150"/>
      <c r="W85" s="154">
        <v>209203</v>
      </c>
      <c r="X85" s="149">
        <f t="shared" si="18"/>
        <v>0</v>
      </c>
    </row>
    <row r="86" spans="1:24" s="1" customFormat="1" ht="26.45" customHeight="1" x14ac:dyDescent="0.2">
      <c r="A86" s="216" t="s">
        <v>83</v>
      </c>
      <c r="B86" s="193" t="s">
        <v>84</v>
      </c>
      <c r="C86" s="237" t="s">
        <v>85</v>
      </c>
      <c r="D86" s="244" t="s">
        <v>270</v>
      </c>
      <c r="E86" s="244" t="s">
        <v>271</v>
      </c>
      <c r="F86" s="244" t="s">
        <v>434</v>
      </c>
      <c r="G86" s="244" t="s">
        <v>42</v>
      </c>
      <c r="H86" s="244" t="s">
        <v>513</v>
      </c>
      <c r="I86" s="244" t="s">
        <v>42</v>
      </c>
      <c r="J86" s="244" t="s">
        <v>16</v>
      </c>
      <c r="K86" s="248" t="s">
        <v>285</v>
      </c>
      <c r="L86" s="253" t="s">
        <v>86</v>
      </c>
      <c r="M86" s="29" t="s">
        <v>288</v>
      </c>
      <c r="N86" s="91" t="s">
        <v>289</v>
      </c>
      <c r="O86" s="36">
        <f>SUM(O87:O93)</f>
        <v>3775469.9699999997</v>
      </c>
      <c r="P86" s="22">
        <f t="shared" ref="P86" si="23">SUM(P87:P93)</f>
        <v>478300</v>
      </c>
      <c r="Q86" s="22">
        <f t="shared" ref="Q86:R86" si="24">SUM(Q87:Q93)</f>
        <v>0</v>
      </c>
      <c r="R86" s="22">
        <f t="shared" si="24"/>
        <v>0</v>
      </c>
      <c r="S86" s="152"/>
      <c r="T86" s="151"/>
      <c r="U86" s="149">
        <f t="shared" si="19"/>
        <v>-478300</v>
      </c>
      <c r="V86" s="150"/>
      <c r="W86" s="154">
        <f t="shared" ref="W86" si="25">SUM(W87:W93)</f>
        <v>478300</v>
      </c>
      <c r="X86" s="149">
        <f t="shared" si="18"/>
        <v>-478300</v>
      </c>
    </row>
    <row r="87" spans="1:24" s="1" customFormat="1" ht="26.45" customHeight="1" x14ac:dyDescent="0.2">
      <c r="A87" s="216"/>
      <c r="B87" s="193"/>
      <c r="C87" s="208"/>
      <c r="D87" s="209"/>
      <c r="E87" s="209"/>
      <c r="F87" s="209"/>
      <c r="G87" s="209"/>
      <c r="H87" s="209"/>
      <c r="I87" s="209"/>
      <c r="J87" s="209"/>
      <c r="K87" s="249"/>
      <c r="L87" s="254"/>
      <c r="M87" s="245" t="s">
        <v>337</v>
      </c>
      <c r="N87" s="15" t="s">
        <v>26</v>
      </c>
      <c r="O87" s="37">
        <v>1600</v>
      </c>
      <c r="P87" s="135">
        <v>26000</v>
      </c>
      <c r="Q87" s="22"/>
      <c r="R87" s="22"/>
      <c r="S87" s="152"/>
      <c r="T87" s="151">
        <v>26000</v>
      </c>
      <c r="U87" s="149">
        <f t="shared" si="19"/>
        <v>0</v>
      </c>
      <c r="V87" s="150"/>
      <c r="W87" s="151">
        <v>26000</v>
      </c>
      <c r="X87" s="149">
        <f t="shared" si="18"/>
        <v>0</v>
      </c>
    </row>
    <row r="88" spans="1:24" s="1" customFormat="1" ht="26.45" customHeight="1" x14ac:dyDescent="0.2">
      <c r="A88" s="216"/>
      <c r="B88" s="193"/>
      <c r="C88" s="208"/>
      <c r="D88" s="209"/>
      <c r="E88" s="209"/>
      <c r="F88" s="209"/>
      <c r="G88" s="209"/>
      <c r="H88" s="209"/>
      <c r="I88" s="209"/>
      <c r="J88" s="209"/>
      <c r="K88" s="249"/>
      <c r="L88" s="254"/>
      <c r="M88" s="246"/>
      <c r="N88" s="15" t="s">
        <v>286</v>
      </c>
      <c r="O88" s="37">
        <v>901954.97</v>
      </c>
      <c r="P88" s="135">
        <v>28600</v>
      </c>
      <c r="Q88" s="22"/>
      <c r="R88" s="22"/>
      <c r="S88" s="152"/>
      <c r="T88" s="151">
        <v>28600</v>
      </c>
      <c r="U88" s="149">
        <f t="shared" si="19"/>
        <v>0</v>
      </c>
      <c r="V88" s="150"/>
      <c r="W88" s="151">
        <v>28600</v>
      </c>
      <c r="X88" s="149">
        <f t="shared" si="18"/>
        <v>0</v>
      </c>
    </row>
    <row r="89" spans="1:24" s="1" customFormat="1" ht="26.45" customHeight="1" x14ac:dyDescent="0.2">
      <c r="A89" s="216"/>
      <c r="B89" s="193"/>
      <c r="C89" s="208"/>
      <c r="D89" s="209"/>
      <c r="E89" s="209"/>
      <c r="F89" s="209"/>
      <c r="G89" s="209"/>
      <c r="H89" s="209"/>
      <c r="I89" s="209"/>
      <c r="J89" s="209"/>
      <c r="K89" s="249"/>
      <c r="L89" s="254"/>
      <c r="M89" s="245" t="s">
        <v>338</v>
      </c>
      <c r="N89" s="90" t="s">
        <v>26</v>
      </c>
      <c r="O89" s="39">
        <v>211200</v>
      </c>
      <c r="P89" s="135">
        <v>211200</v>
      </c>
      <c r="Q89" s="22"/>
      <c r="R89" s="22"/>
      <c r="S89" s="152"/>
      <c r="T89" s="151">
        <v>211200</v>
      </c>
      <c r="U89" s="149">
        <f t="shared" si="19"/>
        <v>0</v>
      </c>
      <c r="V89" s="150"/>
      <c r="W89" s="151">
        <v>211200</v>
      </c>
      <c r="X89" s="149">
        <f t="shared" si="18"/>
        <v>0</v>
      </c>
    </row>
    <row r="90" spans="1:24" s="1" customFormat="1" ht="26.45" customHeight="1" x14ac:dyDescent="0.2">
      <c r="A90" s="216"/>
      <c r="B90" s="193"/>
      <c r="C90" s="208"/>
      <c r="D90" s="209"/>
      <c r="E90" s="209"/>
      <c r="F90" s="209"/>
      <c r="G90" s="209"/>
      <c r="H90" s="209"/>
      <c r="I90" s="209"/>
      <c r="J90" s="209"/>
      <c r="K90" s="249"/>
      <c r="L90" s="254"/>
      <c r="M90" s="247"/>
      <c r="N90" s="114" t="s">
        <v>286</v>
      </c>
      <c r="O90" s="35">
        <v>199200</v>
      </c>
      <c r="P90" s="135">
        <v>208700</v>
      </c>
      <c r="Q90" s="22"/>
      <c r="R90" s="22"/>
      <c r="S90" s="152"/>
      <c r="T90" s="151">
        <v>208700</v>
      </c>
      <c r="U90" s="149">
        <f t="shared" si="19"/>
        <v>0</v>
      </c>
      <c r="V90" s="150"/>
      <c r="W90" s="151">
        <v>208700</v>
      </c>
      <c r="X90" s="149">
        <f t="shared" si="18"/>
        <v>0</v>
      </c>
    </row>
    <row r="91" spans="1:24" s="1" customFormat="1" ht="26.45" customHeight="1" x14ac:dyDescent="0.2">
      <c r="A91" s="216"/>
      <c r="B91" s="193"/>
      <c r="C91" s="208"/>
      <c r="D91" s="209"/>
      <c r="E91" s="209"/>
      <c r="F91" s="209"/>
      <c r="G91" s="209"/>
      <c r="H91" s="209"/>
      <c r="I91" s="209"/>
      <c r="J91" s="209"/>
      <c r="K91" s="249"/>
      <c r="L91" s="254"/>
      <c r="M91" s="112" t="s">
        <v>339</v>
      </c>
      <c r="N91" s="114" t="s">
        <v>286</v>
      </c>
      <c r="O91" s="35">
        <v>10000</v>
      </c>
      <c r="P91" s="135">
        <v>3800</v>
      </c>
      <c r="Q91" s="22"/>
      <c r="R91" s="22"/>
      <c r="S91" s="152"/>
      <c r="T91" s="151">
        <v>3800</v>
      </c>
      <c r="U91" s="149">
        <f t="shared" si="19"/>
        <v>0</v>
      </c>
      <c r="V91" s="150"/>
      <c r="W91" s="151">
        <v>3800</v>
      </c>
      <c r="X91" s="149">
        <f t="shared" si="18"/>
        <v>0</v>
      </c>
    </row>
    <row r="92" spans="1:24" s="1" customFormat="1" ht="26.45" customHeight="1" x14ac:dyDescent="0.2">
      <c r="A92" s="216"/>
      <c r="B92" s="193"/>
      <c r="C92" s="208"/>
      <c r="D92" s="209"/>
      <c r="E92" s="209"/>
      <c r="F92" s="209"/>
      <c r="G92" s="209"/>
      <c r="H92" s="209"/>
      <c r="I92" s="209"/>
      <c r="J92" s="209"/>
      <c r="K92" s="249"/>
      <c r="L92" s="114" t="s">
        <v>520</v>
      </c>
      <c r="M92" s="112" t="s">
        <v>340</v>
      </c>
      <c r="N92" s="114" t="s">
        <v>296</v>
      </c>
      <c r="O92" s="35"/>
      <c r="P92" s="22"/>
      <c r="Q92" s="22"/>
      <c r="R92" s="22"/>
      <c r="S92" s="152"/>
      <c r="T92" s="151"/>
      <c r="U92" s="149">
        <f t="shared" si="19"/>
        <v>0</v>
      </c>
      <c r="V92" s="150"/>
      <c r="W92" s="154"/>
      <c r="X92" s="149">
        <f t="shared" si="18"/>
        <v>0</v>
      </c>
    </row>
    <row r="93" spans="1:24" s="1" customFormat="1" ht="26.45" customHeight="1" x14ac:dyDescent="0.2">
      <c r="A93" s="216" t="s">
        <v>0</v>
      </c>
      <c r="B93" s="194"/>
      <c r="C93" s="208" t="s">
        <v>0</v>
      </c>
      <c r="D93" s="185"/>
      <c r="E93" s="185"/>
      <c r="F93" s="185"/>
      <c r="G93" s="185"/>
      <c r="H93" s="185"/>
      <c r="I93" s="185"/>
      <c r="J93" s="185"/>
      <c r="K93" s="249"/>
      <c r="L93" s="114" t="s">
        <v>86</v>
      </c>
      <c r="M93" s="38" t="s">
        <v>287</v>
      </c>
      <c r="N93" s="114" t="s">
        <v>286</v>
      </c>
      <c r="O93" s="35">
        <v>2451515</v>
      </c>
      <c r="P93" s="22"/>
      <c r="Q93" s="22"/>
      <c r="R93" s="22"/>
      <c r="S93" s="152"/>
      <c r="T93" s="151"/>
      <c r="U93" s="149">
        <f t="shared" si="19"/>
        <v>0</v>
      </c>
      <c r="V93" s="150"/>
      <c r="W93" s="154"/>
      <c r="X93" s="149">
        <f t="shared" si="18"/>
        <v>0</v>
      </c>
    </row>
    <row r="94" spans="1:24" s="1" customFormat="1" ht="26.45" customHeight="1" x14ac:dyDescent="0.2">
      <c r="A94" s="184" t="s">
        <v>87</v>
      </c>
      <c r="B94" s="184" t="s">
        <v>88</v>
      </c>
      <c r="C94" s="184" t="s">
        <v>89</v>
      </c>
      <c r="D94" s="184" t="s">
        <v>270</v>
      </c>
      <c r="E94" s="184" t="s">
        <v>271</v>
      </c>
      <c r="F94" s="250"/>
      <c r="G94" s="184"/>
      <c r="H94" s="184" t="s">
        <v>514</v>
      </c>
      <c r="I94" s="184" t="s">
        <v>42</v>
      </c>
      <c r="J94" s="184" t="s">
        <v>11</v>
      </c>
      <c r="K94" s="91" t="s">
        <v>289</v>
      </c>
      <c r="L94" s="91" t="s">
        <v>289</v>
      </c>
      <c r="M94" s="27" t="s">
        <v>289</v>
      </c>
      <c r="N94" s="114" t="s">
        <v>289</v>
      </c>
      <c r="O94" s="35">
        <f>O95+O96+O97</f>
        <v>15572</v>
      </c>
      <c r="P94" s="22">
        <f t="shared" ref="P94" si="26">P95+P96+P97</f>
        <v>128400</v>
      </c>
      <c r="Q94" s="22">
        <f t="shared" ref="Q94:R94" si="27">Q95+Q96+Q97</f>
        <v>0</v>
      </c>
      <c r="R94" s="22">
        <f t="shared" si="27"/>
        <v>0</v>
      </c>
      <c r="S94" s="152"/>
      <c r="T94" s="151"/>
      <c r="U94" s="149">
        <f t="shared" si="19"/>
        <v>-128400</v>
      </c>
      <c r="V94" s="150"/>
      <c r="W94" s="154">
        <f t="shared" ref="W94" si="28">W95+W96+W97</f>
        <v>128400</v>
      </c>
      <c r="X94" s="149">
        <f t="shared" si="18"/>
        <v>-128400</v>
      </c>
    </row>
    <row r="95" spans="1:24" s="1" customFormat="1" ht="26.45" customHeight="1" x14ac:dyDescent="0.2">
      <c r="A95" s="209"/>
      <c r="B95" s="209"/>
      <c r="C95" s="209"/>
      <c r="D95" s="209"/>
      <c r="E95" s="209"/>
      <c r="F95" s="251"/>
      <c r="G95" s="209"/>
      <c r="H95" s="209"/>
      <c r="I95" s="209"/>
      <c r="J95" s="209"/>
      <c r="K95" s="91" t="s">
        <v>285</v>
      </c>
      <c r="L95" s="91" t="s">
        <v>307</v>
      </c>
      <c r="M95" s="15" t="s">
        <v>349</v>
      </c>
      <c r="N95" s="91" t="s">
        <v>286</v>
      </c>
      <c r="O95" s="36">
        <v>5000</v>
      </c>
      <c r="P95" s="135">
        <v>5000</v>
      </c>
      <c r="Q95" s="22"/>
      <c r="R95" s="22"/>
      <c r="S95" s="152"/>
      <c r="T95" s="151">
        <v>5000</v>
      </c>
      <c r="U95" s="149">
        <f t="shared" si="19"/>
        <v>0</v>
      </c>
      <c r="V95" s="150"/>
      <c r="W95" s="151">
        <v>5000</v>
      </c>
      <c r="X95" s="149">
        <f t="shared" si="18"/>
        <v>0</v>
      </c>
    </row>
    <row r="96" spans="1:24" s="1" customFormat="1" ht="26.45" customHeight="1" x14ac:dyDescent="0.2">
      <c r="A96" s="209"/>
      <c r="B96" s="209"/>
      <c r="C96" s="209"/>
      <c r="D96" s="209"/>
      <c r="E96" s="209"/>
      <c r="F96" s="251"/>
      <c r="G96" s="209"/>
      <c r="H96" s="209"/>
      <c r="I96" s="209"/>
      <c r="J96" s="209"/>
      <c r="K96" s="186" t="s">
        <v>293</v>
      </c>
      <c r="L96" s="186" t="s">
        <v>308</v>
      </c>
      <c r="M96" s="186" t="s">
        <v>363</v>
      </c>
      <c r="N96" s="15" t="s">
        <v>26</v>
      </c>
      <c r="O96" s="37">
        <v>2100</v>
      </c>
      <c r="P96" s="135">
        <v>2850</v>
      </c>
      <c r="Q96" s="22"/>
      <c r="R96" s="22"/>
      <c r="S96" s="152"/>
      <c r="T96" s="151">
        <v>2850</v>
      </c>
      <c r="U96" s="149">
        <f t="shared" si="19"/>
        <v>0</v>
      </c>
      <c r="V96" s="150"/>
      <c r="W96" s="151">
        <v>2850</v>
      </c>
      <c r="X96" s="149">
        <f t="shared" si="18"/>
        <v>0</v>
      </c>
    </row>
    <row r="97" spans="1:24" s="1" customFormat="1" ht="26.45" customHeight="1" x14ac:dyDescent="0.2">
      <c r="A97" s="185"/>
      <c r="B97" s="185"/>
      <c r="C97" s="185"/>
      <c r="D97" s="185"/>
      <c r="E97" s="185"/>
      <c r="F97" s="252"/>
      <c r="G97" s="185"/>
      <c r="H97" s="185"/>
      <c r="I97" s="185"/>
      <c r="J97" s="185"/>
      <c r="K97" s="187"/>
      <c r="L97" s="187"/>
      <c r="M97" s="187"/>
      <c r="N97" s="15" t="s">
        <v>286</v>
      </c>
      <c r="O97" s="37">
        <v>8472</v>
      </c>
      <c r="P97" s="135">
        <v>120550</v>
      </c>
      <c r="Q97" s="22"/>
      <c r="R97" s="22"/>
      <c r="S97" s="152"/>
      <c r="T97" s="151">
        <v>120550</v>
      </c>
      <c r="U97" s="149">
        <f t="shared" si="19"/>
        <v>0</v>
      </c>
      <c r="V97" s="150"/>
      <c r="W97" s="151">
        <v>120550</v>
      </c>
      <c r="X97" s="149">
        <f t="shared" si="18"/>
        <v>0</v>
      </c>
    </row>
    <row r="98" spans="1:24" s="1" customFormat="1" ht="98.25" customHeight="1" x14ac:dyDescent="0.2">
      <c r="A98" s="119" t="s">
        <v>90</v>
      </c>
      <c r="B98" s="120" t="s">
        <v>91</v>
      </c>
      <c r="C98" s="120" t="s">
        <v>92</v>
      </c>
      <c r="D98" s="120" t="s">
        <v>93</v>
      </c>
      <c r="E98" s="120" t="s">
        <v>42</v>
      </c>
      <c r="F98" s="120" t="s">
        <v>516</v>
      </c>
      <c r="G98" s="120" t="s">
        <v>42</v>
      </c>
      <c r="H98" s="120" t="s">
        <v>473</v>
      </c>
      <c r="I98" s="120" t="s">
        <v>42</v>
      </c>
      <c r="J98" s="120" t="s">
        <v>21</v>
      </c>
      <c r="K98" s="15" t="s">
        <v>285</v>
      </c>
      <c r="L98" s="15" t="s">
        <v>94</v>
      </c>
      <c r="M98" s="15" t="s">
        <v>394</v>
      </c>
      <c r="N98" s="15" t="s">
        <v>286</v>
      </c>
      <c r="O98" s="37">
        <v>0</v>
      </c>
      <c r="P98" s="135">
        <v>315000</v>
      </c>
      <c r="Q98" s="22"/>
      <c r="R98" s="22"/>
      <c r="S98" s="152"/>
      <c r="T98" s="151">
        <v>315000</v>
      </c>
      <c r="U98" s="149">
        <f t="shared" si="19"/>
        <v>0</v>
      </c>
      <c r="V98" s="150"/>
      <c r="W98" s="151">
        <v>315000</v>
      </c>
      <c r="X98" s="149">
        <f t="shared" si="18"/>
        <v>0</v>
      </c>
    </row>
    <row r="99" spans="1:24" s="1" customFormat="1" ht="26.45" customHeight="1" x14ac:dyDescent="0.2">
      <c r="A99" s="255" t="s">
        <v>95</v>
      </c>
      <c r="B99" s="184" t="s">
        <v>96</v>
      </c>
      <c r="C99" s="259" t="s">
        <v>97</v>
      </c>
      <c r="D99" s="184" t="s">
        <v>270</v>
      </c>
      <c r="E99" s="184" t="s">
        <v>271</v>
      </c>
      <c r="F99" s="184" t="s">
        <v>517</v>
      </c>
      <c r="G99" s="184" t="s">
        <v>42</v>
      </c>
      <c r="H99" s="184" t="s">
        <v>473</v>
      </c>
      <c r="I99" s="184" t="s">
        <v>42</v>
      </c>
      <c r="J99" s="184" t="s">
        <v>20</v>
      </c>
      <c r="K99" s="186" t="s">
        <v>285</v>
      </c>
      <c r="L99" s="15" t="s">
        <v>306</v>
      </c>
      <c r="M99" s="15" t="s">
        <v>289</v>
      </c>
      <c r="N99" s="15" t="s">
        <v>289</v>
      </c>
      <c r="O99" s="37">
        <f>SUM(O100:O103)</f>
        <v>20907915.129999999</v>
      </c>
      <c r="P99" s="22">
        <f>SUM(P100:P103)</f>
        <v>15006404.540000001</v>
      </c>
      <c r="Q99" s="22">
        <f>SUM(Q100:Q103)</f>
        <v>28680262.829999998</v>
      </c>
      <c r="R99" s="22">
        <f>SUM(R100:R103)</f>
        <v>3800000</v>
      </c>
      <c r="S99" s="152"/>
      <c r="T99" s="151"/>
      <c r="U99" s="149">
        <f t="shared" si="19"/>
        <v>-15006404.540000001</v>
      </c>
      <c r="V99" s="150"/>
      <c r="W99" s="154">
        <f>SUM(W100:W103)</f>
        <v>15006404.540000001</v>
      </c>
      <c r="X99" s="149">
        <f t="shared" si="18"/>
        <v>-15006404.540000001</v>
      </c>
    </row>
    <row r="100" spans="1:24" s="1" customFormat="1" ht="26.45" customHeight="1" x14ac:dyDescent="0.2">
      <c r="A100" s="255"/>
      <c r="B100" s="209"/>
      <c r="C100" s="260"/>
      <c r="D100" s="209"/>
      <c r="E100" s="209"/>
      <c r="F100" s="209"/>
      <c r="G100" s="209"/>
      <c r="H100" s="209"/>
      <c r="I100" s="209"/>
      <c r="J100" s="209"/>
      <c r="K100" s="274"/>
      <c r="L100" s="15" t="s">
        <v>138</v>
      </c>
      <c r="M100" s="15" t="s">
        <v>386</v>
      </c>
      <c r="N100" s="15" t="s">
        <v>286</v>
      </c>
      <c r="O100" s="37">
        <v>73661.039999999994</v>
      </c>
      <c r="P100" s="135">
        <v>79056</v>
      </c>
      <c r="Q100" s="22"/>
      <c r="R100" s="22"/>
      <c r="S100" s="152"/>
      <c r="T100" s="151">
        <v>79056</v>
      </c>
      <c r="U100" s="149">
        <f t="shared" si="19"/>
        <v>0</v>
      </c>
      <c r="V100" s="150"/>
      <c r="W100" s="151">
        <v>79056</v>
      </c>
      <c r="X100" s="149">
        <f t="shared" si="18"/>
        <v>0</v>
      </c>
    </row>
    <row r="101" spans="1:24" s="1" customFormat="1" ht="26.45" customHeight="1" x14ac:dyDescent="0.2">
      <c r="A101" s="255"/>
      <c r="B101" s="209"/>
      <c r="C101" s="260"/>
      <c r="D101" s="209"/>
      <c r="E101" s="209"/>
      <c r="F101" s="209"/>
      <c r="G101" s="209"/>
      <c r="H101" s="209"/>
      <c r="I101" s="209"/>
      <c r="J101" s="209"/>
      <c r="K101" s="274"/>
      <c r="L101" s="15" t="s">
        <v>138</v>
      </c>
      <c r="M101" s="15" t="s">
        <v>390</v>
      </c>
      <c r="N101" s="15" t="s">
        <v>309</v>
      </c>
      <c r="O101" s="37">
        <v>2174150</v>
      </c>
      <c r="P101" s="135">
        <v>1096303.58</v>
      </c>
      <c r="Q101" s="22"/>
      <c r="R101" s="22"/>
      <c r="S101" s="152"/>
      <c r="T101" s="151">
        <v>1096303.58</v>
      </c>
      <c r="U101" s="149">
        <f t="shared" si="19"/>
        <v>0</v>
      </c>
      <c r="V101" s="150"/>
      <c r="W101" s="151">
        <v>1096303.58</v>
      </c>
      <c r="X101" s="149">
        <f t="shared" si="18"/>
        <v>0</v>
      </c>
    </row>
    <row r="102" spans="1:24" s="1" customFormat="1" ht="26.45" customHeight="1" x14ac:dyDescent="0.2">
      <c r="A102" s="255"/>
      <c r="B102" s="209"/>
      <c r="C102" s="260"/>
      <c r="D102" s="209"/>
      <c r="E102" s="209"/>
      <c r="F102" s="209"/>
      <c r="G102" s="209"/>
      <c r="H102" s="209"/>
      <c r="I102" s="209"/>
      <c r="J102" s="209"/>
      <c r="K102" s="274"/>
      <c r="L102" s="15" t="s">
        <v>138</v>
      </c>
      <c r="M102" s="15" t="s">
        <v>387</v>
      </c>
      <c r="N102" s="15" t="s">
        <v>309</v>
      </c>
      <c r="O102" s="37"/>
      <c r="P102" s="22"/>
      <c r="Q102" s="22">
        <f>7822205+411695</f>
        <v>8233900</v>
      </c>
      <c r="R102" s="22"/>
      <c r="S102" s="152"/>
      <c r="T102" s="151"/>
      <c r="U102" s="149">
        <f t="shared" si="19"/>
        <v>0</v>
      </c>
      <c r="V102" s="150"/>
      <c r="W102" s="154"/>
      <c r="X102" s="149">
        <f t="shared" si="18"/>
        <v>0</v>
      </c>
    </row>
    <row r="103" spans="1:24" s="1" customFormat="1" ht="26.45" customHeight="1" x14ac:dyDescent="0.2">
      <c r="A103" s="255"/>
      <c r="B103" s="185"/>
      <c r="C103" s="261"/>
      <c r="D103" s="185"/>
      <c r="E103" s="185"/>
      <c r="F103" s="185"/>
      <c r="G103" s="185"/>
      <c r="H103" s="185"/>
      <c r="I103" s="185"/>
      <c r="J103" s="185"/>
      <c r="K103" s="187"/>
      <c r="L103" s="15" t="s">
        <v>98</v>
      </c>
      <c r="M103" s="15" t="s">
        <v>388</v>
      </c>
      <c r="N103" s="15" t="s">
        <v>309</v>
      </c>
      <c r="O103" s="37">
        <v>18660104.09</v>
      </c>
      <c r="P103" s="22">
        <v>13831044.960000001</v>
      </c>
      <c r="Q103" s="22">
        <v>20446362.829999998</v>
      </c>
      <c r="R103" s="22">
        <v>3800000</v>
      </c>
      <c r="S103" s="152"/>
      <c r="T103" s="154">
        <v>13831044.960000001</v>
      </c>
      <c r="U103" s="149">
        <f t="shared" si="19"/>
        <v>0</v>
      </c>
      <c r="V103" s="150"/>
      <c r="W103" s="154">
        <v>13831044.960000001</v>
      </c>
      <c r="X103" s="149">
        <f t="shared" si="18"/>
        <v>0</v>
      </c>
    </row>
    <row r="104" spans="1:24" s="1" customFormat="1" ht="48.75" customHeight="1" x14ac:dyDescent="0.2">
      <c r="A104" s="262" t="s">
        <v>99</v>
      </c>
      <c r="B104" s="184" t="s">
        <v>100</v>
      </c>
      <c r="C104" s="263" t="s">
        <v>101</v>
      </c>
      <c r="D104" s="184" t="s">
        <v>270</v>
      </c>
      <c r="E104" s="184" t="s">
        <v>271</v>
      </c>
      <c r="F104" s="184" t="s">
        <v>435</v>
      </c>
      <c r="G104" s="184" t="s">
        <v>42</v>
      </c>
      <c r="H104" s="184" t="s">
        <v>473</v>
      </c>
      <c r="I104" s="184" t="s">
        <v>42</v>
      </c>
      <c r="J104" s="184" t="s">
        <v>19</v>
      </c>
      <c r="K104" s="186" t="s">
        <v>285</v>
      </c>
      <c r="L104" s="16" t="s">
        <v>306</v>
      </c>
      <c r="M104" s="16" t="s">
        <v>289</v>
      </c>
      <c r="N104" s="16" t="s">
        <v>289</v>
      </c>
      <c r="O104" s="167">
        <f>O105+O106</f>
        <v>2962444.08</v>
      </c>
      <c r="P104" s="26">
        <f t="shared" ref="P104" si="29">P105+P106</f>
        <v>3246328.3899999997</v>
      </c>
      <c r="Q104" s="26">
        <f t="shared" ref="Q104:R104" si="30">Q105+Q106</f>
        <v>3151297.8</v>
      </c>
      <c r="R104" s="26">
        <f t="shared" si="30"/>
        <v>3151297.8</v>
      </c>
      <c r="S104" s="152"/>
      <c r="T104" s="151"/>
      <c r="U104" s="149">
        <f t="shared" si="19"/>
        <v>-3246328.3899999997</v>
      </c>
      <c r="V104" s="150"/>
      <c r="W104" s="154">
        <f t="shared" ref="W104" si="31">W105+W106</f>
        <v>3246328.3899999997</v>
      </c>
      <c r="X104" s="149">
        <f t="shared" si="18"/>
        <v>-3246328.3899999997</v>
      </c>
    </row>
    <row r="105" spans="1:24" s="1" customFormat="1" ht="48.75" customHeight="1" x14ac:dyDescent="0.2">
      <c r="A105" s="262"/>
      <c r="B105" s="209"/>
      <c r="C105" s="263"/>
      <c r="D105" s="209"/>
      <c r="E105" s="209"/>
      <c r="F105" s="209"/>
      <c r="G105" s="209"/>
      <c r="H105" s="209"/>
      <c r="I105" s="209"/>
      <c r="J105" s="209"/>
      <c r="K105" s="274"/>
      <c r="L105" s="15" t="s">
        <v>259</v>
      </c>
      <c r="M105" s="15" t="s">
        <v>385</v>
      </c>
      <c r="N105" s="15" t="s">
        <v>286</v>
      </c>
      <c r="O105" s="37">
        <v>59971.08</v>
      </c>
      <c r="P105" s="22">
        <v>95030.59</v>
      </c>
      <c r="Q105" s="22"/>
      <c r="R105" s="22"/>
      <c r="S105" s="152"/>
      <c r="T105" s="154">
        <v>95030.59</v>
      </c>
      <c r="U105" s="149">
        <f t="shared" si="19"/>
        <v>0</v>
      </c>
      <c r="V105" s="150"/>
      <c r="W105" s="154">
        <v>95030.59</v>
      </c>
      <c r="X105" s="149">
        <f t="shared" si="18"/>
        <v>0</v>
      </c>
    </row>
    <row r="106" spans="1:24" s="1" customFormat="1" ht="48.75" customHeight="1" x14ac:dyDescent="0.2">
      <c r="A106" s="262" t="s">
        <v>0</v>
      </c>
      <c r="B106" s="185"/>
      <c r="C106" s="263" t="s">
        <v>0</v>
      </c>
      <c r="D106" s="185"/>
      <c r="E106" s="185"/>
      <c r="F106" s="185"/>
      <c r="G106" s="185"/>
      <c r="H106" s="185"/>
      <c r="I106" s="185"/>
      <c r="J106" s="185"/>
      <c r="K106" s="187"/>
      <c r="L106" s="15" t="s">
        <v>102</v>
      </c>
      <c r="M106" s="15" t="s">
        <v>342</v>
      </c>
      <c r="N106" s="15" t="s">
        <v>292</v>
      </c>
      <c r="O106" s="37">
        <v>2902473</v>
      </c>
      <c r="P106" s="22">
        <v>3151297.8</v>
      </c>
      <c r="Q106" s="22">
        <v>3151297.8</v>
      </c>
      <c r="R106" s="22">
        <v>3151297.8</v>
      </c>
      <c r="S106" s="152"/>
      <c r="T106" s="154">
        <v>3151297.8</v>
      </c>
      <c r="U106" s="149">
        <f t="shared" si="19"/>
        <v>0</v>
      </c>
      <c r="V106" s="150"/>
      <c r="W106" s="154">
        <v>3151297.8</v>
      </c>
      <c r="X106" s="149">
        <f t="shared" si="18"/>
        <v>0</v>
      </c>
    </row>
    <row r="107" spans="1:24" s="1" customFormat="1" ht="41.25" customHeight="1" x14ac:dyDescent="0.2">
      <c r="A107" s="184" t="s">
        <v>103</v>
      </c>
      <c r="B107" s="184" t="s">
        <v>104</v>
      </c>
      <c r="C107" s="184" t="s">
        <v>105</v>
      </c>
      <c r="D107" s="184" t="s">
        <v>270</v>
      </c>
      <c r="E107" s="184" t="s">
        <v>271</v>
      </c>
      <c r="F107" s="184" t="s">
        <v>436</v>
      </c>
      <c r="G107" s="184" t="s">
        <v>42</v>
      </c>
      <c r="H107" s="184" t="s">
        <v>515</v>
      </c>
      <c r="I107" s="184" t="s">
        <v>42</v>
      </c>
      <c r="J107" s="184" t="s">
        <v>17</v>
      </c>
      <c r="K107" s="284" t="s">
        <v>285</v>
      </c>
      <c r="L107" s="284" t="s">
        <v>106</v>
      </c>
      <c r="M107" s="16" t="s">
        <v>289</v>
      </c>
      <c r="N107" s="16" t="s">
        <v>289</v>
      </c>
      <c r="O107" s="167">
        <f>O108+O109+O110+O111+O112</f>
        <v>3340009.5700000003</v>
      </c>
      <c r="P107" s="26">
        <f t="shared" ref="P107" si="32">P108+P109+P110+P111+P112</f>
        <v>3684368.8599999994</v>
      </c>
      <c r="Q107" s="26">
        <f t="shared" ref="Q107:R107" si="33">Q108+Q109+Q110+Q111+Q112</f>
        <v>2720300</v>
      </c>
      <c r="R107" s="26">
        <f t="shared" si="33"/>
        <v>2720300</v>
      </c>
      <c r="S107" s="152"/>
      <c r="T107" s="151"/>
      <c r="U107" s="149">
        <f t="shared" si="19"/>
        <v>-3684368.8599999994</v>
      </c>
      <c r="V107" s="150"/>
      <c r="W107" s="154">
        <f t="shared" ref="W107" si="34">W108+W109+W110+W111+W112</f>
        <v>3684368.8599999994</v>
      </c>
      <c r="X107" s="149">
        <f t="shared" si="18"/>
        <v>-3684368.8599999994</v>
      </c>
    </row>
    <row r="108" spans="1:24" s="1" customFormat="1" ht="41.25" customHeight="1" x14ac:dyDescent="0.2">
      <c r="A108" s="209"/>
      <c r="B108" s="209"/>
      <c r="C108" s="209"/>
      <c r="D108" s="209"/>
      <c r="E108" s="209"/>
      <c r="F108" s="209"/>
      <c r="G108" s="209"/>
      <c r="H108" s="209"/>
      <c r="I108" s="209"/>
      <c r="J108" s="209"/>
      <c r="K108" s="285"/>
      <c r="L108" s="285"/>
      <c r="M108" s="222" t="s">
        <v>420</v>
      </c>
      <c r="N108" s="15" t="s">
        <v>25</v>
      </c>
      <c r="O108" s="37">
        <v>1734382.35</v>
      </c>
      <c r="P108" s="135">
        <v>1922581.43</v>
      </c>
      <c r="Q108" s="22">
        <v>1775200</v>
      </c>
      <c r="R108" s="22">
        <v>1775200</v>
      </c>
      <c r="S108" s="152"/>
      <c r="T108" s="151">
        <v>1922581.43</v>
      </c>
      <c r="U108" s="149">
        <f t="shared" si="19"/>
        <v>0</v>
      </c>
      <c r="V108" s="150"/>
      <c r="W108" s="151">
        <v>1922581.43</v>
      </c>
      <c r="X108" s="149">
        <f t="shared" si="18"/>
        <v>0</v>
      </c>
    </row>
    <row r="109" spans="1:24" s="1" customFormat="1" ht="41.25" customHeight="1" x14ac:dyDescent="0.2">
      <c r="A109" s="209"/>
      <c r="B109" s="209"/>
      <c r="C109" s="209"/>
      <c r="D109" s="209"/>
      <c r="E109" s="209"/>
      <c r="F109" s="209"/>
      <c r="G109" s="209"/>
      <c r="H109" s="209"/>
      <c r="I109" s="209"/>
      <c r="J109" s="209"/>
      <c r="K109" s="285"/>
      <c r="L109" s="285"/>
      <c r="M109" s="223"/>
      <c r="N109" s="15" t="s">
        <v>27</v>
      </c>
      <c r="O109" s="37">
        <v>511887.51</v>
      </c>
      <c r="P109" s="135">
        <v>561798.21</v>
      </c>
      <c r="Q109" s="22">
        <v>536100</v>
      </c>
      <c r="R109" s="22">
        <v>536100</v>
      </c>
      <c r="S109" s="152"/>
      <c r="T109" s="151">
        <v>561798.21</v>
      </c>
      <c r="U109" s="149">
        <f t="shared" si="19"/>
        <v>0</v>
      </c>
      <c r="V109" s="150"/>
      <c r="W109" s="151">
        <v>561798.21</v>
      </c>
      <c r="X109" s="149">
        <f t="shared" si="18"/>
        <v>0</v>
      </c>
    </row>
    <row r="110" spans="1:24" s="1" customFormat="1" ht="41.25" customHeight="1" x14ac:dyDescent="0.2">
      <c r="A110" s="209"/>
      <c r="B110" s="209"/>
      <c r="C110" s="209"/>
      <c r="D110" s="209"/>
      <c r="E110" s="209"/>
      <c r="F110" s="209"/>
      <c r="G110" s="209"/>
      <c r="H110" s="209"/>
      <c r="I110" s="209"/>
      <c r="J110" s="209"/>
      <c r="K110" s="285"/>
      <c r="L110" s="285"/>
      <c r="M110" s="223"/>
      <c r="N110" s="15" t="s">
        <v>286</v>
      </c>
      <c r="O110" s="37">
        <v>949739.71</v>
      </c>
      <c r="P110" s="135">
        <v>1041361.22</v>
      </c>
      <c r="Q110" s="22">
        <v>333400</v>
      </c>
      <c r="R110" s="22">
        <v>333400</v>
      </c>
      <c r="S110" s="152"/>
      <c r="T110" s="151">
        <v>1041361.22</v>
      </c>
      <c r="U110" s="149">
        <f t="shared" si="19"/>
        <v>0</v>
      </c>
      <c r="V110" s="150"/>
      <c r="W110" s="151">
        <v>1041361.22</v>
      </c>
      <c r="X110" s="149">
        <f t="shared" si="18"/>
        <v>0</v>
      </c>
    </row>
    <row r="111" spans="1:24" s="1" customFormat="1" ht="41.25" customHeight="1" x14ac:dyDescent="0.2">
      <c r="A111" s="209"/>
      <c r="B111" s="209"/>
      <c r="C111" s="209"/>
      <c r="D111" s="209"/>
      <c r="E111" s="209"/>
      <c r="F111" s="209"/>
      <c r="G111" s="209"/>
      <c r="H111" s="209"/>
      <c r="I111" s="209"/>
      <c r="J111" s="209"/>
      <c r="K111" s="285"/>
      <c r="L111" s="285"/>
      <c r="M111" s="224"/>
      <c r="N111" s="15" t="s">
        <v>285</v>
      </c>
      <c r="O111" s="37">
        <v>33600</v>
      </c>
      <c r="P111" s="135">
        <v>22668</v>
      </c>
      <c r="Q111" s="22">
        <v>15600</v>
      </c>
      <c r="R111" s="22">
        <v>15600</v>
      </c>
      <c r="S111" s="152"/>
      <c r="T111" s="151">
        <v>22668</v>
      </c>
      <c r="U111" s="149">
        <f t="shared" si="19"/>
        <v>0</v>
      </c>
      <c r="V111" s="150"/>
      <c r="W111" s="151">
        <v>22668</v>
      </c>
      <c r="X111" s="149">
        <f t="shared" si="18"/>
        <v>0</v>
      </c>
    </row>
    <row r="112" spans="1:24" s="1" customFormat="1" ht="41.25" customHeight="1" x14ac:dyDescent="0.2">
      <c r="A112" s="185"/>
      <c r="B112" s="185"/>
      <c r="C112" s="185"/>
      <c r="D112" s="185"/>
      <c r="E112" s="185"/>
      <c r="F112" s="185"/>
      <c r="G112" s="185"/>
      <c r="H112" s="185"/>
      <c r="I112" s="185"/>
      <c r="J112" s="185"/>
      <c r="K112" s="286"/>
      <c r="L112" s="286"/>
      <c r="M112" s="15" t="s">
        <v>421</v>
      </c>
      <c r="N112" s="15" t="s">
        <v>286</v>
      </c>
      <c r="O112" s="37">
        <v>110400</v>
      </c>
      <c r="P112" s="135">
        <v>135960</v>
      </c>
      <c r="Q112" s="22">
        <v>60000</v>
      </c>
      <c r="R112" s="22">
        <v>60000</v>
      </c>
      <c r="S112" s="152"/>
      <c r="T112" s="151">
        <v>135960</v>
      </c>
      <c r="U112" s="149">
        <f t="shared" si="19"/>
        <v>0</v>
      </c>
      <c r="V112" s="150"/>
      <c r="W112" s="151">
        <v>135960</v>
      </c>
      <c r="X112" s="149">
        <f t="shared" si="18"/>
        <v>0</v>
      </c>
    </row>
    <row r="113" spans="1:24" s="1" customFormat="1" ht="61.5" customHeight="1" x14ac:dyDescent="0.2">
      <c r="A113" s="184" t="s">
        <v>107</v>
      </c>
      <c r="B113" s="184" t="s">
        <v>108</v>
      </c>
      <c r="C113" s="184" t="s">
        <v>109</v>
      </c>
      <c r="D113" s="184" t="s">
        <v>110</v>
      </c>
      <c r="E113" s="184" t="s">
        <v>42</v>
      </c>
      <c r="F113" s="184" t="s">
        <v>518</v>
      </c>
      <c r="G113" s="184" t="s">
        <v>42</v>
      </c>
      <c r="H113" s="184" t="s">
        <v>443</v>
      </c>
      <c r="I113" s="184" t="s">
        <v>42</v>
      </c>
      <c r="J113" s="184" t="s">
        <v>9</v>
      </c>
      <c r="K113" s="222" t="s">
        <v>285</v>
      </c>
      <c r="L113" s="222" t="s">
        <v>111</v>
      </c>
      <c r="M113" s="1" t="s">
        <v>288</v>
      </c>
      <c r="N113" s="15" t="s">
        <v>289</v>
      </c>
      <c r="O113" s="37">
        <f>O114+O115+O116</f>
        <v>2222776.12</v>
      </c>
      <c r="P113" s="22">
        <f t="shared" ref="P113" si="35">P114+P115+P116</f>
        <v>4479293.2</v>
      </c>
      <c r="Q113" s="22">
        <f t="shared" ref="Q113:R113" si="36">Q114+Q115+Q116</f>
        <v>1300000</v>
      </c>
      <c r="R113" s="22">
        <f t="shared" si="36"/>
        <v>1300000</v>
      </c>
      <c r="S113" s="152"/>
      <c r="T113" s="151"/>
      <c r="U113" s="149">
        <f t="shared" si="19"/>
        <v>-4479293.2</v>
      </c>
      <c r="V113" s="150"/>
      <c r="W113" s="154">
        <f t="shared" ref="W113" si="37">W114+W115+W116</f>
        <v>4479293.2</v>
      </c>
      <c r="X113" s="149">
        <f t="shared" si="18"/>
        <v>-4479293.2</v>
      </c>
    </row>
    <row r="114" spans="1:24" s="1" customFormat="1" ht="61.5" customHeight="1" x14ac:dyDescent="0.2">
      <c r="A114" s="209"/>
      <c r="B114" s="209"/>
      <c r="C114" s="209"/>
      <c r="D114" s="209"/>
      <c r="E114" s="209"/>
      <c r="F114" s="209"/>
      <c r="G114" s="209"/>
      <c r="H114" s="209"/>
      <c r="I114" s="209"/>
      <c r="J114" s="209"/>
      <c r="K114" s="223"/>
      <c r="L114" s="223"/>
      <c r="M114" s="103" t="s">
        <v>419</v>
      </c>
      <c r="N114" s="15" t="s">
        <v>310</v>
      </c>
      <c r="O114" s="37">
        <v>2222776.12</v>
      </c>
      <c r="P114" s="135">
        <v>3124293.2</v>
      </c>
      <c r="Q114" s="22">
        <v>1300000</v>
      </c>
      <c r="R114" s="22">
        <v>1300000</v>
      </c>
      <c r="S114" s="152"/>
      <c r="T114" s="151">
        <v>3124293.2</v>
      </c>
      <c r="U114" s="149">
        <f t="shared" si="19"/>
        <v>0</v>
      </c>
      <c r="V114" s="150"/>
      <c r="W114" s="151">
        <v>3124293.2</v>
      </c>
      <c r="X114" s="149">
        <f t="shared" si="18"/>
        <v>0</v>
      </c>
    </row>
    <row r="115" spans="1:24" s="1" customFormat="1" ht="61.5" customHeight="1" x14ac:dyDescent="0.2">
      <c r="A115" s="209"/>
      <c r="B115" s="209"/>
      <c r="C115" s="209"/>
      <c r="D115" s="209"/>
      <c r="E115" s="209"/>
      <c r="F115" s="209"/>
      <c r="G115" s="209"/>
      <c r="H115" s="209"/>
      <c r="I115" s="209"/>
      <c r="J115" s="209"/>
      <c r="K115" s="223"/>
      <c r="L115" s="223"/>
      <c r="M115" s="222" t="s">
        <v>522</v>
      </c>
      <c r="N115" s="15" t="s">
        <v>325</v>
      </c>
      <c r="O115" s="37"/>
      <c r="P115" s="135">
        <v>1000000</v>
      </c>
      <c r="Q115" s="22"/>
      <c r="R115" s="22"/>
      <c r="S115" s="152"/>
      <c r="T115" s="151">
        <v>1000000</v>
      </c>
      <c r="U115" s="149">
        <f t="shared" si="19"/>
        <v>0</v>
      </c>
      <c r="V115" s="150"/>
      <c r="W115" s="151">
        <v>1000000</v>
      </c>
      <c r="X115" s="149">
        <f t="shared" si="18"/>
        <v>0</v>
      </c>
    </row>
    <row r="116" spans="1:24" s="1" customFormat="1" ht="61.5" customHeight="1" x14ac:dyDescent="0.2">
      <c r="A116" s="185"/>
      <c r="B116" s="185"/>
      <c r="C116" s="185"/>
      <c r="D116" s="185"/>
      <c r="E116" s="185"/>
      <c r="F116" s="185"/>
      <c r="G116" s="185"/>
      <c r="H116" s="185"/>
      <c r="I116" s="185"/>
      <c r="J116" s="185"/>
      <c r="K116" s="224"/>
      <c r="L116" s="224"/>
      <c r="M116" s="224"/>
      <c r="N116" s="15" t="s">
        <v>286</v>
      </c>
      <c r="O116" s="37"/>
      <c r="P116" s="135">
        <v>355000</v>
      </c>
      <c r="Q116" s="22"/>
      <c r="R116" s="22"/>
      <c r="S116" s="152"/>
      <c r="T116" s="151">
        <v>355000</v>
      </c>
      <c r="U116" s="149">
        <f t="shared" si="19"/>
        <v>0</v>
      </c>
      <c r="V116" s="150"/>
      <c r="W116" s="151">
        <v>355000</v>
      </c>
      <c r="X116" s="149">
        <f t="shared" si="18"/>
        <v>0</v>
      </c>
    </row>
    <row r="117" spans="1:24" s="1" customFormat="1" ht="26.45" customHeight="1" x14ac:dyDescent="0.2">
      <c r="A117" s="7" t="s">
        <v>112</v>
      </c>
      <c r="B117" s="120" t="s">
        <v>113</v>
      </c>
      <c r="C117" s="120" t="s">
        <v>114</v>
      </c>
      <c r="D117" s="120" t="s">
        <v>270</v>
      </c>
      <c r="E117" s="120" t="s">
        <v>271</v>
      </c>
      <c r="F117" s="120" t="s">
        <v>0</v>
      </c>
      <c r="G117" s="120" t="s">
        <v>0</v>
      </c>
      <c r="H117" s="120" t="s">
        <v>0</v>
      </c>
      <c r="I117" s="120" t="s">
        <v>0</v>
      </c>
      <c r="J117" s="120" t="s">
        <v>0</v>
      </c>
      <c r="K117" s="15"/>
      <c r="L117" s="15"/>
      <c r="M117" s="15"/>
      <c r="N117" s="15"/>
      <c r="O117" s="168">
        <f>O118+O122+O125+O126+O127</f>
        <v>5634018.3200000003</v>
      </c>
      <c r="P117" s="136">
        <f t="shared" ref="P117" si="38">P118+P122+P125+P126+P127</f>
        <v>5826873.4000000004</v>
      </c>
      <c r="Q117" s="136">
        <f t="shared" ref="Q117:R117" si="39">Q118+Q122+Q125+Q126+Q127</f>
        <v>5890900</v>
      </c>
      <c r="R117" s="136">
        <f t="shared" si="39"/>
        <v>5890900</v>
      </c>
      <c r="S117" s="152"/>
      <c r="T117" s="151"/>
      <c r="U117" s="149">
        <f t="shared" si="19"/>
        <v>-5826873.4000000004</v>
      </c>
      <c r="V117" s="150"/>
      <c r="W117" s="155">
        <f t="shared" ref="W117" si="40">W118+W122+W125+W126+W127</f>
        <v>5826873.4000000004</v>
      </c>
      <c r="X117" s="149">
        <f t="shared" si="18"/>
        <v>-5826873.4000000004</v>
      </c>
    </row>
    <row r="118" spans="1:24" s="1" customFormat="1" ht="36" customHeight="1" x14ac:dyDescent="0.2">
      <c r="A118" s="184" t="s">
        <v>115</v>
      </c>
      <c r="B118" s="184" t="s">
        <v>116</v>
      </c>
      <c r="C118" s="184" t="s">
        <v>117</v>
      </c>
      <c r="D118" s="184" t="s">
        <v>270</v>
      </c>
      <c r="E118" s="184" t="s">
        <v>271</v>
      </c>
      <c r="F118" s="184" t="s">
        <v>79</v>
      </c>
      <c r="G118" s="184" t="s">
        <v>42</v>
      </c>
      <c r="H118" s="184" t="s">
        <v>519</v>
      </c>
      <c r="I118" s="184" t="s">
        <v>42</v>
      </c>
      <c r="J118" s="184" t="s">
        <v>12</v>
      </c>
      <c r="K118" s="186" t="s">
        <v>285</v>
      </c>
      <c r="L118" s="186" t="s">
        <v>75</v>
      </c>
      <c r="M118" s="186" t="s">
        <v>348</v>
      </c>
      <c r="N118" s="15" t="s">
        <v>289</v>
      </c>
      <c r="O118" s="37">
        <f>O119+O120+O121</f>
        <v>5409372</v>
      </c>
      <c r="P118" s="22">
        <f t="shared" ref="P118" si="41">P119+P120+P121</f>
        <v>5575489</v>
      </c>
      <c r="Q118" s="22">
        <f t="shared" ref="Q118:R118" si="42">Q119+Q120+Q121</f>
        <v>5600000</v>
      </c>
      <c r="R118" s="22">
        <f t="shared" si="42"/>
        <v>5600000</v>
      </c>
      <c r="S118" s="152"/>
      <c r="T118" s="151"/>
      <c r="U118" s="149">
        <f t="shared" si="19"/>
        <v>-5575489</v>
      </c>
      <c r="V118" s="150"/>
      <c r="W118" s="154">
        <f t="shared" ref="W118" si="43">W119+W120+W121</f>
        <v>5575489</v>
      </c>
      <c r="X118" s="149">
        <f t="shared" si="18"/>
        <v>-5575489</v>
      </c>
    </row>
    <row r="119" spans="1:24" s="1" customFormat="1" ht="36" customHeight="1" x14ac:dyDescent="0.2">
      <c r="A119" s="209"/>
      <c r="B119" s="209"/>
      <c r="C119" s="209"/>
      <c r="D119" s="209"/>
      <c r="E119" s="209"/>
      <c r="F119" s="209"/>
      <c r="G119" s="209"/>
      <c r="H119" s="209"/>
      <c r="I119" s="209"/>
      <c r="J119" s="209"/>
      <c r="K119" s="274"/>
      <c r="L119" s="274"/>
      <c r="M119" s="274"/>
      <c r="N119" s="15" t="s">
        <v>286</v>
      </c>
      <c r="O119" s="37">
        <v>189100</v>
      </c>
      <c r="P119" s="22">
        <v>238000</v>
      </c>
      <c r="Q119" s="22">
        <v>375000</v>
      </c>
      <c r="R119" s="22">
        <v>375000</v>
      </c>
      <c r="S119" s="152"/>
      <c r="T119" s="151">
        <v>238000</v>
      </c>
      <c r="U119" s="149">
        <f t="shared" si="19"/>
        <v>0</v>
      </c>
      <c r="V119" s="150"/>
      <c r="W119" s="154">
        <v>238000</v>
      </c>
      <c r="X119" s="149">
        <f t="shared" si="18"/>
        <v>0</v>
      </c>
    </row>
    <row r="120" spans="1:24" s="1" customFormat="1" ht="36" customHeight="1" x14ac:dyDescent="0.2">
      <c r="A120" s="209"/>
      <c r="B120" s="209"/>
      <c r="C120" s="209"/>
      <c r="D120" s="209"/>
      <c r="E120" s="209"/>
      <c r="F120" s="209"/>
      <c r="G120" s="209"/>
      <c r="H120" s="209"/>
      <c r="I120" s="209"/>
      <c r="J120" s="209"/>
      <c r="K120" s="274"/>
      <c r="L120" s="274"/>
      <c r="M120" s="274"/>
      <c r="N120" s="15" t="s">
        <v>297</v>
      </c>
      <c r="O120" s="37">
        <v>5107400</v>
      </c>
      <c r="P120" s="22">
        <v>5245100</v>
      </c>
      <c r="Q120" s="22">
        <v>5107400</v>
      </c>
      <c r="R120" s="22">
        <v>5107400</v>
      </c>
      <c r="S120" s="152"/>
      <c r="T120" s="151">
        <v>5245100</v>
      </c>
      <c r="U120" s="149">
        <f t="shared" si="19"/>
        <v>0</v>
      </c>
      <c r="V120" s="150"/>
      <c r="W120" s="154">
        <v>5245100</v>
      </c>
      <c r="X120" s="149">
        <f t="shared" si="18"/>
        <v>0</v>
      </c>
    </row>
    <row r="121" spans="1:24" s="1" customFormat="1" ht="36" customHeight="1" x14ac:dyDescent="0.2">
      <c r="A121" s="185"/>
      <c r="B121" s="185"/>
      <c r="C121" s="185"/>
      <c r="D121" s="185"/>
      <c r="E121" s="185"/>
      <c r="F121" s="185"/>
      <c r="G121" s="185"/>
      <c r="H121" s="185"/>
      <c r="I121" s="185"/>
      <c r="J121" s="185"/>
      <c r="K121" s="187"/>
      <c r="L121" s="187"/>
      <c r="M121" s="187"/>
      <c r="N121" s="15" t="s">
        <v>298</v>
      </c>
      <c r="O121" s="37">
        <v>112872</v>
      </c>
      <c r="P121" s="22">
        <v>92389</v>
      </c>
      <c r="Q121" s="22">
        <v>117600</v>
      </c>
      <c r="R121" s="22">
        <v>117600</v>
      </c>
      <c r="S121" s="152"/>
      <c r="T121" s="151">
        <v>92389</v>
      </c>
      <c r="U121" s="149">
        <f t="shared" si="19"/>
        <v>0</v>
      </c>
      <c r="V121" s="150"/>
      <c r="W121" s="154">
        <v>92389</v>
      </c>
      <c r="X121" s="149">
        <f t="shared" si="18"/>
        <v>0</v>
      </c>
    </row>
    <row r="122" spans="1:24" s="1" customFormat="1" ht="93" customHeight="1" x14ac:dyDescent="0.2">
      <c r="A122" s="184" t="s">
        <v>118</v>
      </c>
      <c r="B122" s="184" t="s">
        <v>119</v>
      </c>
      <c r="C122" s="184" t="s">
        <v>86</v>
      </c>
      <c r="D122" s="184" t="s">
        <v>270</v>
      </c>
      <c r="E122" s="184" t="s">
        <v>271</v>
      </c>
      <c r="F122" s="120" t="s">
        <v>0</v>
      </c>
      <c r="G122" s="120" t="s">
        <v>0</v>
      </c>
      <c r="H122" s="184" t="s">
        <v>504</v>
      </c>
      <c r="I122" s="120" t="s">
        <v>42</v>
      </c>
      <c r="J122" s="120" t="s">
        <v>6</v>
      </c>
      <c r="K122" s="15" t="s">
        <v>289</v>
      </c>
      <c r="L122" s="15" t="s">
        <v>289</v>
      </c>
      <c r="M122" s="15" t="s">
        <v>289</v>
      </c>
      <c r="N122" s="15" t="s">
        <v>289</v>
      </c>
      <c r="O122" s="37">
        <f>O123+O124</f>
        <v>20400</v>
      </c>
      <c r="P122" s="22">
        <f t="shared" ref="P122" si="44">P123+P124</f>
        <v>20400</v>
      </c>
      <c r="Q122" s="22">
        <f t="shared" ref="Q122:R122" si="45">Q123+Q124</f>
        <v>20400</v>
      </c>
      <c r="R122" s="22">
        <f t="shared" si="45"/>
        <v>20400</v>
      </c>
      <c r="S122" s="152"/>
      <c r="T122" s="151"/>
      <c r="U122" s="149">
        <f t="shared" si="19"/>
        <v>-20400</v>
      </c>
      <c r="V122" s="150"/>
      <c r="W122" s="154">
        <f t="shared" ref="W122" si="46">W123+W124</f>
        <v>20400</v>
      </c>
      <c r="X122" s="149">
        <f t="shared" si="18"/>
        <v>-20400</v>
      </c>
    </row>
    <row r="123" spans="1:24" s="1" customFormat="1" ht="93" customHeight="1" x14ac:dyDescent="0.2">
      <c r="A123" s="209"/>
      <c r="B123" s="209"/>
      <c r="C123" s="209"/>
      <c r="D123" s="209"/>
      <c r="E123" s="209"/>
      <c r="F123" s="120"/>
      <c r="G123" s="120"/>
      <c r="H123" s="209"/>
      <c r="I123" s="120"/>
      <c r="J123" s="120"/>
      <c r="K123" s="90" t="s">
        <v>290</v>
      </c>
      <c r="L123" s="222" t="s">
        <v>120</v>
      </c>
      <c r="M123" s="90" t="s">
        <v>402</v>
      </c>
      <c r="N123" s="15" t="s">
        <v>286</v>
      </c>
      <c r="O123" s="37">
        <v>2400</v>
      </c>
      <c r="P123" s="137">
        <v>2400</v>
      </c>
      <c r="Q123" s="22">
        <v>2400</v>
      </c>
      <c r="R123" s="22">
        <v>2400</v>
      </c>
      <c r="S123" s="152"/>
      <c r="T123" s="151">
        <v>2400</v>
      </c>
      <c r="U123" s="149">
        <f t="shared" si="19"/>
        <v>0</v>
      </c>
      <c r="V123" s="150"/>
      <c r="W123" s="156">
        <v>2400</v>
      </c>
      <c r="X123" s="149">
        <f t="shared" si="18"/>
        <v>0</v>
      </c>
    </row>
    <row r="124" spans="1:24" s="1" customFormat="1" ht="93" customHeight="1" x14ac:dyDescent="0.2">
      <c r="A124" s="185"/>
      <c r="B124" s="185"/>
      <c r="C124" s="185"/>
      <c r="D124" s="185"/>
      <c r="E124" s="185"/>
      <c r="F124" s="120"/>
      <c r="G124" s="120"/>
      <c r="H124" s="221"/>
      <c r="I124" s="120"/>
      <c r="J124" s="120"/>
      <c r="K124" s="90" t="s">
        <v>312</v>
      </c>
      <c r="L124" s="224"/>
      <c r="M124" s="90" t="s">
        <v>311</v>
      </c>
      <c r="N124" s="15" t="s">
        <v>286</v>
      </c>
      <c r="O124" s="37">
        <v>18000</v>
      </c>
      <c r="P124" s="137">
        <v>18000</v>
      </c>
      <c r="Q124" s="22">
        <v>18000</v>
      </c>
      <c r="R124" s="22">
        <v>18000</v>
      </c>
      <c r="S124" s="152"/>
      <c r="T124" s="151">
        <v>18000</v>
      </c>
      <c r="U124" s="149">
        <f t="shared" si="19"/>
        <v>0</v>
      </c>
      <c r="V124" s="150"/>
      <c r="W124" s="156">
        <v>18000</v>
      </c>
      <c r="X124" s="149">
        <f t="shared" si="18"/>
        <v>0</v>
      </c>
    </row>
    <row r="125" spans="1:24" s="58" customFormat="1" ht="106.5" customHeight="1" x14ac:dyDescent="0.2">
      <c r="A125" s="214" t="s">
        <v>121</v>
      </c>
      <c r="B125" s="192" t="s">
        <v>122</v>
      </c>
      <c r="C125" s="192" t="s">
        <v>123</v>
      </c>
      <c r="D125" s="192" t="s">
        <v>270</v>
      </c>
      <c r="E125" s="192" t="s">
        <v>271</v>
      </c>
      <c r="F125" s="192" t="s">
        <v>501</v>
      </c>
      <c r="G125" s="200" t="s">
        <v>42</v>
      </c>
      <c r="H125" s="96" t="s">
        <v>473</v>
      </c>
      <c r="I125" s="310" t="s">
        <v>42</v>
      </c>
      <c r="J125" s="192" t="s">
        <v>16</v>
      </c>
      <c r="K125" s="222" t="s">
        <v>285</v>
      </c>
      <c r="L125" s="222" t="s">
        <v>86</v>
      </c>
      <c r="M125" s="222" t="s">
        <v>336</v>
      </c>
      <c r="N125" s="20" t="s">
        <v>26</v>
      </c>
      <c r="O125" s="60">
        <v>49200</v>
      </c>
      <c r="P125" s="137">
        <v>71000</v>
      </c>
      <c r="Q125" s="61">
        <v>71000</v>
      </c>
      <c r="R125" s="61">
        <v>71000</v>
      </c>
      <c r="S125" s="183"/>
      <c r="T125" s="151">
        <v>71000</v>
      </c>
      <c r="U125" s="149">
        <f t="shared" si="19"/>
        <v>0</v>
      </c>
      <c r="V125" s="153"/>
      <c r="W125" s="156">
        <v>71000</v>
      </c>
      <c r="X125" s="149">
        <f t="shared" si="18"/>
        <v>0</v>
      </c>
    </row>
    <row r="126" spans="1:24" s="58" customFormat="1" ht="146.25" customHeight="1" x14ac:dyDescent="0.2">
      <c r="A126" s="215"/>
      <c r="B126" s="194"/>
      <c r="C126" s="194"/>
      <c r="D126" s="194"/>
      <c r="E126" s="194"/>
      <c r="F126" s="194"/>
      <c r="G126" s="201"/>
      <c r="H126" s="96" t="s">
        <v>502</v>
      </c>
      <c r="I126" s="311"/>
      <c r="J126" s="194"/>
      <c r="K126" s="224"/>
      <c r="L126" s="224"/>
      <c r="M126" s="224"/>
      <c r="N126" s="20" t="s">
        <v>286</v>
      </c>
      <c r="O126" s="60">
        <v>152546.32</v>
      </c>
      <c r="P126" s="137">
        <v>157484.4</v>
      </c>
      <c r="Q126" s="61">
        <v>197000</v>
      </c>
      <c r="R126" s="61">
        <v>197000</v>
      </c>
      <c r="S126" s="183"/>
      <c r="T126" s="151">
        <v>157484.4</v>
      </c>
      <c r="U126" s="149">
        <f t="shared" si="19"/>
        <v>0</v>
      </c>
      <c r="V126" s="153"/>
      <c r="W126" s="156">
        <v>157484.4</v>
      </c>
      <c r="X126" s="149">
        <f t="shared" si="18"/>
        <v>0</v>
      </c>
    </row>
    <row r="127" spans="1:24" s="58" customFormat="1" ht="98.25" customHeight="1" x14ac:dyDescent="0.2">
      <c r="A127" s="56" t="s">
        <v>124</v>
      </c>
      <c r="B127" s="54" t="s">
        <v>125</v>
      </c>
      <c r="C127" s="54" t="s">
        <v>126</v>
      </c>
      <c r="D127" s="54" t="s">
        <v>270</v>
      </c>
      <c r="E127" s="54" t="s">
        <v>271</v>
      </c>
      <c r="F127" s="54" t="s">
        <v>438</v>
      </c>
      <c r="G127" s="54" t="s">
        <v>42</v>
      </c>
      <c r="H127" s="94" t="s">
        <v>503</v>
      </c>
      <c r="I127" s="54" t="s">
        <v>42</v>
      </c>
      <c r="J127" s="54" t="s">
        <v>6</v>
      </c>
      <c r="K127" s="20" t="s">
        <v>285</v>
      </c>
      <c r="L127" s="20" t="s">
        <v>127</v>
      </c>
      <c r="M127" s="20" t="s">
        <v>403</v>
      </c>
      <c r="N127" s="20" t="s">
        <v>286</v>
      </c>
      <c r="O127" s="60">
        <v>2500</v>
      </c>
      <c r="P127" s="137">
        <v>2500</v>
      </c>
      <c r="Q127" s="61">
        <v>2500</v>
      </c>
      <c r="R127" s="61">
        <v>2500</v>
      </c>
      <c r="S127" s="183"/>
      <c r="T127" s="151">
        <v>2500</v>
      </c>
      <c r="U127" s="149">
        <f t="shared" si="19"/>
        <v>0</v>
      </c>
      <c r="V127" s="153"/>
      <c r="W127" s="156">
        <v>2500</v>
      </c>
      <c r="X127" s="149">
        <f t="shared" si="18"/>
        <v>0</v>
      </c>
    </row>
    <row r="128" spans="1:24" ht="26.45" customHeight="1" x14ac:dyDescent="0.2">
      <c r="A128" s="5" t="s">
        <v>128</v>
      </c>
      <c r="B128" s="116" t="s">
        <v>129</v>
      </c>
      <c r="C128" s="117" t="s">
        <v>130</v>
      </c>
      <c r="D128" s="117" t="s">
        <v>0</v>
      </c>
      <c r="E128" s="117" t="s">
        <v>0</v>
      </c>
      <c r="F128" s="117" t="s">
        <v>0</v>
      </c>
      <c r="G128" s="117" t="s">
        <v>0</v>
      </c>
      <c r="H128" s="117" t="s">
        <v>0</v>
      </c>
      <c r="I128" s="117" t="s">
        <v>0</v>
      </c>
      <c r="J128" s="116" t="s">
        <v>0</v>
      </c>
      <c r="K128" s="14"/>
      <c r="L128" s="14"/>
      <c r="M128" s="14"/>
      <c r="N128" s="14"/>
      <c r="O128" s="169">
        <f>O129+O155+O156+O157+O158+O159+O172+O173+O175+O177+O178</f>
        <v>42227762.019999996</v>
      </c>
      <c r="P128" s="138">
        <f>P129+P155+P156+P157+P158+P159+P172+P173+P175+P177+P178</f>
        <v>43266935.640000001</v>
      </c>
      <c r="Q128" s="138">
        <f>Q129+Q155+Q156+Q157+Q158+Q159+Q172+Q173+Q175+Q177+Q178</f>
        <v>37799141.07</v>
      </c>
      <c r="R128" s="138">
        <f>R129+R155+R156+R157+R158+R159+R172+R173+R175+R177+R178</f>
        <v>37823750.689999998</v>
      </c>
      <c r="U128" s="149">
        <f t="shared" si="19"/>
        <v>-43266935.640000001</v>
      </c>
      <c r="W128" s="157">
        <f>W129+W155+W156+W157+W158+W159+W172+W173+W175+W177+W178</f>
        <v>43266935.640000001</v>
      </c>
      <c r="X128" s="149">
        <f t="shared" si="18"/>
        <v>-43266935.640000001</v>
      </c>
    </row>
    <row r="129" spans="1:24" s="1" customFormat="1" ht="26.45" customHeight="1" x14ac:dyDescent="0.2">
      <c r="A129" s="216" t="s">
        <v>131</v>
      </c>
      <c r="B129" s="200" t="s">
        <v>132</v>
      </c>
      <c r="C129" s="264" t="s">
        <v>133</v>
      </c>
      <c r="D129" s="199" t="s">
        <v>270</v>
      </c>
      <c r="E129" s="239" t="s">
        <v>42</v>
      </c>
      <c r="F129" s="199" t="s">
        <v>499</v>
      </c>
      <c r="G129" s="199" t="s">
        <v>42</v>
      </c>
      <c r="H129" s="125" t="s">
        <v>0</v>
      </c>
      <c r="I129" s="125" t="s">
        <v>0</v>
      </c>
      <c r="J129" s="195" t="s">
        <v>6</v>
      </c>
      <c r="K129" s="85" t="s">
        <v>481</v>
      </c>
      <c r="L129" s="85"/>
      <c r="M129" s="85"/>
      <c r="N129" s="68"/>
      <c r="O129" s="170">
        <f>SUM(O130:O154)</f>
        <v>11395299.779999997</v>
      </c>
      <c r="P129" s="139">
        <f t="shared" ref="P129" si="47">SUM(P130:P154)</f>
        <v>11300052.74</v>
      </c>
      <c r="Q129" s="139">
        <f t="shared" ref="Q129:R129" si="48">SUM(Q130:Q154)</f>
        <v>7235100</v>
      </c>
      <c r="R129" s="139">
        <f t="shared" si="48"/>
        <v>7235100</v>
      </c>
      <c r="S129" s="152"/>
      <c r="T129" s="151"/>
      <c r="U129" s="149">
        <f t="shared" si="19"/>
        <v>-11300052.74</v>
      </c>
      <c r="V129" s="150"/>
      <c r="W129" s="158">
        <f t="shared" ref="W129" si="49">SUM(W130:W154)</f>
        <v>11300052.74</v>
      </c>
      <c r="X129" s="149">
        <f t="shared" si="18"/>
        <v>-11300052.74</v>
      </c>
    </row>
    <row r="130" spans="1:24" s="1" customFormat="1" ht="26.45" customHeight="1" x14ac:dyDescent="0.2">
      <c r="A130" s="216"/>
      <c r="B130" s="220"/>
      <c r="C130" s="264"/>
      <c r="D130" s="199"/>
      <c r="E130" s="239"/>
      <c r="F130" s="199"/>
      <c r="G130" s="199"/>
      <c r="H130" s="239" t="s">
        <v>473</v>
      </c>
      <c r="I130" s="199" t="s">
        <v>42</v>
      </c>
      <c r="J130" s="297"/>
      <c r="K130" s="232" t="s">
        <v>285</v>
      </c>
      <c r="L130" s="107" t="s">
        <v>127</v>
      </c>
      <c r="M130" s="90" t="s">
        <v>407</v>
      </c>
      <c r="N130" s="90" t="s">
        <v>316</v>
      </c>
      <c r="O130" s="37">
        <v>332884.82</v>
      </c>
      <c r="P130" s="135">
        <v>350405</v>
      </c>
      <c r="Q130" s="22">
        <v>349200</v>
      </c>
      <c r="R130" s="22">
        <v>349200</v>
      </c>
      <c r="S130" s="152"/>
      <c r="T130" s="151">
        <v>350405</v>
      </c>
      <c r="U130" s="149">
        <f t="shared" si="19"/>
        <v>0</v>
      </c>
      <c r="V130" s="150"/>
      <c r="W130" s="151">
        <v>350405</v>
      </c>
      <c r="X130" s="149">
        <f t="shared" si="18"/>
        <v>0</v>
      </c>
    </row>
    <row r="131" spans="1:24" s="1" customFormat="1" ht="26.45" customHeight="1" x14ac:dyDescent="0.2">
      <c r="A131" s="216"/>
      <c r="B131" s="220"/>
      <c r="C131" s="264"/>
      <c r="D131" s="199"/>
      <c r="E131" s="239"/>
      <c r="F131" s="199"/>
      <c r="G131" s="199"/>
      <c r="H131" s="239"/>
      <c r="I131" s="199"/>
      <c r="J131" s="297"/>
      <c r="K131" s="233"/>
      <c r="L131" s="232" t="s">
        <v>127</v>
      </c>
      <c r="M131" s="227" t="s">
        <v>408</v>
      </c>
      <c r="N131" s="15" t="s">
        <v>29</v>
      </c>
      <c r="O131" s="37">
        <v>60122</v>
      </c>
      <c r="P131" s="135">
        <v>2120</v>
      </c>
      <c r="Q131" s="22">
        <v>109400</v>
      </c>
      <c r="R131" s="22">
        <v>109400</v>
      </c>
      <c r="S131" s="152"/>
      <c r="T131" s="151">
        <v>2120</v>
      </c>
      <c r="U131" s="149">
        <f t="shared" si="19"/>
        <v>0</v>
      </c>
      <c r="V131" s="150"/>
      <c r="W131" s="151">
        <v>2120</v>
      </c>
      <c r="X131" s="149">
        <f t="shared" si="18"/>
        <v>0</v>
      </c>
    </row>
    <row r="132" spans="1:24" s="1" customFormat="1" ht="26.45" customHeight="1" x14ac:dyDescent="0.2">
      <c r="A132" s="216"/>
      <c r="B132" s="220"/>
      <c r="C132" s="264"/>
      <c r="D132" s="199"/>
      <c r="E132" s="239"/>
      <c r="F132" s="199"/>
      <c r="G132" s="199"/>
      <c r="H132" s="239"/>
      <c r="I132" s="199"/>
      <c r="J132" s="297"/>
      <c r="K132" s="233"/>
      <c r="L132" s="233"/>
      <c r="M132" s="227"/>
      <c r="N132" s="15" t="s">
        <v>316</v>
      </c>
      <c r="O132" s="37">
        <v>3583741</v>
      </c>
      <c r="P132" s="135">
        <v>4069700</v>
      </c>
      <c r="Q132" s="22">
        <v>3680900</v>
      </c>
      <c r="R132" s="22">
        <v>3680900</v>
      </c>
      <c r="S132" s="152"/>
      <c r="T132" s="151">
        <v>4069700</v>
      </c>
      <c r="U132" s="149">
        <f t="shared" si="19"/>
        <v>0</v>
      </c>
      <c r="V132" s="150"/>
      <c r="W132" s="151">
        <v>4069700</v>
      </c>
      <c r="X132" s="149">
        <f t="shared" si="18"/>
        <v>0</v>
      </c>
    </row>
    <row r="133" spans="1:24" s="1" customFormat="1" ht="26.45" customHeight="1" x14ac:dyDescent="0.2">
      <c r="A133" s="216"/>
      <c r="B133" s="220"/>
      <c r="C133" s="264"/>
      <c r="D133" s="199"/>
      <c r="E133" s="239"/>
      <c r="F133" s="199"/>
      <c r="G133" s="199"/>
      <c r="H133" s="239"/>
      <c r="I133" s="199"/>
      <c r="J133" s="297"/>
      <c r="K133" s="233"/>
      <c r="L133" s="233"/>
      <c r="M133" s="227"/>
      <c r="N133" s="114" t="s">
        <v>286</v>
      </c>
      <c r="O133" s="43">
        <v>2984212.88</v>
      </c>
      <c r="P133" s="135">
        <v>2574975</v>
      </c>
      <c r="Q133" s="22">
        <v>266000</v>
      </c>
      <c r="R133" s="22">
        <v>266000</v>
      </c>
      <c r="S133" s="152"/>
      <c r="T133" s="151">
        <v>2574975</v>
      </c>
      <c r="U133" s="149">
        <f t="shared" si="19"/>
        <v>0</v>
      </c>
      <c r="V133" s="150"/>
      <c r="W133" s="151">
        <v>2574975</v>
      </c>
      <c r="X133" s="149">
        <f t="shared" si="18"/>
        <v>0</v>
      </c>
    </row>
    <row r="134" spans="1:24" s="1" customFormat="1" ht="26.45" customHeight="1" x14ac:dyDescent="0.2">
      <c r="A134" s="216"/>
      <c r="B134" s="220"/>
      <c r="C134" s="264"/>
      <c r="D134" s="199"/>
      <c r="E134" s="239"/>
      <c r="F134" s="199"/>
      <c r="G134" s="199"/>
      <c r="H134" s="239"/>
      <c r="I134" s="199"/>
      <c r="J134" s="297"/>
      <c r="K134" s="233"/>
      <c r="L134" s="233"/>
      <c r="M134" s="227"/>
      <c r="N134" s="114" t="s">
        <v>320</v>
      </c>
      <c r="O134" s="43">
        <v>1786418.26</v>
      </c>
      <c r="P134" s="135">
        <v>1858700</v>
      </c>
      <c r="Q134" s="22">
        <v>925000</v>
      </c>
      <c r="R134" s="22">
        <v>925000</v>
      </c>
      <c r="S134" s="152"/>
      <c r="T134" s="151">
        <v>1858700</v>
      </c>
      <c r="U134" s="149">
        <f t="shared" si="19"/>
        <v>0</v>
      </c>
      <c r="V134" s="150"/>
      <c r="W134" s="151">
        <v>1858700</v>
      </c>
      <c r="X134" s="149">
        <f t="shared" si="18"/>
        <v>0</v>
      </c>
    </row>
    <row r="135" spans="1:24" s="1" customFormat="1" ht="26.45" customHeight="1" x14ac:dyDescent="0.2">
      <c r="A135" s="216"/>
      <c r="B135" s="220"/>
      <c r="C135" s="264"/>
      <c r="D135" s="199"/>
      <c r="E135" s="239"/>
      <c r="F135" s="199"/>
      <c r="G135" s="199"/>
      <c r="H135" s="239"/>
      <c r="I135" s="199"/>
      <c r="J135" s="297"/>
      <c r="K135" s="233"/>
      <c r="L135" s="233"/>
      <c r="M135" s="227"/>
      <c r="N135" s="114" t="s">
        <v>292</v>
      </c>
      <c r="O135" s="43">
        <v>76192.77</v>
      </c>
      <c r="P135" s="135"/>
      <c r="Q135" s="22"/>
      <c r="R135" s="22"/>
      <c r="S135" s="152"/>
      <c r="T135" s="151"/>
      <c r="U135" s="149">
        <f t="shared" si="19"/>
        <v>0</v>
      </c>
      <c r="V135" s="150"/>
      <c r="W135" s="151"/>
      <c r="X135" s="149">
        <f t="shared" si="18"/>
        <v>0</v>
      </c>
    </row>
    <row r="136" spans="1:24" s="1" customFormat="1" ht="26.45" customHeight="1" x14ac:dyDescent="0.2">
      <c r="A136" s="216"/>
      <c r="B136" s="220"/>
      <c r="C136" s="264"/>
      <c r="D136" s="199"/>
      <c r="E136" s="239"/>
      <c r="F136" s="199"/>
      <c r="G136" s="199"/>
      <c r="H136" s="239"/>
      <c r="I136" s="199"/>
      <c r="J136" s="297"/>
      <c r="K136" s="233"/>
      <c r="L136" s="233"/>
      <c r="M136" s="227"/>
      <c r="N136" s="114" t="s">
        <v>285</v>
      </c>
      <c r="O136" s="43">
        <v>74505</v>
      </c>
      <c r="P136" s="135">
        <v>64808</v>
      </c>
      <c r="Q136" s="22">
        <v>33800</v>
      </c>
      <c r="R136" s="22">
        <v>33800</v>
      </c>
      <c r="S136" s="152"/>
      <c r="T136" s="151">
        <v>64808</v>
      </c>
      <c r="U136" s="149">
        <f t="shared" si="19"/>
        <v>0</v>
      </c>
      <c r="V136" s="150"/>
      <c r="W136" s="151">
        <v>64808</v>
      </c>
      <c r="X136" s="149">
        <f t="shared" ref="X136:X199" si="50">T136-W136</f>
        <v>0</v>
      </c>
    </row>
    <row r="137" spans="1:24" s="1" customFormat="1" ht="26.45" customHeight="1" x14ac:dyDescent="0.2">
      <c r="A137" s="216"/>
      <c r="B137" s="220"/>
      <c r="C137" s="264"/>
      <c r="D137" s="199"/>
      <c r="E137" s="239"/>
      <c r="F137" s="199"/>
      <c r="G137" s="199"/>
      <c r="H137" s="239"/>
      <c r="I137" s="199"/>
      <c r="J137" s="297"/>
      <c r="K137" s="233"/>
      <c r="L137" s="233"/>
      <c r="M137" s="227"/>
      <c r="N137" s="114" t="s">
        <v>293</v>
      </c>
      <c r="O137" s="43">
        <v>25477</v>
      </c>
      <c r="P137" s="135">
        <v>24800</v>
      </c>
      <c r="Q137" s="22">
        <v>12400</v>
      </c>
      <c r="R137" s="22">
        <v>12400</v>
      </c>
      <c r="S137" s="152"/>
      <c r="T137" s="151">
        <v>24800</v>
      </c>
      <c r="U137" s="149">
        <f t="shared" si="19"/>
        <v>0</v>
      </c>
      <c r="V137" s="150"/>
      <c r="W137" s="151">
        <v>24800</v>
      </c>
      <c r="X137" s="149">
        <f t="shared" si="50"/>
        <v>0</v>
      </c>
    </row>
    <row r="138" spans="1:24" s="1" customFormat="1" ht="26.45" customHeight="1" x14ac:dyDescent="0.2">
      <c r="A138" s="216"/>
      <c r="B138" s="220"/>
      <c r="C138" s="264"/>
      <c r="D138" s="199"/>
      <c r="E138" s="239"/>
      <c r="F138" s="199"/>
      <c r="G138" s="199"/>
      <c r="H138" s="239"/>
      <c r="I138" s="199"/>
      <c r="J138" s="297"/>
      <c r="K138" s="233"/>
      <c r="L138" s="233"/>
      <c r="M138" s="228"/>
      <c r="N138" s="114" t="s">
        <v>290</v>
      </c>
      <c r="O138" s="43">
        <v>17.71</v>
      </c>
      <c r="P138" s="135"/>
      <c r="Q138" s="22"/>
      <c r="R138" s="22"/>
      <c r="S138" s="152"/>
      <c r="T138" s="151"/>
      <c r="U138" s="149">
        <f t="shared" si="19"/>
        <v>0</v>
      </c>
      <c r="V138" s="150"/>
      <c r="W138" s="151"/>
      <c r="X138" s="149">
        <f t="shared" si="50"/>
        <v>0</v>
      </c>
    </row>
    <row r="139" spans="1:24" s="1" customFormat="1" ht="26.45" customHeight="1" x14ac:dyDescent="0.2">
      <c r="A139" s="216"/>
      <c r="B139" s="220"/>
      <c r="C139" s="264"/>
      <c r="D139" s="199"/>
      <c r="E139" s="239"/>
      <c r="F139" s="199"/>
      <c r="G139" s="199"/>
      <c r="H139" s="239" t="s">
        <v>475</v>
      </c>
      <c r="I139" s="199" t="s">
        <v>42</v>
      </c>
      <c r="J139" s="297"/>
      <c r="K139" s="233"/>
      <c r="L139" s="233"/>
      <c r="M139" s="30" t="s">
        <v>319</v>
      </c>
      <c r="N139" s="114" t="s">
        <v>316</v>
      </c>
      <c r="O139" s="43">
        <v>169112.03</v>
      </c>
      <c r="P139" s="135"/>
      <c r="Q139" s="22"/>
      <c r="R139" s="22"/>
      <c r="S139" s="152"/>
      <c r="T139" s="151"/>
      <c r="U139" s="149">
        <f t="shared" si="19"/>
        <v>0</v>
      </c>
      <c r="V139" s="150"/>
      <c r="W139" s="151"/>
      <c r="X139" s="149">
        <f t="shared" si="50"/>
        <v>0</v>
      </c>
    </row>
    <row r="140" spans="1:24" s="1" customFormat="1" ht="26.45" customHeight="1" x14ac:dyDescent="0.2">
      <c r="A140" s="216"/>
      <c r="B140" s="220"/>
      <c r="C140" s="264"/>
      <c r="D140" s="199"/>
      <c r="E140" s="239"/>
      <c r="F140" s="199"/>
      <c r="G140" s="199"/>
      <c r="H140" s="239"/>
      <c r="I140" s="199"/>
      <c r="J140" s="297"/>
      <c r="K140" s="234"/>
      <c r="L140" s="234"/>
      <c r="M140" s="30" t="s">
        <v>318</v>
      </c>
      <c r="N140" s="114" t="s">
        <v>316</v>
      </c>
      <c r="O140" s="40">
        <v>45802.2</v>
      </c>
      <c r="P140" s="22">
        <v>76897.14</v>
      </c>
      <c r="Q140" s="22"/>
      <c r="R140" s="22"/>
      <c r="S140" s="152"/>
      <c r="T140" s="154">
        <v>76897.14</v>
      </c>
      <c r="U140" s="149">
        <f t="shared" ref="U140:U191" si="51">T140-P140</f>
        <v>0</v>
      </c>
      <c r="V140" s="150"/>
      <c r="W140" s="154">
        <v>76897.14</v>
      </c>
      <c r="X140" s="149">
        <f t="shared" si="50"/>
        <v>0</v>
      </c>
    </row>
    <row r="141" spans="1:24" s="1" customFormat="1" ht="26.45" customHeight="1" x14ac:dyDescent="0.2">
      <c r="A141" s="216"/>
      <c r="B141" s="220"/>
      <c r="C141" s="264"/>
      <c r="D141" s="199"/>
      <c r="E141" s="239"/>
      <c r="F141" s="199"/>
      <c r="G141" s="199"/>
      <c r="H141" s="239"/>
      <c r="I141" s="199"/>
      <c r="J141" s="297"/>
      <c r="K141" s="232" t="s">
        <v>293</v>
      </c>
      <c r="L141" s="232" t="s">
        <v>66</v>
      </c>
      <c r="M141" s="232" t="s">
        <v>362</v>
      </c>
      <c r="N141" s="114" t="s">
        <v>29</v>
      </c>
      <c r="O141" s="35">
        <v>2715.6</v>
      </c>
      <c r="P141" s="22"/>
      <c r="Q141" s="22"/>
      <c r="R141" s="22"/>
      <c r="S141" s="152"/>
      <c r="T141" s="154"/>
      <c r="U141" s="149">
        <f t="shared" si="51"/>
        <v>0</v>
      </c>
      <c r="V141" s="150"/>
      <c r="W141" s="154"/>
      <c r="X141" s="149">
        <f t="shared" si="50"/>
        <v>0</v>
      </c>
    </row>
    <row r="142" spans="1:24" s="1" customFormat="1" ht="26.45" customHeight="1" x14ac:dyDescent="0.2">
      <c r="A142" s="216"/>
      <c r="B142" s="220"/>
      <c r="C142" s="264"/>
      <c r="D142" s="199" t="s">
        <v>134</v>
      </c>
      <c r="E142" s="239" t="s">
        <v>42</v>
      </c>
      <c r="F142" s="199"/>
      <c r="G142" s="199"/>
      <c r="H142" s="239" t="s">
        <v>494</v>
      </c>
      <c r="I142" s="199" t="s">
        <v>42</v>
      </c>
      <c r="J142" s="297"/>
      <c r="K142" s="233"/>
      <c r="L142" s="233"/>
      <c r="M142" s="234"/>
      <c r="N142" s="114" t="s">
        <v>316</v>
      </c>
      <c r="O142" s="35">
        <v>276940.77</v>
      </c>
      <c r="P142" s="22">
        <v>298683.98</v>
      </c>
      <c r="Q142" s="22">
        <v>284400</v>
      </c>
      <c r="R142" s="22">
        <v>284400</v>
      </c>
      <c r="S142" s="152"/>
      <c r="T142" s="154">
        <v>298683.98</v>
      </c>
      <c r="U142" s="149">
        <f t="shared" si="51"/>
        <v>0</v>
      </c>
      <c r="V142" s="150"/>
      <c r="W142" s="154">
        <v>298683.98</v>
      </c>
      <c r="X142" s="149">
        <f t="shared" si="50"/>
        <v>0</v>
      </c>
    </row>
    <row r="143" spans="1:24" s="1" customFormat="1" ht="26.45" customHeight="1" x14ac:dyDescent="0.2">
      <c r="A143" s="216"/>
      <c r="B143" s="220"/>
      <c r="C143" s="264"/>
      <c r="D143" s="199"/>
      <c r="E143" s="239"/>
      <c r="F143" s="199"/>
      <c r="G143" s="199"/>
      <c r="H143" s="239"/>
      <c r="I143" s="199"/>
      <c r="J143" s="297"/>
      <c r="K143" s="233"/>
      <c r="L143" s="233"/>
      <c r="M143" s="30" t="s">
        <v>323</v>
      </c>
      <c r="N143" s="114" t="s">
        <v>316</v>
      </c>
      <c r="O143" s="49">
        <v>11997.86</v>
      </c>
      <c r="P143" s="22"/>
      <c r="Q143" s="22"/>
      <c r="R143" s="22"/>
      <c r="S143" s="152"/>
      <c r="T143" s="154"/>
      <c r="U143" s="149">
        <f t="shared" si="51"/>
        <v>0</v>
      </c>
      <c r="V143" s="150"/>
      <c r="W143" s="154"/>
      <c r="X143" s="149">
        <f t="shared" si="50"/>
        <v>0</v>
      </c>
    </row>
    <row r="144" spans="1:24" s="1" customFormat="1" ht="26.45" customHeight="1" x14ac:dyDescent="0.2">
      <c r="A144" s="216"/>
      <c r="B144" s="220"/>
      <c r="C144" s="264"/>
      <c r="D144" s="199"/>
      <c r="E144" s="239"/>
      <c r="F144" s="199"/>
      <c r="G144" s="199"/>
      <c r="H144" s="239"/>
      <c r="I144" s="199"/>
      <c r="J144" s="297"/>
      <c r="K144" s="234"/>
      <c r="L144" s="234"/>
      <c r="M144" s="30" t="s">
        <v>318</v>
      </c>
      <c r="N144" s="114" t="s">
        <v>316</v>
      </c>
      <c r="O144" s="35">
        <v>5998.93</v>
      </c>
      <c r="P144" s="22">
        <v>9386.61</v>
      </c>
      <c r="Q144" s="22"/>
      <c r="R144" s="22"/>
      <c r="S144" s="152"/>
      <c r="T144" s="154">
        <v>9386.61</v>
      </c>
      <c r="U144" s="149">
        <f t="shared" si="51"/>
        <v>0</v>
      </c>
      <c r="V144" s="150"/>
      <c r="W144" s="154">
        <v>9386.61</v>
      </c>
      <c r="X144" s="149">
        <f t="shared" si="50"/>
        <v>0</v>
      </c>
    </row>
    <row r="145" spans="1:24" s="1" customFormat="1" ht="26.45" customHeight="1" x14ac:dyDescent="0.2">
      <c r="A145" s="216"/>
      <c r="B145" s="220"/>
      <c r="C145" s="264"/>
      <c r="D145" s="199"/>
      <c r="E145" s="239"/>
      <c r="F145" s="199"/>
      <c r="G145" s="199"/>
      <c r="H145" s="239"/>
      <c r="I145" s="199"/>
      <c r="J145" s="297"/>
      <c r="K145" s="232" t="s">
        <v>290</v>
      </c>
      <c r="L145" s="232" t="s">
        <v>120</v>
      </c>
      <c r="M145" s="232" t="s">
        <v>412</v>
      </c>
      <c r="N145" s="114" t="s">
        <v>29</v>
      </c>
      <c r="O145" s="35"/>
      <c r="P145" s="22">
        <v>1140</v>
      </c>
      <c r="Q145" s="22">
        <v>14000</v>
      </c>
      <c r="R145" s="22">
        <v>14000</v>
      </c>
      <c r="S145" s="152"/>
      <c r="T145" s="154">
        <v>1140</v>
      </c>
      <c r="U145" s="149">
        <f t="shared" si="51"/>
        <v>0</v>
      </c>
      <c r="V145" s="150"/>
      <c r="W145" s="154">
        <v>1140</v>
      </c>
      <c r="X145" s="149">
        <f t="shared" si="50"/>
        <v>0</v>
      </c>
    </row>
    <row r="146" spans="1:24" s="1" customFormat="1" ht="26.45" customHeight="1" x14ac:dyDescent="0.2">
      <c r="A146" s="216"/>
      <c r="B146" s="220"/>
      <c r="C146" s="264"/>
      <c r="D146" s="199"/>
      <c r="E146" s="239"/>
      <c r="F146" s="199"/>
      <c r="G146" s="199"/>
      <c r="H146" s="239"/>
      <c r="I146" s="199"/>
      <c r="J146" s="297"/>
      <c r="K146" s="233"/>
      <c r="L146" s="233"/>
      <c r="M146" s="233"/>
      <c r="N146" s="114" t="s">
        <v>316</v>
      </c>
      <c r="O146" s="35">
        <v>1240920.49</v>
      </c>
      <c r="P146" s="22">
        <v>1368400</v>
      </c>
      <c r="Q146" s="22">
        <v>1274800</v>
      </c>
      <c r="R146" s="22">
        <v>1274800</v>
      </c>
      <c r="S146" s="152"/>
      <c r="T146" s="154">
        <v>1368400</v>
      </c>
      <c r="U146" s="149">
        <f t="shared" si="51"/>
        <v>0</v>
      </c>
      <c r="V146" s="150"/>
      <c r="W146" s="154">
        <v>1368400</v>
      </c>
      <c r="X146" s="149">
        <f t="shared" si="50"/>
        <v>0</v>
      </c>
    </row>
    <row r="147" spans="1:24" s="1" customFormat="1" ht="26.45" customHeight="1" x14ac:dyDescent="0.2">
      <c r="A147" s="216"/>
      <c r="B147" s="220"/>
      <c r="C147" s="264"/>
      <c r="D147" s="199"/>
      <c r="E147" s="239"/>
      <c r="F147" s="199"/>
      <c r="G147" s="199"/>
      <c r="H147" s="239"/>
      <c r="I147" s="199"/>
      <c r="J147" s="297"/>
      <c r="K147" s="233"/>
      <c r="L147" s="233"/>
      <c r="M147" s="234"/>
      <c r="N147" s="114" t="s">
        <v>286</v>
      </c>
      <c r="O147" s="35">
        <v>293850.40000000002</v>
      </c>
      <c r="P147" s="22">
        <v>267800</v>
      </c>
      <c r="Q147" s="22">
        <v>37600</v>
      </c>
      <c r="R147" s="22">
        <v>37600</v>
      </c>
      <c r="S147" s="152"/>
      <c r="T147" s="154">
        <v>267800</v>
      </c>
      <c r="U147" s="149">
        <f t="shared" si="51"/>
        <v>0</v>
      </c>
      <c r="V147" s="150"/>
      <c r="W147" s="154">
        <v>267800</v>
      </c>
      <c r="X147" s="149">
        <f t="shared" si="50"/>
        <v>0</v>
      </c>
    </row>
    <row r="148" spans="1:24" s="1" customFormat="1" ht="26.45" customHeight="1" x14ac:dyDescent="0.2">
      <c r="A148" s="216"/>
      <c r="B148" s="220"/>
      <c r="C148" s="264"/>
      <c r="D148" s="199"/>
      <c r="E148" s="239"/>
      <c r="F148" s="199"/>
      <c r="G148" s="199"/>
      <c r="H148" s="239" t="s">
        <v>500</v>
      </c>
      <c r="I148" s="199" t="s">
        <v>42</v>
      </c>
      <c r="J148" s="297"/>
      <c r="K148" s="233"/>
      <c r="L148" s="233"/>
      <c r="M148" s="30" t="s">
        <v>317</v>
      </c>
      <c r="N148" s="114" t="s">
        <v>316</v>
      </c>
      <c r="O148" s="35">
        <v>89132.58</v>
      </c>
      <c r="P148" s="22"/>
      <c r="Q148" s="22"/>
      <c r="R148" s="22"/>
      <c r="S148" s="152"/>
      <c r="T148" s="154"/>
      <c r="U148" s="149">
        <f t="shared" si="51"/>
        <v>0</v>
      </c>
      <c r="V148" s="150"/>
      <c r="W148" s="154"/>
      <c r="X148" s="149">
        <f t="shared" si="50"/>
        <v>0</v>
      </c>
    </row>
    <row r="149" spans="1:24" s="1" customFormat="1" ht="26.45" customHeight="1" x14ac:dyDescent="0.2">
      <c r="A149" s="216"/>
      <c r="B149" s="220"/>
      <c r="C149" s="264"/>
      <c r="D149" s="199"/>
      <c r="E149" s="239"/>
      <c r="F149" s="199"/>
      <c r="G149" s="199"/>
      <c r="H149" s="239"/>
      <c r="I149" s="199"/>
      <c r="J149" s="297"/>
      <c r="K149" s="234"/>
      <c r="L149" s="234"/>
      <c r="M149" s="30" t="s">
        <v>318</v>
      </c>
      <c r="N149" s="114" t="s">
        <v>316</v>
      </c>
      <c r="O149" s="35">
        <v>22447.96</v>
      </c>
      <c r="P149" s="22">
        <v>35126.53</v>
      </c>
      <c r="Q149" s="22"/>
      <c r="R149" s="22"/>
      <c r="S149" s="152"/>
      <c r="T149" s="154">
        <v>35126.53</v>
      </c>
      <c r="U149" s="149">
        <f t="shared" si="51"/>
        <v>0</v>
      </c>
      <c r="V149" s="150"/>
      <c r="W149" s="154">
        <v>35126.53</v>
      </c>
      <c r="X149" s="149">
        <f t="shared" si="50"/>
        <v>0</v>
      </c>
    </row>
    <row r="150" spans="1:24" s="1" customFormat="1" ht="26.45" customHeight="1" x14ac:dyDescent="0.2">
      <c r="A150" s="216"/>
      <c r="B150" s="220"/>
      <c r="C150" s="264"/>
      <c r="D150" s="199"/>
      <c r="E150" s="239"/>
      <c r="F150" s="199"/>
      <c r="G150" s="199"/>
      <c r="H150" s="239"/>
      <c r="I150" s="199"/>
      <c r="J150" s="297"/>
      <c r="K150" s="227" t="s">
        <v>313</v>
      </c>
      <c r="L150" s="227" t="s">
        <v>314</v>
      </c>
      <c r="M150" s="227" t="s">
        <v>315</v>
      </c>
      <c r="N150" s="114" t="s">
        <v>316</v>
      </c>
      <c r="O150" s="35">
        <v>67450.960000000006</v>
      </c>
      <c r="P150" s="22">
        <v>75132.160000000003</v>
      </c>
      <c r="Q150" s="22">
        <v>69900</v>
      </c>
      <c r="R150" s="22">
        <v>69900</v>
      </c>
      <c r="S150" s="152"/>
      <c r="T150" s="154">
        <v>75132.160000000003</v>
      </c>
      <c r="U150" s="149">
        <f t="shared" si="51"/>
        <v>0</v>
      </c>
      <c r="V150" s="150"/>
      <c r="W150" s="154">
        <v>75132.160000000003</v>
      </c>
      <c r="X150" s="149">
        <f t="shared" si="50"/>
        <v>0</v>
      </c>
    </row>
    <row r="151" spans="1:24" s="1" customFormat="1" ht="26.45" customHeight="1" x14ac:dyDescent="0.2">
      <c r="A151" s="216"/>
      <c r="B151" s="220"/>
      <c r="C151" s="264"/>
      <c r="D151" s="199"/>
      <c r="E151" s="239"/>
      <c r="F151" s="199"/>
      <c r="G151" s="199"/>
      <c r="H151" s="239"/>
      <c r="I151" s="199"/>
      <c r="J151" s="297"/>
      <c r="K151" s="227"/>
      <c r="L151" s="227"/>
      <c r="M151" s="227"/>
      <c r="N151" s="114" t="s">
        <v>286</v>
      </c>
      <c r="O151" s="35">
        <v>63261.03</v>
      </c>
      <c r="P151" s="22">
        <v>47918.09</v>
      </c>
      <c r="Q151" s="22">
        <v>22600</v>
      </c>
      <c r="R151" s="22">
        <v>22600</v>
      </c>
      <c r="S151" s="152"/>
      <c r="T151" s="154">
        <v>47918.09</v>
      </c>
      <c r="U151" s="149">
        <f t="shared" si="51"/>
        <v>0</v>
      </c>
      <c r="V151" s="150"/>
      <c r="W151" s="154">
        <v>47918.09</v>
      </c>
      <c r="X151" s="149">
        <f t="shared" si="50"/>
        <v>0</v>
      </c>
    </row>
    <row r="152" spans="1:24" s="1" customFormat="1" ht="26.45" customHeight="1" x14ac:dyDescent="0.2">
      <c r="A152" s="216"/>
      <c r="B152" s="220"/>
      <c r="C152" s="264"/>
      <c r="D152" s="199"/>
      <c r="E152" s="239"/>
      <c r="F152" s="199"/>
      <c r="G152" s="199"/>
      <c r="H152" s="239"/>
      <c r="I152" s="199"/>
      <c r="J152" s="297"/>
      <c r="K152" s="227" t="s">
        <v>312</v>
      </c>
      <c r="L152" s="227" t="s">
        <v>120</v>
      </c>
      <c r="M152" s="227" t="s">
        <v>315</v>
      </c>
      <c r="N152" s="114" t="s">
        <v>29</v>
      </c>
      <c r="O152" s="35">
        <v>2000</v>
      </c>
      <c r="P152" s="22">
        <v>1908</v>
      </c>
      <c r="Q152" s="22"/>
      <c r="R152" s="22"/>
      <c r="S152" s="152"/>
      <c r="T152" s="154">
        <v>1908</v>
      </c>
      <c r="U152" s="149">
        <f t="shared" si="51"/>
        <v>0</v>
      </c>
      <c r="V152" s="150"/>
      <c r="W152" s="154">
        <v>1908</v>
      </c>
      <c r="X152" s="149">
        <f t="shared" si="50"/>
        <v>0</v>
      </c>
    </row>
    <row r="153" spans="1:24" s="1" customFormat="1" ht="26.45" customHeight="1" x14ac:dyDescent="0.2">
      <c r="A153" s="216"/>
      <c r="B153" s="220"/>
      <c r="C153" s="264"/>
      <c r="D153" s="199"/>
      <c r="E153" s="239"/>
      <c r="F153" s="199"/>
      <c r="G153" s="199"/>
      <c r="H153" s="239"/>
      <c r="I153" s="199"/>
      <c r="J153" s="297"/>
      <c r="K153" s="227"/>
      <c r="L153" s="227"/>
      <c r="M153" s="227"/>
      <c r="N153" s="114" t="s">
        <v>316</v>
      </c>
      <c r="O153" s="35">
        <v>153073.03</v>
      </c>
      <c r="P153" s="22">
        <v>167652.23000000001</v>
      </c>
      <c r="Q153" s="22">
        <v>155100</v>
      </c>
      <c r="R153" s="22">
        <v>155100</v>
      </c>
      <c r="S153" s="152"/>
      <c r="T153" s="154">
        <v>167652.23000000001</v>
      </c>
      <c r="U153" s="149">
        <f t="shared" si="51"/>
        <v>0</v>
      </c>
      <c r="V153" s="150"/>
      <c r="W153" s="154">
        <v>167652.23000000001</v>
      </c>
      <c r="X153" s="149">
        <f t="shared" si="50"/>
        <v>0</v>
      </c>
    </row>
    <row r="154" spans="1:24" s="1" customFormat="1" ht="26.45" customHeight="1" x14ac:dyDescent="0.2">
      <c r="A154" s="216"/>
      <c r="B154" s="201"/>
      <c r="C154" s="264"/>
      <c r="D154" s="199"/>
      <c r="E154" s="239"/>
      <c r="F154" s="199"/>
      <c r="G154" s="199"/>
      <c r="H154" s="239"/>
      <c r="I154" s="199"/>
      <c r="J154" s="196"/>
      <c r="K154" s="227"/>
      <c r="L154" s="227"/>
      <c r="M154" s="227"/>
      <c r="N154" s="114" t="s">
        <v>286</v>
      </c>
      <c r="O154" s="35">
        <v>27024.5</v>
      </c>
      <c r="P154" s="22">
        <v>4500</v>
      </c>
      <c r="Q154" s="22"/>
      <c r="R154" s="22"/>
      <c r="S154" s="152"/>
      <c r="T154" s="154">
        <v>4500</v>
      </c>
      <c r="U154" s="149">
        <f t="shared" si="51"/>
        <v>0</v>
      </c>
      <c r="V154" s="150"/>
      <c r="W154" s="154">
        <v>4500</v>
      </c>
      <c r="X154" s="149">
        <f t="shared" si="50"/>
        <v>0</v>
      </c>
    </row>
    <row r="155" spans="1:24" s="1" customFormat="1" ht="96.75" customHeight="1" x14ac:dyDescent="0.2">
      <c r="A155" s="119" t="s">
        <v>135</v>
      </c>
      <c r="B155" s="120" t="s">
        <v>136</v>
      </c>
      <c r="C155" s="92" t="s">
        <v>137</v>
      </c>
      <c r="D155" s="92" t="s">
        <v>270</v>
      </c>
      <c r="E155" s="92" t="s">
        <v>271</v>
      </c>
      <c r="F155" s="92" t="s">
        <v>498</v>
      </c>
      <c r="G155" s="92" t="s">
        <v>42</v>
      </c>
      <c r="H155" s="92" t="s">
        <v>473</v>
      </c>
      <c r="I155" s="92" t="s">
        <v>0</v>
      </c>
      <c r="J155" s="120" t="s">
        <v>20</v>
      </c>
      <c r="K155" s="15" t="s">
        <v>285</v>
      </c>
      <c r="L155" s="15" t="s">
        <v>138</v>
      </c>
      <c r="M155" s="15" t="s">
        <v>324</v>
      </c>
      <c r="N155" s="15" t="s">
        <v>325</v>
      </c>
      <c r="O155" s="37">
        <v>157837</v>
      </c>
      <c r="P155" s="22"/>
      <c r="Q155" s="22"/>
      <c r="R155" s="22"/>
      <c r="S155" s="152"/>
      <c r="T155" s="154"/>
      <c r="U155" s="149">
        <f t="shared" si="51"/>
        <v>0</v>
      </c>
      <c r="V155" s="150"/>
      <c r="W155" s="154"/>
      <c r="X155" s="149">
        <f t="shared" si="50"/>
        <v>0</v>
      </c>
    </row>
    <row r="156" spans="1:24" s="1" customFormat="1" ht="100.5" customHeight="1" x14ac:dyDescent="0.2">
      <c r="A156" s="119" t="s">
        <v>139</v>
      </c>
      <c r="B156" s="120" t="s">
        <v>140</v>
      </c>
      <c r="C156" s="120" t="s">
        <v>141</v>
      </c>
      <c r="D156" s="120" t="s">
        <v>270</v>
      </c>
      <c r="E156" s="120" t="s">
        <v>271</v>
      </c>
      <c r="F156" s="120" t="s">
        <v>439</v>
      </c>
      <c r="G156" s="120" t="s">
        <v>42</v>
      </c>
      <c r="H156" s="120" t="s">
        <v>473</v>
      </c>
      <c r="I156" s="120" t="s">
        <v>0</v>
      </c>
      <c r="J156" s="120" t="s">
        <v>6</v>
      </c>
      <c r="K156" s="90" t="s">
        <v>285</v>
      </c>
      <c r="L156" s="90" t="s">
        <v>127</v>
      </c>
      <c r="M156" s="114" t="s">
        <v>411</v>
      </c>
      <c r="N156" s="19" t="s">
        <v>290</v>
      </c>
      <c r="O156" s="37">
        <v>65000</v>
      </c>
      <c r="P156" s="22">
        <v>78000</v>
      </c>
      <c r="Q156" s="22"/>
      <c r="R156" s="22"/>
      <c r="S156" s="152"/>
      <c r="T156" s="154">
        <v>78000</v>
      </c>
      <c r="U156" s="149">
        <f t="shared" si="51"/>
        <v>0</v>
      </c>
      <c r="V156" s="150"/>
      <c r="W156" s="154">
        <v>78000</v>
      </c>
      <c r="X156" s="149">
        <f t="shared" si="50"/>
        <v>0</v>
      </c>
    </row>
    <row r="157" spans="1:24" s="1" customFormat="1" ht="73.5" customHeight="1" x14ac:dyDescent="0.2">
      <c r="A157" s="184" t="s">
        <v>142</v>
      </c>
      <c r="B157" s="184" t="s">
        <v>143</v>
      </c>
      <c r="C157" s="184" t="s">
        <v>144</v>
      </c>
      <c r="D157" s="184" t="s">
        <v>145</v>
      </c>
      <c r="E157" s="184" t="s">
        <v>42</v>
      </c>
      <c r="F157" s="120"/>
      <c r="G157" s="120"/>
      <c r="H157" s="184" t="s">
        <v>473</v>
      </c>
      <c r="I157" s="184" t="s">
        <v>42</v>
      </c>
      <c r="J157" s="18" t="s">
        <v>6</v>
      </c>
      <c r="K157" s="114" t="s">
        <v>285</v>
      </c>
      <c r="L157" s="114" t="s">
        <v>127</v>
      </c>
      <c r="M157" s="114" t="s">
        <v>409</v>
      </c>
      <c r="N157" s="19" t="s">
        <v>286</v>
      </c>
      <c r="O157" s="37">
        <v>100000</v>
      </c>
      <c r="P157" s="22">
        <v>100000</v>
      </c>
      <c r="Q157" s="22">
        <v>100000</v>
      </c>
      <c r="R157" s="22">
        <v>100000</v>
      </c>
      <c r="S157" s="152"/>
      <c r="T157" s="154">
        <v>100000</v>
      </c>
      <c r="U157" s="149">
        <f t="shared" si="51"/>
        <v>0</v>
      </c>
      <c r="V157" s="150"/>
      <c r="W157" s="154">
        <v>100000</v>
      </c>
      <c r="X157" s="149">
        <f t="shared" si="50"/>
        <v>0</v>
      </c>
    </row>
    <row r="158" spans="1:24" s="1" customFormat="1" ht="73.5" customHeight="1" x14ac:dyDescent="0.2">
      <c r="A158" s="185"/>
      <c r="B158" s="185"/>
      <c r="C158" s="185"/>
      <c r="D158" s="185"/>
      <c r="E158" s="185"/>
      <c r="F158" s="120"/>
      <c r="G158" s="120"/>
      <c r="H158" s="185"/>
      <c r="I158" s="185"/>
      <c r="J158" s="18"/>
      <c r="K158" s="114" t="s">
        <v>285</v>
      </c>
      <c r="L158" s="114" t="s">
        <v>127</v>
      </c>
      <c r="M158" s="114" t="s">
        <v>410</v>
      </c>
      <c r="N158" s="19" t="s">
        <v>286</v>
      </c>
      <c r="O158" s="37">
        <v>100000</v>
      </c>
      <c r="P158" s="22">
        <v>55120.2</v>
      </c>
      <c r="Q158" s="22">
        <v>100000</v>
      </c>
      <c r="R158" s="22">
        <v>100000</v>
      </c>
      <c r="S158" s="152"/>
      <c r="T158" s="151">
        <v>55120.2</v>
      </c>
      <c r="U158" s="149">
        <f t="shared" si="51"/>
        <v>0</v>
      </c>
      <c r="V158" s="150"/>
      <c r="W158" s="154">
        <v>55120.2</v>
      </c>
      <c r="X158" s="149">
        <f t="shared" si="50"/>
        <v>0</v>
      </c>
    </row>
    <row r="159" spans="1:24" s="58" customFormat="1" ht="26.45" customHeight="1" x14ac:dyDescent="0.2">
      <c r="A159" s="216" t="s">
        <v>146</v>
      </c>
      <c r="B159" s="54" t="s">
        <v>147</v>
      </c>
      <c r="C159" s="208" t="s">
        <v>148</v>
      </c>
      <c r="D159" s="192" t="s">
        <v>270</v>
      </c>
      <c r="E159" s="192" t="s">
        <v>271</v>
      </c>
      <c r="F159" s="278" t="s">
        <v>450</v>
      </c>
      <c r="G159" s="192" t="s">
        <v>42</v>
      </c>
      <c r="H159" s="192" t="s">
        <v>448</v>
      </c>
      <c r="I159" s="312" t="s">
        <v>0</v>
      </c>
      <c r="J159" s="312" t="s">
        <v>6</v>
      </c>
      <c r="K159" s="88"/>
      <c r="L159" s="88"/>
      <c r="M159" s="64"/>
      <c r="N159" s="64"/>
      <c r="O159" s="171">
        <f>SUM(O160:O171)</f>
        <v>20326084.77</v>
      </c>
      <c r="P159" s="79">
        <f t="shared" ref="P159" si="52">SUM(P160:P171)</f>
        <v>21436176.510000002</v>
      </c>
      <c r="Q159" s="79">
        <f t="shared" ref="Q159:R159" si="53">SUM(Q160:Q171)</f>
        <v>19253000</v>
      </c>
      <c r="R159" s="79">
        <f t="shared" si="53"/>
        <v>19253000</v>
      </c>
      <c r="S159" s="183"/>
      <c r="T159" s="151"/>
      <c r="U159" s="149">
        <f t="shared" si="51"/>
        <v>-21436176.510000002</v>
      </c>
      <c r="V159" s="153"/>
      <c r="W159" s="159">
        <f t="shared" ref="W159" si="54">SUM(W160:W171)</f>
        <v>21436176.510000002</v>
      </c>
      <c r="X159" s="149">
        <f t="shared" si="50"/>
        <v>-21436176.510000002</v>
      </c>
    </row>
    <row r="160" spans="1:24" s="58" customFormat="1" ht="26.45" customHeight="1" x14ac:dyDescent="0.2">
      <c r="A160" s="216"/>
      <c r="B160" s="54"/>
      <c r="C160" s="208"/>
      <c r="D160" s="193"/>
      <c r="E160" s="193"/>
      <c r="F160" s="279"/>
      <c r="G160" s="193"/>
      <c r="H160" s="193"/>
      <c r="I160" s="314"/>
      <c r="J160" s="313"/>
      <c r="K160" s="106" t="s">
        <v>285</v>
      </c>
      <c r="L160" s="106" t="s">
        <v>127</v>
      </c>
      <c r="M160" s="110" t="s">
        <v>407</v>
      </c>
      <c r="N160" s="20" t="s">
        <v>28</v>
      </c>
      <c r="O160" s="60">
        <v>1146047.72</v>
      </c>
      <c r="P160" s="135">
        <v>1206000</v>
      </c>
      <c r="Q160" s="61">
        <v>1156400</v>
      </c>
      <c r="R160" s="61">
        <v>1156400</v>
      </c>
      <c r="S160" s="183"/>
      <c r="T160" s="151">
        <v>1206000</v>
      </c>
      <c r="U160" s="149">
        <f t="shared" si="51"/>
        <v>0</v>
      </c>
      <c r="V160" s="153"/>
      <c r="W160" s="151">
        <v>1206000</v>
      </c>
      <c r="X160" s="149">
        <f t="shared" si="50"/>
        <v>0</v>
      </c>
    </row>
    <row r="161" spans="1:24" s="58" customFormat="1" ht="26.45" customHeight="1" x14ac:dyDescent="0.2">
      <c r="A161" s="216"/>
      <c r="B161" s="54"/>
      <c r="C161" s="208"/>
      <c r="D161" s="193"/>
      <c r="E161" s="193"/>
      <c r="F161" s="279"/>
      <c r="G161" s="193"/>
      <c r="H161" s="193"/>
      <c r="I161" s="314"/>
      <c r="J161" s="314"/>
      <c r="K161" s="106" t="s">
        <v>285</v>
      </c>
      <c r="L161" s="106" t="s">
        <v>127</v>
      </c>
      <c r="M161" s="103" t="s">
        <v>408</v>
      </c>
      <c r="N161" s="20" t="s">
        <v>28</v>
      </c>
      <c r="O161" s="60">
        <v>12147127.5</v>
      </c>
      <c r="P161" s="135">
        <v>13475800</v>
      </c>
      <c r="Q161" s="61">
        <v>12188700</v>
      </c>
      <c r="R161" s="61">
        <v>12188700</v>
      </c>
      <c r="S161" s="183"/>
      <c r="T161" s="151">
        <v>13475800</v>
      </c>
      <c r="U161" s="149">
        <f t="shared" si="51"/>
        <v>0</v>
      </c>
      <c r="V161" s="153"/>
      <c r="W161" s="151">
        <v>13475800</v>
      </c>
      <c r="X161" s="149">
        <f t="shared" si="50"/>
        <v>0</v>
      </c>
    </row>
    <row r="162" spans="1:24" s="58" customFormat="1" ht="26.45" customHeight="1" x14ac:dyDescent="0.2">
      <c r="A162" s="216"/>
      <c r="B162" s="54"/>
      <c r="C162" s="208"/>
      <c r="D162" s="193"/>
      <c r="E162" s="193"/>
      <c r="F162" s="279"/>
      <c r="G162" s="193"/>
      <c r="H162" s="193"/>
      <c r="I162" s="314"/>
      <c r="J162" s="314"/>
      <c r="K162" s="106" t="s">
        <v>285</v>
      </c>
      <c r="L162" s="106" t="s">
        <v>127</v>
      </c>
      <c r="M162" s="107" t="s">
        <v>319</v>
      </c>
      <c r="N162" s="57" t="s">
        <v>28</v>
      </c>
      <c r="O162" s="60">
        <v>575543.5</v>
      </c>
      <c r="P162" s="135"/>
      <c r="Q162" s="61"/>
      <c r="R162" s="61"/>
      <c r="S162" s="183"/>
      <c r="T162" s="151"/>
      <c r="U162" s="149">
        <f t="shared" si="51"/>
        <v>0</v>
      </c>
      <c r="V162" s="153"/>
      <c r="W162" s="151"/>
      <c r="X162" s="149">
        <f t="shared" si="50"/>
        <v>0</v>
      </c>
    </row>
    <row r="163" spans="1:24" s="58" customFormat="1" ht="26.45" customHeight="1" x14ac:dyDescent="0.2">
      <c r="A163" s="216"/>
      <c r="B163" s="54"/>
      <c r="C163" s="208"/>
      <c r="D163" s="194"/>
      <c r="E163" s="194"/>
      <c r="F163" s="279"/>
      <c r="G163" s="193"/>
      <c r="H163" s="193"/>
      <c r="I163" s="314"/>
      <c r="J163" s="314"/>
      <c r="K163" s="106" t="s">
        <v>285</v>
      </c>
      <c r="L163" s="106" t="s">
        <v>127</v>
      </c>
      <c r="M163" s="107" t="s">
        <v>318</v>
      </c>
      <c r="N163" s="57" t="s">
        <v>28</v>
      </c>
      <c r="O163" s="60">
        <v>151662.91</v>
      </c>
      <c r="P163" s="22">
        <v>254626.22</v>
      </c>
      <c r="Q163" s="61"/>
      <c r="R163" s="61"/>
      <c r="S163" s="183"/>
      <c r="T163" s="154">
        <v>254626.22</v>
      </c>
      <c r="U163" s="149">
        <f t="shared" si="51"/>
        <v>0</v>
      </c>
      <c r="V163" s="153"/>
      <c r="W163" s="154">
        <v>254626.22</v>
      </c>
      <c r="X163" s="149">
        <f t="shared" si="50"/>
        <v>0</v>
      </c>
    </row>
    <row r="164" spans="1:24" s="58" customFormat="1" ht="26.45" customHeight="1" x14ac:dyDescent="0.2">
      <c r="A164" s="216"/>
      <c r="B164" s="54"/>
      <c r="C164" s="208"/>
      <c r="D164" s="192" t="s">
        <v>440</v>
      </c>
      <c r="E164" s="192" t="s">
        <v>42</v>
      </c>
      <c r="F164" s="279"/>
      <c r="G164" s="193"/>
      <c r="H164" s="192" t="s">
        <v>449</v>
      </c>
      <c r="I164" s="314"/>
      <c r="J164" s="314"/>
      <c r="K164" s="106" t="s">
        <v>293</v>
      </c>
      <c r="L164" s="106" t="s">
        <v>66</v>
      </c>
      <c r="M164" s="107" t="s">
        <v>362</v>
      </c>
      <c r="N164" s="106" t="s">
        <v>28</v>
      </c>
      <c r="O164" s="62">
        <v>934342.94</v>
      </c>
      <c r="P164" s="22">
        <v>1007316.02</v>
      </c>
      <c r="Q164" s="61">
        <v>941700</v>
      </c>
      <c r="R164" s="61">
        <v>941700</v>
      </c>
      <c r="S164" s="183"/>
      <c r="T164" s="154">
        <v>1007316.02</v>
      </c>
      <c r="U164" s="149">
        <f t="shared" si="51"/>
        <v>0</v>
      </c>
      <c r="V164" s="153"/>
      <c r="W164" s="154">
        <v>1007316.02</v>
      </c>
      <c r="X164" s="149">
        <f t="shared" si="50"/>
        <v>0</v>
      </c>
    </row>
    <row r="165" spans="1:24" s="58" customFormat="1" ht="26.45" customHeight="1" x14ac:dyDescent="0.2">
      <c r="A165" s="216"/>
      <c r="B165" s="54"/>
      <c r="C165" s="208"/>
      <c r="D165" s="193"/>
      <c r="E165" s="193"/>
      <c r="F165" s="279"/>
      <c r="G165" s="193"/>
      <c r="H165" s="193"/>
      <c r="I165" s="314"/>
      <c r="J165" s="314"/>
      <c r="K165" s="106" t="s">
        <v>293</v>
      </c>
      <c r="L165" s="106" t="s">
        <v>66</v>
      </c>
      <c r="M165" s="107" t="s">
        <v>323</v>
      </c>
      <c r="N165" s="106" t="s">
        <v>28</v>
      </c>
      <c r="O165" s="62">
        <v>39728</v>
      </c>
      <c r="P165" s="22"/>
      <c r="Q165" s="61"/>
      <c r="R165" s="61"/>
      <c r="S165" s="183"/>
      <c r="T165" s="154"/>
      <c r="U165" s="149">
        <f t="shared" si="51"/>
        <v>0</v>
      </c>
      <c r="V165" s="153"/>
      <c r="W165" s="154"/>
      <c r="X165" s="149">
        <f t="shared" si="50"/>
        <v>0</v>
      </c>
    </row>
    <row r="166" spans="1:24" s="58" customFormat="1" ht="26.45" customHeight="1" x14ac:dyDescent="0.2">
      <c r="A166" s="216"/>
      <c r="B166" s="54"/>
      <c r="C166" s="208"/>
      <c r="D166" s="193"/>
      <c r="E166" s="193"/>
      <c r="F166" s="279"/>
      <c r="G166" s="193"/>
      <c r="H166" s="193"/>
      <c r="I166" s="314"/>
      <c r="J166" s="314"/>
      <c r="K166" s="106" t="s">
        <v>293</v>
      </c>
      <c r="L166" s="106" t="s">
        <v>66</v>
      </c>
      <c r="M166" s="107" t="s">
        <v>318</v>
      </c>
      <c r="N166" s="106" t="s">
        <v>28</v>
      </c>
      <c r="O166" s="62">
        <v>19864</v>
      </c>
      <c r="P166" s="22">
        <v>31081.5</v>
      </c>
      <c r="Q166" s="61"/>
      <c r="R166" s="61"/>
      <c r="S166" s="183"/>
      <c r="T166" s="154">
        <v>31081.5</v>
      </c>
      <c r="U166" s="149">
        <f t="shared" si="51"/>
        <v>0</v>
      </c>
      <c r="V166" s="153"/>
      <c r="W166" s="154">
        <v>31081.5</v>
      </c>
      <c r="X166" s="149">
        <f t="shared" si="50"/>
        <v>0</v>
      </c>
    </row>
    <row r="167" spans="1:24" s="58" customFormat="1" ht="26.45" customHeight="1" x14ac:dyDescent="0.2">
      <c r="A167" s="216"/>
      <c r="B167" s="54"/>
      <c r="C167" s="208"/>
      <c r="D167" s="193"/>
      <c r="E167" s="193"/>
      <c r="F167" s="279"/>
      <c r="G167" s="193"/>
      <c r="H167" s="193"/>
      <c r="I167" s="314"/>
      <c r="J167" s="313"/>
      <c r="K167" s="106" t="s">
        <v>290</v>
      </c>
      <c r="L167" s="106" t="s">
        <v>120</v>
      </c>
      <c r="M167" s="107" t="s">
        <v>412</v>
      </c>
      <c r="N167" s="106" t="s">
        <v>28</v>
      </c>
      <c r="O167" s="62">
        <v>4183211.1</v>
      </c>
      <c r="P167" s="22">
        <v>4531300</v>
      </c>
      <c r="Q167" s="61">
        <v>4221300</v>
      </c>
      <c r="R167" s="61">
        <v>4221300</v>
      </c>
      <c r="S167" s="183"/>
      <c r="T167" s="154">
        <v>4531300</v>
      </c>
      <c r="U167" s="149">
        <f t="shared" si="51"/>
        <v>0</v>
      </c>
      <c r="V167" s="153"/>
      <c r="W167" s="154">
        <v>4531300</v>
      </c>
      <c r="X167" s="149">
        <f t="shared" si="50"/>
        <v>0</v>
      </c>
    </row>
    <row r="168" spans="1:24" s="58" customFormat="1" ht="26.45" customHeight="1" x14ac:dyDescent="0.2">
      <c r="A168" s="216"/>
      <c r="B168" s="54"/>
      <c r="C168" s="208"/>
      <c r="D168" s="193"/>
      <c r="E168" s="193"/>
      <c r="F168" s="279"/>
      <c r="G168" s="193"/>
      <c r="H168" s="193"/>
      <c r="I168" s="314"/>
      <c r="J168" s="314"/>
      <c r="K168" s="106" t="s">
        <v>290</v>
      </c>
      <c r="L168" s="106" t="s">
        <v>120</v>
      </c>
      <c r="M168" s="107" t="s">
        <v>317</v>
      </c>
      <c r="N168" s="106" t="s">
        <v>28</v>
      </c>
      <c r="O168" s="62">
        <v>295141</v>
      </c>
      <c r="P168" s="22"/>
      <c r="Q168" s="61"/>
      <c r="R168" s="61"/>
      <c r="S168" s="183"/>
      <c r="T168" s="154"/>
      <c r="U168" s="149">
        <f t="shared" si="51"/>
        <v>0</v>
      </c>
      <c r="V168" s="153"/>
      <c r="W168" s="154"/>
      <c r="X168" s="149">
        <f t="shared" si="50"/>
        <v>0</v>
      </c>
    </row>
    <row r="169" spans="1:24" s="58" customFormat="1" ht="26.45" customHeight="1" x14ac:dyDescent="0.2">
      <c r="A169" s="216"/>
      <c r="B169" s="54"/>
      <c r="C169" s="208"/>
      <c r="D169" s="193"/>
      <c r="E169" s="193"/>
      <c r="F169" s="279"/>
      <c r="G169" s="193"/>
      <c r="H169" s="193"/>
      <c r="I169" s="314"/>
      <c r="J169" s="314"/>
      <c r="K169" s="106" t="s">
        <v>290</v>
      </c>
      <c r="L169" s="106" t="s">
        <v>120</v>
      </c>
      <c r="M169" s="107" t="s">
        <v>318</v>
      </c>
      <c r="N169" s="106" t="s">
        <v>28</v>
      </c>
      <c r="O169" s="62">
        <v>74331</v>
      </c>
      <c r="P169" s="22">
        <v>116313</v>
      </c>
      <c r="Q169" s="61"/>
      <c r="R169" s="61"/>
      <c r="S169" s="183"/>
      <c r="T169" s="154">
        <v>116313</v>
      </c>
      <c r="U169" s="149">
        <f t="shared" si="51"/>
        <v>0</v>
      </c>
      <c r="V169" s="153"/>
      <c r="W169" s="154">
        <v>116313</v>
      </c>
      <c r="X169" s="149">
        <f t="shared" si="50"/>
        <v>0</v>
      </c>
    </row>
    <row r="170" spans="1:24" s="58" customFormat="1" ht="26.45" customHeight="1" x14ac:dyDescent="0.2">
      <c r="A170" s="216"/>
      <c r="B170" s="54"/>
      <c r="C170" s="208"/>
      <c r="D170" s="193"/>
      <c r="E170" s="193"/>
      <c r="F170" s="279"/>
      <c r="G170" s="193"/>
      <c r="H170" s="193"/>
      <c r="I170" s="314"/>
      <c r="J170" s="314"/>
      <c r="K170" s="104" t="s">
        <v>313</v>
      </c>
      <c r="L170" s="104" t="s">
        <v>314</v>
      </c>
      <c r="M170" s="31" t="s">
        <v>315</v>
      </c>
      <c r="N170" s="105" t="s">
        <v>28</v>
      </c>
      <c r="O170" s="63">
        <v>229095.74</v>
      </c>
      <c r="P170" s="22">
        <v>254600</v>
      </c>
      <c r="Q170" s="61">
        <v>231400</v>
      </c>
      <c r="R170" s="61">
        <v>231400</v>
      </c>
      <c r="S170" s="183"/>
      <c r="T170" s="154">
        <v>254600</v>
      </c>
      <c r="U170" s="149">
        <f t="shared" si="51"/>
        <v>0</v>
      </c>
      <c r="V170" s="153"/>
      <c r="W170" s="154">
        <v>254600</v>
      </c>
      <c r="X170" s="149">
        <f t="shared" si="50"/>
        <v>0</v>
      </c>
    </row>
    <row r="171" spans="1:24" s="58" customFormat="1" ht="26.45" customHeight="1" x14ac:dyDescent="0.2">
      <c r="A171" s="216"/>
      <c r="B171" s="54"/>
      <c r="C171" s="208"/>
      <c r="D171" s="193"/>
      <c r="E171" s="193"/>
      <c r="F171" s="316"/>
      <c r="G171" s="194"/>
      <c r="H171" s="194"/>
      <c r="I171" s="315"/>
      <c r="J171" s="315"/>
      <c r="K171" s="103" t="s">
        <v>312</v>
      </c>
      <c r="L171" s="103" t="s">
        <v>120</v>
      </c>
      <c r="M171" s="103" t="s">
        <v>322</v>
      </c>
      <c r="N171" s="20" t="s">
        <v>28</v>
      </c>
      <c r="O171" s="60">
        <v>529989.36</v>
      </c>
      <c r="P171" s="22">
        <v>559139.77</v>
      </c>
      <c r="Q171" s="61">
        <v>513500</v>
      </c>
      <c r="R171" s="61">
        <v>513500</v>
      </c>
      <c r="S171" s="183"/>
      <c r="T171" s="154">
        <v>559139.77</v>
      </c>
      <c r="U171" s="149">
        <f t="shared" si="51"/>
        <v>0</v>
      </c>
      <c r="V171" s="153"/>
      <c r="W171" s="154">
        <v>559139.77</v>
      </c>
      <c r="X171" s="149">
        <f t="shared" si="50"/>
        <v>0</v>
      </c>
    </row>
    <row r="172" spans="1:24" s="58" customFormat="1" ht="162.75" customHeight="1" x14ac:dyDescent="0.2">
      <c r="A172" s="56" t="s">
        <v>149</v>
      </c>
      <c r="B172" s="54" t="s">
        <v>150</v>
      </c>
      <c r="C172" s="54" t="s">
        <v>151</v>
      </c>
      <c r="D172" s="93" t="s">
        <v>270</v>
      </c>
      <c r="E172" s="54" t="s">
        <v>271</v>
      </c>
      <c r="F172" s="54" t="s">
        <v>451</v>
      </c>
      <c r="G172" s="54" t="s">
        <v>42</v>
      </c>
      <c r="H172" s="54" t="s">
        <v>444</v>
      </c>
      <c r="I172" s="54" t="s">
        <v>42</v>
      </c>
      <c r="J172" s="65" t="s">
        <v>20</v>
      </c>
      <c r="K172" s="64" t="s">
        <v>285</v>
      </c>
      <c r="L172" s="66" t="s">
        <v>152</v>
      </c>
      <c r="M172" s="66" t="s">
        <v>413</v>
      </c>
      <c r="N172" s="67" t="s">
        <v>286</v>
      </c>
      <c r="O172" s="171">
        <v>35322.5</v>
      </c>
      <c r="P172" s="79">
        <v>34855</v>
      </c>
      <c r="Q172" s="79"/>
      <c r="R172" s="79"/>
      <c r="S172" s="183"/>
      <c r="T172" s="151">
        <v>34855</v>
      </c>
      <c r="U172" s="149">
        <f t="shared" si="51"/>
        <v>0</v>
      </c>
      <c r="V172" s="153"/>
      <c r="W172" s="159">
        <v>34855</v>
      </c>
      <c r="X172" s="149">
        <f t="shared" si="50"/>
        <v>0</v>
      </c>
    </row>
    <row r="173" spans="1:24" s="58" customFormat="1" ht="78.75" customHeight="1" x14ac:dyDescent="0.2">
      <c r="A173" s="214" t="s">
        <v>153</v>
      </c>
      <c r="B173" s="192" t="s">
        <v>154</v>
      </c>
      <c r="C173" s="200" t="s">
        <v>155</v>
      </c>
      <c r="D173" s="96" t="s">
        <v>270</v>
      </c>
      <c r="E173" s="69" t="s">
        <v>271</v>
      </c>
      <c r="F173" s="192" t="s">
        <v>450</v>
      </c>
      <c r="G173" s="192" t="s">
        <v>454</v>
      </c>
      <c r="H173" s="192" t="s">
        <v>497</v>
      </c>
      <c r="I173" s="192" t="s">
        <v>42</v>
      </c>
      <c r="J173" s="206" t="s">
        <v>15</v>
      </c>
      <c r="K173" s="203" t="s">
        <v>285</v>
      </c>
      <c r="L173" s="205" t="s">
        <v>35</v>
      </c>
      <c r="M173" s="205" t="s">
        <v>343</v>
      </c>
      <c r="N173" s="203" t="s">
        <v>292</v>
      </c>
      <c r="O173" s="327">
        <v>3065718.12</v>
      </c>
      <c r="P173" s="329">
        <v>3017551.22</v>
      </c>
      <c r="Q173" s="329">
        <f>1594787.87+1640912.15</f>
        <v>3235700.02</v>
      </c>
      <c r="R173" s="329">
        <f>2691873.98+543826.18</f>
        <v>3235700.16</v>
      </c>
      <c r="S173" s="183"/>
      <c r="T173" s="151">
        <v>3017551.22</v>
      </c>
      <c r="U173" s="149">
        <f t="shared" si="51"/>
        <v>0</v>
      </c>
      <c r="V173" s="153"/>
      <c r="W173" s="318">
        <v>3017551.22</v>
      </c>
      <c r="X173" s="149">
        <f t="shared" si="50"/>
        <v>0</v>
      </c>
    </row>
    <row r="174" spans="1:24" s="58" customFormat="1" ht="78.75" customHeight="1" x14ac:dyDescent="0.2">
      <c r="A174" s="215"/>
      <c r="B174" s="194"/>
      <c r="C174" s="201"/>
      <c r="D174" s="96" t="s">
        <v>452</v>
      </c>
      <c r="E174" s="69" t="s">
        <v>453</v>
      </c>
      <c r="F174" s="194"/>
      <c r="G174" s="194"/>
      <c r="H174" s="194"/>
      <c r="I174" s="194"/>
      <c r="J174" s="207"/>
      <c r="K174" s="204"/>
      <c r="L174" s="204"/>
      <c r="M174" s="204"/>
      <c r="N174" s="204"/>
      <c r="O174" s="328"/>
      <c r="P174" s="329"/>
      <c r="Q174" s="329"/>
      <c r="R174" s="329"/>
      <c r="S174" s="183"/>
      <c r="T174" s="151"/>
      <c r="U174" s="149">
        <f t="shared" si="51"/>
        <v>0</v>
      </c>
      <c r="V174" s="153"/>
      <c r="W174" s="318"/>
      <c r="X174" s="149">
        <f t="shared" si="50"/>
        <v>0</v>
      </c>
    </row>
    <row r="175" spans="1:24" s="58" customFormat="1" ht="123" customHeight="1" x14ac:dyDescent="0.2">
      <c r="A175" s="216" t="s">
        <v>156</v>
      </c>
      <c r="B175" s="192" t="s">
        <v>157</v>
      </c>
      <c r="C175" s="208" t="s">
        <v>158</v>
      </c>
      <c r="D175" s="238" t="s">
        <v>270</v>
      </c>
      <c r="E175" s="192" t="s">
        <v>271</v>
      </c>
      <c r="F175" s="192" t="s">
        <v>46</v>
      </c>
      <c r="G175" s="192" t="s">
        <v>42</v>
      </c>
      <c r="H175" s="192" t="s">
        <v>475</v>
      </c>
      <c r="I175" s="192" t="s">
        <v>42</v>
      </c>
      <c r="J175" s="206" t="s">
        <v>11</v>
      </c>
      <c r="K175" s="64" t="s">
        <v>293</v>
      </c>
      <c r="L175" s="64" t="s">
        <v>51</v>
      </c>
      <c r="M175" s="64" t="s">
        <v>361</v>
      </c>
      <c r="N175" s="64" t="s">
        <v>298</v>
      </c>
      <c r="O175" s="171">
        <v>3997199.85</v>
      </c>
      <c r="P175" s="79">
        <v>4157332.29</v>
      </c>
      <c r="Q175" s="79">
        <v>5125941.05</v>
      </c>
      <c r="R175" s="79">
        <v>5150550.53</v>
      </c>
      <c r="S175" s="183"/>
      <c r="T175" s="151">
        <v>4157332.29</v>
      </c>
      <c r="U175" s="149">
        <f t="shared" si="51"/>
        <v>0</v>
      </c>
      <c r="V175" s="153"/>
      <c r="W175" s="159">
        <v>4157332.29</v>
      </c>
      <c r="X175" s="149">
        <f t="shared" si="50"/>
        <v>0</v>
      </c>
    </row>
    <row r="176" spans="1:24" s="59" customFormat="1" ht="123" customHeight="1" x14ac:dyDescent="0.2">
      <c r="A176" s="216" t="s">
        <v>0</v>
      </c>
      <c r="B176" s="194"/>
      <c r="C176" s="208" t="s">
        <v>0</v>
      </c>
      <c r="D176" s="194"/>
      <c r="E176" s="194"/>
      <c r="F176" s="194"/>
      <c r="G176" s="194"/>
      <c r="H176" s="194"/>
      <c r="I176" s="194"/>
      <c r="J176" s="207"/>
      <c r="K176" s="87"/>
      <c r="L176" s="87"/>
      <c r="M176" s="87"/>
      <c r="N176" s="13"/>
      <c r="O176" s="172"/>
      <c r="P176" s="140"/>
      <c r="Q176" s="140"/>
      <c r="R176" s="140"/>
      <c r="S176" s="183"/>
      <c r="T176" s="151"/>
      <c r="U176" s="149">
        <f t="shared" si="51"/>
        <v>0</v>
      </c>
      <c r="V176" s="153"/>
      <c r="W176" s="160"/>
      <c r="X176" s="149">
        <f t="shared" si="50"/>
        <v>0</v>
      </c>
    </row>
    <row r="177" spans="1:24" s="58" customFormat="1" ht="108.75" customHeight="1" x14ac:dyDescent="0.2">
      <c r="A177" s="192" t="s">
        <v>159</v>
      </c>
      <c r="B177" s="192" t="s">
        <v>160</v>
      </c>
      <c r="C177" s="192" t="s">
        <v>161</v>
      </c>
      <c r="D177" s="84" t="s">
        <v>456</v>
      </c>
      <c r="E177" s="77" t="s">
        <v>457</v>
      </c>
      <c r="F177" s="192" t="s">
        <v>471</v>
      </c>
      <c r="G177" s="192" t="s">
        <v>42</v>
      </c>
      <c r="H177" s="120" t="s">
        <v>469</v>
      </c>
      <c r="I177" s="54" t="s">
        <v>42</v>
      </c>
      <c r="J177" s="53" t="s">
        <v>6</v>
      </c>
      <c r="K177" s="106" t="s">
        <v>285</v>
      </c>
      <c r="L177" s="106" t="s">
        <v>152</v>
      </c>
      <c r="M177" s="106" t="s">
        <v>414</v>
      </c>
      <c r="N177" s="57" t="s">
        <v>297</v>
      </c>
      <c r="O177" s="60">
        <v>2933123.15</v>
      </c>
      <c r="P177" s="61">
        <v>2846536.68</v>
      </c>
      <c r="Q177" s="61">
        <v>2749400</v>
      </c>
      <c r="R177" s="61">
        <v>2749400</v>
      </c>
      <c r="S177" s="183"/>
      <c r="T177" s="151">
        <v>2846536.68</v>
      </c>
      <c r="U177" s="149">
        <f t="shared" si="51"/>
        <v>0</v>
      </c>
      <c r="V177" s="153"/>
      <c r="W177" s="160">
        <v>2846536.68</v>
      </c>
      <c r="X177" s="149">
        <f t="shared" si="50"/>
        <v>0</v>
      </c>
    </row>
    <row r="178" spans="1:24" s="58" customFormat="1" ht="108.75" customHeight="1" x14ac:dyDescent="0.2">
      <c r="A178" s="194"/>
      <c r="B178" s="194"/>
      <c r="C178" s="194"/>
      <c r="D178" s="54" t="s">
        <v>455</v>
      </c>
      <c r="E178" s="54"/>
      <c r="F178" s="194"/>
      <c r="G178" s="194"/>
      <c r="H178" s="54" t="s">
        <v>470</v>
      </c>
      <c r="I178" s="54" t="s">
        <v>42</v>
      </c>
      <c r="J178" s="54">
        <v>1</v>
      </c>
      <c r="K178" s="106" t="s">
        <v>285</v>
      </c>
      <c r="L178" s="106" t="s">
        <v>152</v>
      </c>
      <c r="M178" s="106" t="s">
        <v>414</v>
      </c>
      <c r="N178" s="20" t="s">
        <v>298</v>
      </c>
      <c r="O178" s="60">
        <v>52176.85</v>
      </c>
      <c r="P178" s="61">
        <v>241311</v>
      </c>
      <c r="Q178" s="61">
        <v>0</v>
      </c>
      <c r="R178" s="61">
        <v>0</v>
      </c>
      <c r="S178" s="183"/>
      <c r="T178" s="151">
        <v>241311</v>
      </c>
      <c r="U178" s="149">
        <f t="shared" si="51"/>
        <v>0</v>
      </c>
      <c r="V178" s="153"/>
      <c r="W178" s="160">
        <v>241311</v>
      </c>
      <c r="X178" s="149">
        <f t="shared" si="50"/>
        <v>0</v>
      </c>
    </row>
    <row r="179" spans="1:24" ht="26.45" customHeight="1" x14ac:dyDescent="0.2">
      <c r="A179" s="5" t="s">
        <v>162</v>
      </c>
      <c r="B179" s="116" t="s">
        <v>163</v>
      </c>
      <c r="C179" s="116" t="s">
        <v>164</v>
      </c>
      <c r="D179" s="120"/>
      <c r="E179" s="120"/>
      <c r="F179" s="116" t="s">
        <v>0</v>
      </c>
      <c r="G179" s="116" t="s">
        <v>0</v>
      </c>
      <c r="H179" s="116" t="s">
        <v>0</v>
      </c>
      <c r="I179" s="116" t="s">
        <v>0</v>
      </c>
      <c r="J179" s="116" t="s">
        <v>0</v>
      </c>
      <c r="K179" s="14"/>
      <c r="L179" s="14"/>
      <c r="M179" s="14"/>
      <c r="N179" s="14"/>
      <c r="O179" s="173">
        <f t="shared" ref="O179:R179" si="55">O180+O190</f>
        <v>21050942.359999999</v>
      </c>
      <c r="P179" s="141">
        <f t="shared" si="55"/>
        <v>23681735.080000002</v>
      </c>
      <c r="Q179" s="141">
        <f t="shared" si="55"/>
        <v>26739528.080000002</v>
      </c>
      <c r="R179" s="141">
        <f t="shared" si="55"/>
        <v>28115694.879999999</v>
      </c>
      <c r="U179" s="149">
        <f t="shared" si="51"/>
        <v>-23681735.080000002</v>
      </c>
      <c r="W179" s="161">
        <f t="shared" ref="W179" si="56">W180+W190</f>
        <v>23681735.080000002</v>
      </c>
      <c r="X179" s="149">
        <f t="shared" si="50"/>
        <v>-23681735.080000002</v>
      </c>
    </row>
    <row r="180" spans="1:24" ht="26.45" customHeight="1" x14ac:dyDescent="0.2">
      <c r="A180" s="6" t="s">
        <v>165</v>
      </c>
      <c r="B180" s="116" t="s">
        <v>166</v>
      </c>
      <c r="C180" s="116" t="s">
        <v>167</v>
      </c>
      <c r="D180" s="116" t="s">
        <v>0</v>
      </c>
      <c r="E180" s="116" t="s">
        <v>0</v>
      </c>
      <c r="F180" s="116" t="s">
        <v>0</v>
      </c>
      <c r="G180" s="116" t="s">
        <v>0</v>
      </c>
      <c r="H180" s="116" t="s">
        <v>0</v>
      </c>
      <c r="I180" s="116" t="s">
        <v>0</v>
      </c>
      <c r="J180" s="116" t="s">
        <v>168</v>
      </c>
      <c r="K180" s="14"/>
      <c r="L180" s="14"/>
      <c r="M180" s="14"/>
      <c r="N180" s="14"/>
      <c r="O180" s="174">
        <f>O181+O183+O184+O189</f>
        <v>900118.56</v>
      </c>
      <c r="P180" s="142">
        <f t="shared" ref="P180" si="57">P181+P183+P184+P189</f>
        <v>806203.20000000007</v>
      </c>
      <c r="Q180" s="142">
        <f t="shared" ref="Q180:R180" si="58">Q181+Q183+Q184+Q189</f>
        <v>739446.6</v>
      </c>
      <c r="R180" s="142">
        <f t="shared" si="58"/>
        <v>764113.4</v>
      </c>
      <c r="U180" s="149">
        <f t="shared" si="51"/>
        <v>-806203.20000000007</v>
      </c>
      <c r="W180" s="161">
        <f t="shared" ref="W180" si="59">W181+W183+W184+W189</f>
        <v>806203.20000000007</v>
      </c>
      <c r="X180" s="149">
        <f t="shared" si="50"/>
        <v>-806203.20000000007</v>
      </c>
    </row>
    <row r="181" spans="1:24" s="58" customFormat="1" ht="70.5" customHeight="1" x14ac:dyDescent="0.2">
      <c r="A181" s="216" t="s">
        <v>169</v>
      </c>
      <c r="B181" s="54" t="s">
        <v>170</v>
      </c>
      <c r="C181" s="208" t="s">
        <v>171</v>
      </c>
      <c r="D181" s="54" t="s">
        <v>270</v>
      </c>
      <c r="E181" s="54" t="s">
        <v>272</v>
      </c>
      <c r="F181" s="192" t="s">
        <v>459</v>
      </c>
      <c r="G181" s="192" t="s">
        <v>42</v>
      </c>
      <c r="H181" s="192" t="s">
        <v>475</v>
      </c>
      <c r="I181" s="192" t="s">
        <v>42</v>
      </c>
      <c r="J181" s="192" t="s">
        <v>168</v>
      </c>
      <c r="K181" s="222" t="s">
        <v>293</v>
      </c>
      <c r="L181" s="222" t="s">
        <v>102</v>
      </c>
      <c r="M181" s="222" t="s">
        <v>294</v>
      </c>
      <c r="N181" s="222" t="s">
        <v>295</v>
      </c>
      <c r="O181" s="322">
        <v>55776.76</v>
      </c>
      <c r="P181" s="321"/>
      <c r="Q181" s="321"/>
      <c r="R181" s="321"/>
      <c r="S181" s="183"/>
      <c r="T181" s="151"/>
      <c r="U181" s="149">
        <f t="shared" si="51"/>
        <v>0</v>
      </c>
      <c r="V181" s="153"/>
      <c r="W181" s="319"/>
      <c r="X181" s="149">
        <f t="shared" si="50"/>
        <v>0</v>
      </c>
    </row>
    <row r="182" spans="1:24" s="59" customFormat="1" ht="187.5" customHeight="1" x14ac:dyDescent="0.2">
      <c r="A182" s="216" t="s">
        <v>0</v>
      </c>
      <c r="B182" s="97" t="s">
        <v>170</v>
      </c>
      <c r="C182" s="208" t="s">
        <v>0</v>
      </c>
      <c r="D182" s="54" t="s">
        <v>458</v>
      </c>
      <c r="E182" s="54" t="s">
        <v>42</v>
      </c>
      <c r="F182" s="194"/>
      <c r="G182" s="194"/>
      <c r="H182" s="194"/>
      <c r="I182" s="194"/>
      <c r="J182" s="194"/>
      <c r="K182" s="224"/>
      <c r="L182" s="224"/>
      <c r="M182" s="224"/>
      <c r="N182" s="224"/>
      <c r="O182" s="323"/>
      <c r="P182" s="321"/>
      <c r="Q182" s="321"/>
      <c r="R182" s="321"/>
      <c r="S182" s="183"/>
      <c r="T182" s="151"/>
      <c r="U182" s="149">
        <f t="shared" si="51"/>
        <v>0</v>
      </c>
      <c r="V182" s="153"/>
      <c r="W182" s="319"/>
      <c r="X182" s="149">
        <f t="shared" si="50"/>
        <v>0</v>
      </c>
    </row>
    <row r="183" spans="1:24" s="1" customFormat="1" ht="99" customHeight="1" x14ac:dyDescent="0.2">
      <c r="A183" s="119" t="s">
        <v>172</v>
      </c>
      <c r="B183" s="120" t="s">
        <v>173</v>
      </c>
      <c r="C183" s="120" t="s">
        <v>174</v>
      </c>
      <c r="D183" s="120" t="s">
        <v>175</v>
      </c>
      <c r="E183" s="120" t="s">
        <v>42</v>
      </c>
      <c r="F183" s="120" t="s">
        <v>460</v>
      </c>
      <c r="G183" s="120" t="s">
        <v>42</v>
      </c>
      <c r="H183" s="96" t="s">
        <v>473</v>
      </c>
      <c r="I183" s="120" t="s">
        <v>0</v>
      </c>
      <c r="J183" s="120" t="s">
        <v>168</v>
      </c>
      <c r="K183" s="90" t="s">
        <v>285</v>
      </c>
      <c r="L183" s="90" t="s">
        <v>176</v>
      </c>
      <c r="M183" s="90" t="s">
        <v>521</v>
      </c>
      <c r="N183" s="15" t="s">
        <v>286</v>
      </c>
      <c r="O183" s="37"/>
      <c r="P183" s="22">
        <v>51585</v>
      </c>
      <c r="Q183" s="22">
        <v>3132</v>
      </c>
      <c r="R183" s="22">
        <v>2783</v>
      </c>
      <c r="S183" s="152"/>
      <c r="T183" s="151">
        <v>51585</v>
      </c>
      <c r="U183" s="149">
        <f t="shared" si="51"/>
        <v>0</v>
      </c>
      <c r="V183" s="150"/>
      <c r="W183" s="154">
        <v>51585</v>
      </c>
      <c r="X183" s="149">
        <f t="shared" si="50"/>
        <v>0</v>
      </c>
    </row>
    <row r="184" spans="1:24" s="58" customFormat="1" ht="39" customHeight="1" x14ac:dyDescent="0.2">
      <c r="A184" s="216" t="s">
        <v>177</v>
      </c>
      <c r="B184" s="192" t="s">
        <v>178</v>
      </c>
      <c r="C184" s="208" t="s">
        <v>179</v>
      </c>
      <c r="D184" s="192" t="s">
        <v>270</v>
      </c>
      <c r="E184" s="236" t="s">
        <v>42</v>
      </c>
      <c r="F184" s="192" t="s">
        <v>446</v>
      </c>
      <c r="G184" s="192" t="s">
        <v>42</v>
      </c>
      <c r="H184" s="192" t="s">
        <v>445</v>
      </c>
      <c r="I184" s="192" t="s">
        <v>42</v>
      </c>
      <c r="J184" s="200" t="s">
        <v>168</v>
      </c>
      <c r="K184" s="106" t="s">
        <v>285</v>
      </c>
      <c r="L184" s="106" t="s">
        <v>181</v>
      </c>
      <c r="M184" s="106" t="s">
        <v>415</v>
      </c>
      <c r="N184" s="57" t="s">
        <v>289</v>
      </c>
      <c r="O184" s="175">
        <f>O185+O186+O187+O188</f>
        <v>682016</v>
      </c>
      <c r="P184" s="143">
        <f t="shared" ref="P184" si="60">P185+P186+P187+P188</f>
        <v>754618.20000000007</v>
      </c>
      <c r="Q184" s="143">
        <f t="shared" ref="Q184:R184" si="61">Q185+Q186+Q187+Q188</f>
        <v>736314.6</v>
      </c>
      <c r="R184" s="143">
        <f t="shared" si="61"/>
        <v>761330.4</v>
      </c>
      <c r="S184" s="183"/>
      <c r="T184" s="151"/>
      <c r="U184" s="149">
        <f t="shared" si="51"/>
        <v>-754618.20000000007</v>
      </c>
      <c r="V184" s="153"/>
      <c r="W184" s="160">
        <f t="shared" ref="W184" si="62">W185+W186+W187+W188</f>
        <v>754618.20000000007</v>
      </c>
      <c r="X184" s="149">
        <f t="shared" si="50"/>
        <v>-754618.20000000007</v>
      </c>
    </row>
    <row r="185" spans="1:24" s="58" customFormat="1" ht="39" customHeight="1" x14ac:dyDescent="0.2">
      <c r="A185" s="216"/>
      <c r="B185" s="193"/>
      <c r="C185" s="208"/>
      <c r="D185" s="194"/>
      <c r="E185" s="237"/>
      <c r="F185" s="193"/>
      <c r="G185" s="193"/>
      <c r="H185" s="193"/>
      <c r="I185" s="193"/>
      <c r="J185" s="193"/>
      <c r="K185" s="106" t="s">
        <v>285</v>
      </c>
      <c r="L185" s="106" t="s">
        <v>181</v>
      </c>
      <c r="M185" s="106" t="s">
        <v>415</v>
      </c>
      <c r="N185" s="20" t="s">
        <v>28</v>
      </c>
      <c r="O185" s="60">
        <v>501874.15</v>
      </c>
      <c r="P185" s="61">
        <v>564036.1</v>
      </c>
      <c r="Q185" s="61">
        <v>540000</v>
      </c>
      <c r="R185" s="61">
        <v>558300</v>
      </c>
      <c r="S185" s="183"/>
      <c r="T185" s="151">
        <v>564036.1</v>
      </c>
      <c r="U185" s="149">
        <f t="shared" si="51"/>
        <v>0</v>
      </c>
      <c r="V185" s="153"/>
      <c r="W185" s="160">
        <v>564036.1</v>
      </c>
      <c r="X185" s="149">
        <f t="shared" si="50"/>
        <v>0</v>
      </c>
    </row>
    <row r="186" spans="1:24" s="58" customFormat="1" ht="45.75" customHeight="1" x14ac:dyDescent="0.2">
      <c r="A186" s="216"/>
      <c r="B186" s="193"/>
      <c r="C186" s="208"/>
      <c r="D186" s="278" t="s">
        <v>447</v>
      </c>
      <c r="E186" s="192" t="s">
        <v>42</v>
      </c>
      <c r="F186" s="193"/>
      <c r="G186" s="193"/>
      <c r="H186" s="193"/>
      <c r="I186" s="193"/>
      <c r="J186" s="193"/>
      <c r="K186" s="106" t="s">
        <v>285</v>
      </c>
      <c r="L186" s="106" t="s">
        <v>181</v>
      </c>
      <c r="M186" s="106" t="s">
        <v>415</v>
      </c>
      <c r="N186" s="20" t="s">
        <v>29</v>
      </c>
      <c r="O186" s="60">
        <v>500</v>
      </c>
      <c r="P186" s="61"/>
      <c r="Q186" s="61"/>
      <c r="R186" s="61"/>
      <c r="S186" s="183"/>
      <c r="T186" s="151"/>
      <c r="U186" s="149">
        <f t="shared" si="51"/>
        <v>0</v>
      </c>
      <c r="V186" s="153"/>
      <c r="W186" s="160"/>
      <c r="X186" s="149">
        <f t="shared" si="50"/>
        <v>0</v>
      </c>
    </row>
    <row r="187" spans="1:24" s="58" customFormat="1" ht="45.75" customHeight="1" x14ac:dyDescent="0.2">
      <c r="A187" s="216"/>
      <c r="B187" s="193"/>
      <c r="C187" s="208"/>
      <c r="D187" s="237"/>
      <c r="E187" s="194"/>
      <c r="F187" s="193"/>
      <c r="G187" s="193"/>
      <c r="H187" s="193"/>
      <c r="I187" s="193"/>
      <c r="J187" s="193"/>
      <c r="K187" s="106" t="s">
        <v>285</v>
      </c>
      <c r="L187" s="106" t="s">
        <v>181</v>
      </c>
      <c r="M187" s="106" t="s">
        <v>415</v>
      </c>
      <c r="N187" s="20" t="s">
        <v>316</v>
      </c>
      <c r="O187" s="60">
        <v>147174.85</v>
      </c>
      <c r="P187" s="61">
        <v>168156.7</v>
      </c>
      <c r="Q187" s="61">
        <v>163100</v>
      </c>
      <c r="R187" s="61">
        <v>163100</v>
      </c>
      <c r="S187" s="183"/>
      <c r="T187" s="151">
        <v>168156.7</v>
      </c>
      <c r="U187" s="149">
        <f t="shared" si="51"/>
        <v>0</v>
      </c>
      <c r="V187" s="153"/>
      <c r="W187" s="160">
        <v>168156.7</v>
      </c>
      <c r="X187" s="149">
        <f t="shared" si="50"/>
        <v>0</v>
      </c>
    </row>
    <row r="188" spans="1:24" s="59" customFormat="1" ht="96" customHeight="1" x14ac:dyDescent="0.2">
      <c r="A188" s="216" t="s">
        <v>0</v>
      </c>
      <c r="B188" s="194"/>
      <c r="C188" s="208" t="s">
        <v>0</v>
      </c>
      <c r="D188" s="54" t="s">
        <v>180</v>
      </c>
      <c r="E188" s="122" t="s">
        <v>42</v>
      </c>
      <c r="F188" s="194"/>
      <c r="G188" s="194"/>
      <c r="H188" s="193"/>
      <c r="I188" s="194"/>
      <c r="J188" s="194"/>
      <c r="K188" s="106" t="s">
        <v>285</v>
      </c>
      <c r="L188" s="106" t="s">
        <v>181</v>
      </c>
      <c r="M188" s="106" t="s">
        <v>415</v>
      </c>
      <c r="N188" s="12" t="s">
        <v>286</v>
      </c>
      <c r="O188" s="172">
        <v>32467</v>
      </c>
      <c r="P188" s="140">
        <v>22425.4</v>
      </c>
      <c r="Q188" s="140">
        <v>33214.6</v>
      </c>
      <c r="R188" s="140">
        <v>39930.400000000001</v>
      </c>
      <c r="S188" s="183"/>
      <c r="T188" s="151">
        <v>22425.4</v>
      </c>
      <c r="U188" s="149">
        <f t="shared" si="51"/>
        <v>0</v>
      </c>
      <c r="V188" s="153"/>
      <c r="W188" s="160">
        <v>22425.4</v>
      </c>
      <c r="X188" s="149">
        <f t="shared" si="50"/>
        <v>0</v>
      </c>
    </row>
    <row r="189" spans="1:24" s="1" customFormat="1" ht="94.5" customHeight="1" x14ac:dyDescent="0.2">
      <c r="A189" s="83" t="s">
        <v>182</v>
      </c>
      <c r="B189" s="120" t="s">
        <v>183</v>
      </c>
      <c r="C189" s="116" t="s">
        <v>184</v>
      </c>
      <c r="D189" s="120" t="s">
        <v>273</v>
      </c>
      <c r="E189" s="120" t="s">
        <v>42</v>
      </c>
      <c r="F189" s="120" t="s">
        <v>472</v>
      </c>
      <c r="G189" s="18" t="s">
        <v>42</v>
      </c>
      <c r="H189" s="96" t="s">
        <v>473</v>
      </c>
      <c r="I189" s="55" t="s">
        <v>42</v>
      </c>
      <c r="J189" s="120" t="s">
        <v>168</v>
      </c>
      <c r="K189" s="15" t="s">
        <v>285</v>
      </c>
      <c r="L189" s="15" t="s">
        <v>152</v>
      </c>
      <c r="M189" s="15" t="s">
        <v>321</v>
      </c>
      <c r="N189" s="15" t="s">
        <v>286</v>
      </c>
      <c r="O189" s="37">
        <v>162325.79999999999</v>
      </c>
      <c r="P189" s="22"/>
      <c r="Q189" s="22"/>
      <c r="R189" s="22"/>
      <c r="S189" s="152"/>
      <c r="T189" s="151"/>
      <c r="U189" s="149">
        <f t="shared" si="51"/>
        <v>0</v>
      </c>
      <c r="V189" s="150"/>
      <c r="W189" s="154"/>
      <c r="X189" s="149">
        <f t="shared" si="50"/>
        <v>0</v>
      </c>
    </row>
    <row r="190" spans="1:24" ht="26.45" customHeight="1" x14ac:dyDescent="0.2">
      <c r="A190" s="6" t="s">
        <v>185</v>
      </c>
      <c r="B190" s="116" t="s">
        <v>186</v>
      </c>
      <c r="C190" s="116" t="s">
        <v>187</v>
      </c>
      <c r="D190" s="116" t="s">
        <v>0</v>
      </c>
      <c r="E190" s="116" t="s">
        <v>0</v>
      </c>
      <c r="F190" s="116" t="s">
        <v>0</v>
      </c>
      <c r="G190" s="116" t="s">
        <v>0</v>
      </c>
      <c r="H190" s="73"/>
      <c r="I190" s="116" t="s">
        <v>0</v>
      </c>
      <c r="J190" s="116" t="s">
        <v>0</v>
      </c>
      <c r="K190" s="14"/>
      <c r="L190" s="14"/>
      <c r="M190" s="14"/>
      <c r="N190" s="14"/>
      <c r="O190" s="176">
        <f>O191+O200+O210+O211+O212+O220+O221+O222+O223</f>
        <v>20150823.800000001</v>
      </c>
      <c r="P190" s="144">
        <f>P191+P200+P210+P211+P212+P220+P221+P222+P223</f>
        <v>22875531.880000003</v>
      </c>
      <c r="Q190" s="144">
        <f>Q191+Q200+Q210+Q211+Q212+Q220+Q221+Q222+Q223</f>
        <v>26000081.48</v>
      </c>
      <c r="R190" s="144">
        <f>R191+R200+R210+R211+R212+R220+R221+R222+R223</f>
        <v>27351581.48</v>
      </c>
      <c r="U190" s="149">
        <f t="shared" si="51"/>
        <v>-22875531.880000003</v>
      </c>
      <c r="W190" s="161">
        <f>W191+W200+W210+W211+W212+W220+W221+W222+W223</f>
        <v>22875531.880000003</v>
      </c>
      <c r="X190" s="149">
        <f t="shared" si="50"/>
        <v>-22875531.880000003</v>
      </c>
    </row>
    <row r="191" spans="1:24" s="58" customFormat="1" ht="26.45" customHeight="1" x14ac:dyDescent="0.2">
      <c r="A191" s="192" t="s">
        <v>188</v>
      </c>
      <c r="B191" s="192" t="s">
        <v>189</v>
      </c>
      <c r="C191" s="192" t="s">
        <v>190</v>
      </c>
      <c r="D191" s="192" t="s">
        <v>270</v>
      </c>
      <c r="E191" s="192" t="s">
        <v>272</v>
      </c>
      <c r="G191" s="54"/>
      <c r="H191" s="192" t="s">
        <v>445</v>
      </c>
      <c r="I191" s="192" t="s">
        <v>42</v>
      </c>
      <c r="J191" s="54" t="s">
        <v>6</v>
      </c>
      <c r="K191" s="70" t="s">
        <v>289</v>
      </c>
      <c r="L191" s="70" t="s">
        <v>306</v>
      </c>
      <c r="M191" s="70" t="s">
        <v>289</v>
      </c>
      <c r="N191" s="71" t="s">
        <v>289</v>
      </c>
      <c r="O191" s="171">
        <f>SUM(O192:O199)</f>
        <v>956486.62999999989</v>
      </c>
      <c r="P191" s="79">
        <f t="shared" ref="P191" si="63">SUM(P192:P199)</f>
        <v>1354429.25</v>
      </c>
      <c r="Q191" s="79">
        <f t="shared" ref="Q191:R191" si="64">SUM(Q192:Q199)</f>
        <v>1100100</v>
      </c>
      <c r="R191" s="79">
        <f t="shared" si="64"/>
        <v>1100100</v>
      </c>
      <c r="S191" s="183"/>
      <c r="T191" s="151"/>
      <c r="U191" s="149">
        <f t="shared" si="51"/>
        <v>-1354429.25</v>
      </c>
      <c r="V191" s="153"/>
      <c r="W191" s="159">
        <f t="shared" ref="W191" si="65">SUM(W192:W199)</f>
        <v>1354429.25</v>
      </c>
      <c r="X191" s="149">
        <f t="shared" si="50"/>
        <v>-1354429.25</v>
      </c>
    </row>
    <row r="192" spans="1:24" s="58" customFormat="1" ht="63.75" customHeight="1" x14ac:dyDescent="0.2">
      <c r="A192" s="193"/>
      <c r="B192" s="193"/>
      <c r="C192" s="193"/>
      <c r="D192" s="193"/>
      <c r="E192" s="193"/>
      <c r="F192" s="192" t="s">
        <v>461</v>
      </c>
      <c r="G192" s="192" t="s">
        <v>42</v>
      </c>
      <c r="H192" s="193"/>
      <c r="I192" s="193"/>
      <c r="J192" s="53">
        <v>1</v>
      </c>
      <c r="K192" s="86">
        <v>851</v>
      </c>
      <c r="L192" s="106" t="s">
        <v>127</v>
      </c>
      <c r="M192" s="106" t="s">
        <v>404</v>
      </c>
      <c r="N192" s="57" t="s">
        <v>28</v>
      </c>
      <c r="O192" s="60">
        <v>122242.64</v>
      </c>
      <c r="P192" s="135">
        <v>254019.29</v>
      </c>
      <c r="Q192" s="61">
        <v>219900</v>
      </c>
      <c r="R192" s="61">
        <v>219900</v>
      </c>
      <c r="S192" s="183"/>
      <c r="T192" s="151">
        <v>254019.29</v>
      </c>
      <c r="U192" s="149">
        <f t="shared" ref="U192:U195" si="66">T192-P192</f>
        <v>0</v>
      </c>
      <c r="V192" s="153"/>
      <c r="W192" s="151">
        <v>254019.29</v>
      </c>
      <c r="X192" s="149">
        <f t="shared" si="50"/>
        <v>0</v>
      </c>
    </row>
    <row r="193" spans="1:24" s="58" customFormat="1" ht="63.75" customHeight="1" x14ac:dyDescent="0.2">
      <c r="A193" s="193"/>
      <c r="B193" s="193"/>
      <c r="C193" s="193"/>
      <c r="D193" s="193"/>
      <c r="E193" s="193"/>
      <c r="F193" s="194"/>
      <c r="G193" s="194"/>
      <c r="H193" s="193"/>
      <c r="I193" s="193"/>
      <c r="J193" s="54">
        <v>1</v>
      </c>
      <c r="K193" s="86">
        <v>851</v>
      </c>
      <c r="L193" s="106" t="s">
        <v>127</v>
      </c>
      <c r="M193" s="106" t="s">
        <v>404</v>
      </c>
      <c r="N193" s="20" t="s">
        <v>316</v>
      </c>
      <c r="O193" s="60"/>
      <c r="P193" s="135"/>
      <c r="Q193" s="61"/>
      <c r="R193" s="61"/>
      <c r="S193" s="183"/>
      <c r="T193" s="151"/>
      <c r="U193" s="149">
        <f t="shared" si="66"/>
        <v>0</v>
      </c>
      <c r="V193" s="153"/>
      <c r="W193" s="151"/>
      <c r="X193" s="149">
        <f t="shared" si="50"/>
        <v>0</v>
      </c>
    </row>
    <row r="194" spans="1:24" s="58" customFormat="1" ht="63.75" customHeight="1" x14ac:dyDescent="0.2">
      <c r="A194" s="193"/>
      <c r="B194" s="193"/>
      <c r="C194" s="193"/>
      <c r="D194" s="193"/>
      <c r="E194" s="193"/>
      <c r="F194" s="192" t="s">
        <v>463</v>
      </c>
      <c r="G194" s="192" t="s">
        <v>42</v>
      </c>
      <c r="H194" s="193"/>
      <c r="I194" s="193"/>
      <c r="J194" s="53">
        <v>1</v>
      </c>
      <c r="K194" s="86">
        <v>851</v>
      </c>
      <c r="L194" s="106" t="s">
        <v>127</v>
      </c>
      <c r="M194" s="106" t="s">
        <v>406</v>
      </c>
      <c r="N194" s="57" t="s">
        <v>28</v>
      </c>
      <c r="O194" s="60">
        <v>108863.16</v>
      </c>
      <c r="P194" s="135">
        <v>104741.19</v>
      </c>
      <c r="Q194" s="61">
        <v>110000</v>
      </c>
      <c r="R194" s="61">
        <v>110000</v>
      </c>
      <c r="S194" s="183"/>
      <c r="T194" s="151">
        <v>104741.19</v>
      </c>
      <c r="U194" s="149">
        <f t="shared" si="66"/>
        <v>0</v>
      </c>
      <c r="V194" s="153"/>
      <c r="W194" s="151">
        <v>104741.19</v>
      </c>
      <c r="X194" s="149">
        <f t="shared" si="50"/>
        <v>0</v>
      </c>
    </row>
    <row r="195" spans="1:24" s="58" customFormat="1" ht="63.75" customHeight="1" x14ac:dyDescent="0.2">
      <c r="A195" s="193"/>
      <c r="B195" s="193"/>
      <c r="C195" s="193"/>
      <c r="D195" s="193"/>
      <c r="E195" s="193"/>
      <c r="F195" s="194"/>
      <c r="G195" s="194"/>
      <c r="H195" s="193"/>
      <c r="I195" s="193"/>
      <c r="J195" s="53">
        <v>1</v>
      </c>
      <c r="K195" s="86">
        <v>851</v>
      </c>
      <c r="L195" s="106" t="s">
        <v>127</v>
      </c>
      <c r="M195" s="106" t="s">
        <v>406</v>
      </c>
      <c r="N195" s="57" t="s">
        <v>316</v>
      </c>
      <c r="O195" s="60"/>
      <c r="P195" s="135"/>
      <c r="Q195" s="61"/>
      <c r="R195" s="61"/>
      <c r="S195" s="183"/>
      <c r="T195" s="151"/>
      <c r="U195" s="149">
        <f t="shared" si="66"/>
        <v>0</v>
      </c>
      <c r="V195" s="153"/>
      <c r="W195" s="151"/>
      <c r="X195" s="149">
        <f t="shared" si="50"/>
        <v>0</v>
      </c>
    </row>
    <row r="196" spans="1:24" s="58" customFormat="1" ht="72" customHeight="1" x14ac:dyDescent="0.2">
      <c r="A196" s="193"/>
      <c r="B196" s="193"/>
      <c r="C196" s="193"/>
      <c r="D196" s="193"/>
      <c r="E196" s="193"/>
      <c r="F196" s="192" t="s">
        <v>464</v>
      </c>
      <c r="G196" s="192" t="s">
        <v>42</v>
      </c>
      <c r="H196" s="193"/>
      <c r="I196" s="193"/>
      <c r="J196" s="53">
        <v>1</v>
      </c>
      <c r="K196" s="86">
        <v>851</v>
      </c>
      <c r="L196" s="106" t="s">
        <v>127</v>
      </c>
      <c r="M196" s="106" t="s">
        <v>397</v>
      </c>
      <c r="N196" s="57" t="s">
        <v>28</v>
      </c>
      <c r="O196" s="60">
        <v>311334.39</v>
      </c>
      <c r="P196" s="135">
        <v>426055.64</v>
      </c>
      <c r="Q196" s="61">
        <v>330500</v>
      </c>
      <c r="R196" s="61">
        <v>330500</v>
      </c>
      <c r="S196" s="183">
        <v>38631.78</v>
      </c>
      <c r="T196" s="151">
        <v>426055.64</v>
      </c>
      <c r="U196" s="149">
        <f>T196-P196</f>
        <v>0</v>
      </c>
      <c r="V196" s="153"/>
      <c r="W196" s="151">
        <v>426055.64</v>
      </c>
      <c r="X196" s="149">
        <f t="shared" si="50"/>
        <v>0</v>
      </c>
    </row>
    <row r="197" spans="1:24" s="58" customFormat="1" ht="72" customHeight="1" x14ac:dyDescent="0.2">
      <c r="A197" s="193"/>
      <c r="B197" s="193"/>
      <c r="C197" s="193"/>
      <c r="D197" s="193"/>
      <c r="E197" s="193"/>
      <c r="F197" s="194"/>
      <c r="G197" s="194"/>
      <c r="H197" s="193"/>
      <c r="I197" s="193"/>
      <c r="J197" s="53">
        <v>1</v>
      </c>
      <c r="K197" s="86">
        <v>851</v>
      </c>
      <c r="L197" s="106" t="s">
        <v>127</v>
      </c>
      <c r="M197" s="106" t="s">
        <v>397</v>
      </c>
      <c r="N197" s="57" t="s">
        <v>316</v>
      </c>
      <c r="O197" s="60"/>
      <c r="P197" s="135"/>
      <c r="Q197" s="61"/>
      <c r="R197" s="61"/>
      <c r="S197" s="183"/>
      <c r="T197" s="151"/>
      <c r="U197" s="150"/>
      <c r="V197" s="153"/>
      <c r="W197" s="151"/>
      <c r="X197" s="149">
        <f t="shared" si="50"/>
        <v>0</v>
      </c>
    </row>
    <row r="198" spans="1:24" s="58" customFormat="1" ht="72" customHeight="1" x14ac:dyDescent="0.2">
      <c r="A198" s="193"/>
      <c r="B198" s="193"/>
      <c r="C198" s="193"/>
      <c r="D198" s="193"/>
      <c r="E198" s="193"/>
      <c r="F198" s="192" t="s">
        <v>462</v>
      </c>
      <c r="G198" s="192" t="s">
        <v>42</v>
      </c>
      <c r="H198" s="193"/>
      <c r="I198" s="193"/>
      <c r="J198" s="53">
        <v>1</v>
      </c>
      <c r="K198" s="106" t="s">
        <v>293</v>
      </c>
      <c r="L198" s="106" t="s">
        <v>66</v>
      </c>
      <c r="M198" s="106" t="s">
        <v>364</v>
      </c>
      <c r="N198" s="57" t="s">
        <v>28</v>
      </c>
      <c r="O198" s="60">
        <v>414046.44</v>
      </c>
      <c r="P198" s="135">
        <v>569613.13</v>
      </c>
      <c r="Q198" s="61">
        <v>439700</v>
      </c>
      <c r="R198" s="61">
        <v>439700</v>
      </c>
      <c r="S198" s="183"/>
      <c r="T198" s="151">
        <v>569613.13</v>
      </c>
      <c r="U198" s="149">
        <f t="shared" ref="U198" si="67">T198-P198</f>
        <v>0</v>
      </c>
      <c r="V198" s="153"/>
      <c r="W198" s="151">
        <v>569613.13</v>
      </c>
      <c r="X198" s="149">
        <f t="shared" si="50"/>
        <v>0</v>
      </c>
    </row>
    <row r="199" spans="1:24" s="58" customFormat="1" ht="72" customHeight="1" x14ac:dyDescent="0.2">
      <c r="A199" s="193"/>
      <c r="B199" s="193"/>
      <c r="C199" s="193"/>
      <c r="D199" s="193"/>
      <c r="E199" s="193"/>
      <c r="F199" s="235"/>
      <c r="G199" s="235"/>
      <c r="H199" s="235"/>
      <c r="I199" s="235"/>
      <c r="J199" s="101">
        <v>1</v>
      </c>
      <c r="K199" s="106" t="s">
        <v>293</v>
      </c>
      <c r="L199" s="106" t="s">
        <v>66</v>
      </c>
      <c r="M199" s="106" t="s">
        <v>364</v>
      </c>
      <c r="N199" s="110" t="s">
        <v>316</v>
      </c>
      <c r="O199" s="72"/>
      <c r="P199" s="61"/>
      <c r="Q199" s="61"/>
      <c r="R199" s="61"/>
      <c r="S199" s="183"/>
      <c r="T199" s="151"/>
      <c r="U199" s="150"/>
      <c r="V199" s="153"/>
      <c r="W199" s="160"/>
      <c r="X199" s="149">
        <f t="shared" si="50"/>
        <v>0</v>
      </c>
    </row>
    <row r="200" spans="1:24" s="58" customFormat="1" ht="26.45" customHeight="1" x14ac:dyDescent="0.2">
      <c r="A200" s="199" t="s">
        <v>191</v>
      </c>
      <c r="B200" s="199" t="s">
        <v>192</v>
      </c>
      <c r="C200" s="199" t="s">
        <v>193</v>
      </c>
      <c r="D200" s="199" t="s">
        <v>270</v>
      </c>
      <c r="E200" s="199" t="s">
        <v>272</v>
      </c>
      <c r="F200" s="188" t="s">
        <v>461</v>
      </c>
      <c r="G200" s="96"/>
      <c r="H200" s="96" t="s">
        <v>0</v>
      </c>
      <c r="I200" s="96" t="s">
        <v>0</v>
      </c>
      <c r="J200" s="74">
        <v>1</v>
      </c>
      <c r="K200" s="66" t="s">
        <v>289</v>
      </c>
      <c r="L200" s="66" t="s">
        <v>306</v>
      </c>
      <c r="M200" s="66" t="s">
        <v>289</v>
      </c>
      <c r="N200" s="66" t="s">
        <v>289</v>
      </c>
      <c r="O200" s="75">
        <f>SUM(O201:O209)</f>
        <v>1429714.38</v>
      </c>
      <c r="P200" s="79">
        <f t="shared" ref="P200" si="68">SUM(P201:P209)</f>
        <v>1256870.75</v>
      </c>
      <c r="Q200" s="79">
        <f t="shared" ref="Q200:R200" si="69">SUM(Q201:Q209)</f>
        <v>1511200</v>
      </c>
      <c r="R200" s="79">
        <f t="shared" si="69"/>
        <v>1511200</v>
      </c>
      <c r="S200" s="183"/>
      <c r="T200" s="151"/>
      <c r="U200" s="150"/>
      <c r="V200" s="153"/>
      <c r="W200" s="159">
        <f t="shared" ref="W200" si="70">SUM(W201:W209)</f>
        <v>1256870.75</v>
      </c>
      <c r="X200" s="149">
        <f t="shared" ref="X200:X243" si="71">T200-W200</f>
        <v>-1256870.75</v>
      </c>
    </row>
    <row r="201" spans="1:24" s="58" customFormat="1" ht="26.45" customHeight="1" x14ac:dyDescent="0.2">
      <c r="A201" s="199"/>
      <c r="B201" s="199"/>
      <c r="C201" s="199"/>
      <c r="D201" s="199"/>
      <c r="E201" s="199"/>
      <c r="F201" s="190"/>
      <c r="G201" s="199" t="s">
        <v>42</v>
      </c>
      <c r="H201" s="302" t="s">
        <v>475</v>
      </c>
      <c r="I201" s="188" t="s">
        <v>42</v>
      </c>
      <c r="J201" s="96">
        <v>1</v>
      </c>
      <c r="K201" s="86">
        <v>851</v>
      </c>
      <c r="L201" s="106" t="s">
        <v>127</v>
      </c>
      <c r="M201" s="106" t="s">
        <v>404</v>
      </c>
      <c r="N201" s="106" t="s">
        <v>316</v>
      </c>
      <c r="O201" s="62">
        <v>35040.36</v>
      </c>
      <c r="P201" s="135">
        <v>70287.39</v>
      </c>
      <c r="Q201" s="61">
        <v>66400</v>
      </c>
      <c r="R201" s="61">
        <v>66400</v>
      </c>
      <c r="S201" s="183"/>
      <c r="T201" s="151">
        <v>70287.39</v>
      </c>
      <c r="U201" s="149">
        <f t="shared" ref="U201:U205" si="72">T201-P201</f>
        <v>0</v>
      </c>
      <c r="V201" s="153"/>
      <c r="W201" s="151">
        <v>70287.39</v>
      </c>
      <c r="X201" s="149">
        <f t="shared" si="71"/>
        <v>0</v>
      </c>
    </row>
    <row r="202" spans="1:24" s="58" customFormat="1" ht="26.45" customHeight="1" x14ac:dyDescent="0.2">
      <c r="A202" s="199"/>
      <c r="B202" s="199"/>
      <c r="C202" s="199"/>
      <c r="D202" s="199"/>
      <c r="E202" s="199"/>
      <c r="F202" s="190"/>
      <c r="G202" s="199"/>
      <c r="H202" s="303"/>
      <c r="I202" s="190"/>
      <c r="J202" s="96">
        <v>1</v>
      </c>
      <c r="K202" s="86">
        <v>851</v>
      </c>
      <c r="L202" s="106" t="s">
        <v>127</v>
      </c>
      <c r="M202" s="106" t="s">
        <v>404</v>
      </c>
      <c r="N202" s="106" t="s">
        <v>286</v>
      </c>
      <c r="O202" s="62">
        <v>320685</v>
      </c>
      <c r="P202" s="135">
        <v>198073.32</v>
      </c>
      <c r="Q202" s="61">
        <v>236080</v>
      </c>
      <c r="R202" s="61">
        <v>236080</v>
      </c>
      <c r="S202" s="183"/>
      <c r="T202" s="151">
        <v>198073.32</v>
      </c>
      <c r="U202" s="149">
        <f t="shared" si="72"/>
        <v>0</v>
      </c>
      <c r="V202" s="153"/>
      <c r="W202" s="151">
        <v>198073.32</v>
      </c>
      <c r="X202" s="149">
        <f t="shared" si="71"/>
        <v>0</v>
      </c>
    </row>
    <row r="203" spans="1:24" s="58" customFormat="1" ht="26.45" customHeight="1" x14ac:dyDescent="0.2">
      <c r="A203" s="199"/>
      <c r="B203" s="199"/>
      <c r="C203" s="199"/>
      <c r="D203" s="199"/>
      <c r="E203" s="199"/>
      <c r="F203" s="191"/>
      <c r="G203" s="199"/>
      <c r="H203" s="303"/>
      <c r="I203" s="190"/>
      <c r="J203" s="76">
        <v>1</v>
      </c>
      <c r="K203" s="86">
        <v>851</v>
      </c>
      <c r="L203" s="106" t="s">
        <v>127</v>
      </c>
      <c r="M203" s="106" t="s">
        <v>405</v>
      </c>
      <c r="N203" s="44" t="s">
        <v>286</v>
      </c>
      <c r="O203" s="62"/>
      <c r="P203" s="135">
        <v>200</v>
      </c>
      <c r="Q203" s="61">
        <v>200</v>
      </c>
      <c r="R203" s="61">
        <v>200</v>
      </c>
      <c r="S203" s="183"/>
      <c r="T203" s="151">
        <v>200</v>
      </c>
      <c r="U203" s="149">
        <f t="shared" si="72"/>
        <v>0</v>
      </c>
      <c r="V203" s="153"/>
      <c r="W203" s="151">
        <v>200</v>
      </c>
      <c r="X203" s="149">
        <f t="shared" si="71"/>
        <v>0</v>
      </c>
    </row>
    <row r="204" spans="1:24" s="58" customFormat="1" ht="62.25" customHeight="1" x14ac:dyDescent="0.2">
      <c r="A204" s="199"/>
      <c r="B204" s="199"/>
      <c r="C204" s="199"/>
      <c r="D204" s="199"/>
      <c r="E204" s="199"/>
      <c r="F204" s="229" t="s">
        <v>463</v>
      </c>
      <c r="G204" s="199" t="s">
        <v>42</v>
      </c>
      <c r="H204" s="303"/>
      <c r="I204" s="190"/>
      <c r="J204" s="76">
        <v>1</v>
      </c>
      <c r="K204" s="86">
        <v>851</v>
      </c>
      <c r="L204" s="106" t="s">
        <v>127</v>
      </c>
      <c r="M204" s="106" t="s">
        <v>406</v>
      </c>
      <c r="N204" s="44" t="s">
        <v>316</v>
      </c>
      <c r="O204" s="62">
        <v>32820.839999999997</v>
      </c>
      <c r="P204" s="135">
        <v>31302.38</v>
      </c>
      <c r="Q204" s="61">
        <v>33200</v>
      </c>
      <c r="R204" s="61">
        <v>33200</v>
      </c>
      <c r="S204" s="183"/>
      <c r="T204" s="151">
        <v>31302.38</v>
      </c>
      <c r="U204" s="149">
        <f t="shared" si="72"/>
        <v>0</v>
      </c>
      <c r="V204" s="153"/>
      <c r="W204" s="151">
        <v>31302.38</v>
      </c>
      <c r="X204" s="149">
        <f t="shared" si="71"/>
        <v>0</v>
      </c>
    </row>
    <row r="205" spans="1:24" s="58" customFormat="1" ht="62.25" customHeight="1" x14ac:dyDescent="0.2">
      <c r="A205" s="199"/>
      <c r="B205" s="199"/>
      <c r="C205" s="199"/>
      <c r="D205" s="199"/>
      <c r="E205" s="199"/>
      <c r="F205" s="231"/>
      <c r="G205" s="199"/>
      <c r="H205" s="303"/>
      <c r="I205" s="190"/>
      <c r="J205" s="76">
        <v>1</v>
      </c>
      <c r="K205" s="86">
        <v>851</v>
      </c>
      <c r="L205" s="106" t="s">
        <v>127</v>
      </c>
      <c r="M205" s="106" t="s">
        <v>406</v>
      </c>
      <c r="N205" s="44" t="s">
        <v>286</v>
      </c>
      <c r="O205" s="62">
        <v>97200</v>
      </c>
      <c r="P205" s="135">
        <v>125046.43</v>
      </c>
      <c r="Q205" s="61">
        <v>117890</v>
      </c>
      <c r="R205" s="61">
        <v>117890</v>
      </c>
      <c r="S205" s="183"/>
      <c r="T205" s="151">
        <v>125046.43</v>
      </c>
      <c r="U205" s="149">
        <f t="shared" si="72"/>
        <v>0</v>
      </c>
      <c r="V205" s="153"/>
      <c r="W205" s="151">
        <v>125046.43</v>
      </c>
      <c r="X205" s="149">
        <f t="shared" si="71"/>
        <v>0</v>
      </c>
    </row>
    <row r="206" spans="1:24" s="58" customFormat="1" ht="91.5" customHeight="1" x14ac:dyDescent="0.2">
      <c r="A206" s="199"/>
      <c r="B206" s="199"/>
      <c r="C206" s="199"/>
      <c r="D206" s="199"/>
      <c r="E206" s="199"/>
      <c r="F206" s="229" t="s">
        <v>464</v>
      </c>
      <c r="G206" s="199" t="s">
        <v>42</v>
      </c>
      <c r="H206" s="303"/>
      <c r="I206" s="190"/>
      <c r="J206" s="76">
        <v>1</v>
      </c>
      <c r="K206" s="86">
        <v>851</v>
      </c>
      <c r="L206" s="106" t="s">
        <v>127</v>
      </c>
      <c r="M206" s="106" t="s">
        <v>397</v>
      </c>
      <c r="N206" s="44" t="s">
        <v>316</v>
      </c>
      <c r="O206" s="62">
        <v>92046.95</v>
      </c>
      <c r="P206" s="135">
        <v>118705.14</v>
      </c>
      <c r="Q206" s="61">
        <v>99800</v>
      </c>
      <c r="R206" s="61">
        <v>99800</v>
      </c>
      <c r="S206" s="183"/>
      <c r="T206" s="151">
        <v>118705.14</v>
      </c>
      <c r="U206" s="149">
        <f>T206-P206</f>
        <v>0</v>
      </c>
      <c r="V206" s="153"/>
      <c r="W206" s="151">
        <v>118705.14</v>
      </c>
      <c r="X206" s="149">
        <f t="shared" si="71"/>
        <v>0</v>
      </c>
    </row>
    <row r="207" spans="1:24" s="58" customFormat="1" ht="91.5" customHeight="1" x14ac:dyDescent="0.2">
      <c r="A207" s="199"/>
      <c r="B207" s="199"/>
      <c r="C207" s="199"/>
      <c r="D207" s="199"/>
      <c r="E207" s="199"/>
      <c r="F207" s="231"/>
      <c r="G207" s="199"/>
      <c r="H207" s="304"/>
      <c r="I207" s="189"/>
      <c r="J207" s="76">
        <v>1</v>
      </c>
      <c r="K207" s="86">
        <v>851</v>
      </c>
      <c r="L207" s="106" t="s">
        <v>127</v>
      </c>
      <c r="M207" s="106" t="s">
        <v>397</v>
      </c>
      <c r="N207" s="44" t="s">
        <v>286</v>
      </c>
      <c r="O207" s="62">
        <v>313270.65999999997</v>
      </c>
      <c r="P207" s="135">
        <v>238509.22</v>
      </c>
      <c r="Q207" s="61">
        <v>352970</v>
      </c>
      <c r="R207" s="61">
        <v>352970</v>
      </c>
      <c r="S207" s="183"/>
      <c r="T207" s="151">
        <v>238509.22</v>
      </c>
      <c r="U207" s="149">
        <f>T207-P207</f>
        <v>0</v>
      </c>
      <c r="V207" s="153"/>
      <c r="W207" s="151">
        <v>238509.22</v>
      </c>
      <c r="X207" s="149">
        <f t="shared" si="71"/>
        <v>0</v>
      </c>
    </row>
    <row r="208" spans="1:24" s="58" customFormat="1" ht="26.45" customHeight="1" x14ac:dyDescent="0.2">
      <c r="A208" s="199"/>
      <c r="B208" s="199"/>
      <c r="C208" s="199"/>
      <c r="D208" s="199"/>
      <c r="E208" s="199"/>
      <c r="F208" s="229" t="s">
        <v>462</v>
      </c>
      <c r="G208" s="199" t="s">
        <v>42</v>
      </c>
      <c r="H208" s="188" t="s">
        <v>473</v>
      </c>
      <c r="I208" s="188" t="s">
        <v>42</v>
      </c>
      <c r="J208" s="76">
        <v>1</v>
      </c>
      <c r="K208" s="106" t="s">
        <v>293</v>
      </c>
      <c r="L208" s="106" t="s">
        <v>66</v>
      </c>
      <c r="M208" s="106" t="s">
        <v>364</v>
      </c>
      <c r="N208" s="44" t="s">
        <v>316</v>
      </c>
      <c r="O208" s="62">
        <v>122130.49</v>
      </c>
      <c r="P208" s="135">
        <v>155110.51999999999</v>
      </c>
      <c r="Q208" s="61">
        <v>132800</v>
      </c>
      <c r="R208" s="61">
        <v>132800</v>
      </c>
      <c r="S208" s="183"/>
      <c r="T208" s="151">
        <v>155110.51999999999</v>
      </c>
      <c r="U208" s="150">
        <f>T208-P208</f>
        <v>0</v>
      </c>
      <c r="V208" s="153"/>
      <c r="W208" s="151">
        <v>155110.51999999999</v>
      </c>
      <c r="X208" s="149">
        <f t="shared" si="71"/>
        <v>0</v>
      </c>
    </row>
    <row r="209" spans="1:24" s="58" customFormat="1" ht="78.75" customHeight="1" x14ac:dyDescent="0.2">
      <c r="A209" s="199"/>
      <c r="B209" s="199"/>
      <c r="C209" s="199"/>
      <c r="D209" s="199"/>
      <c r="E209" s="199"/>
      <c r="F209" s="230"/>
      <c r="G209" s="199"/>
      <c r="H209" s="189"/>
      <c r="I209" s="189"/>
      <c r="J209" s="76">
        <v>1</v>
      </c>
      <c r="K209" s="106" t="s">
        <v>293</v>
      </c>
      <c r="L209" s="106" t="s">
        <v>66</v>
      </c>
      <c r="M209" s="106" t="s">
        <v>364</v>
      </c>
      <c r="N209" s="44" t="s">
        <v>286</v>
      </c>
      <c r="O209" s="62">
        <v>416520.08</v>
      </c>
      <c r="P209" s="61">
        <v>319636.34999999998</v>
      </c>
      <c r="Q209" s="61">
        <v>471860</v>
      </c>
      <c r="R209" s="61">
        <v>471860</v>
      </c>
      <c r="S209" s="183"/>
      <c r="T209" s="151">
        <v>319636.34999999998</v>
      </c>
      <c r="U209" s="150">
        <f>T209-P209</f>
        <v>0</v>
      </c>
      <c r="V209" s="153"/>
      <c r="W209" s="160">
        <v>319636.34999999998</v>
      </c>
      <c r="X209" s="149">
        <f t="shared" si="71"/>
        <v>0</v>
      </c>
    </row>
    <row r="210" spans="1:24" s="58" customFormat="1" ht="143.25" customHeight="1" x14ac:dyDescent="0.2">
      <c r="A210" s="100" t="s">
        <v>194</v>
      </c>
      <c r="B210" s="94" t="s">
        <v>195</v>
      </c>
      <c r="C210" s="94" t="s">
        <v>196</v>
      </c>
      <c r="D210" s="94" t="s">
        <v>270</v>
      </c>
      <c r="E210" s="94" t="s">
        <v>272</v>
      </c>
      <c r="F210" s="94" t="s">
        <v>465</v>
      </c>
      <c r="G210" s="94" t="s">
        <v>42</v>
      </c>
      <c r="H210" s="94" t="s">
        <v>474</v>
      </c>
      <c r="I210" s="94" t="s">
        <v>0</v>
      </c>
      <c r="J210" s="102" t="s">
        <v>15</v>
      </c>
      <c r="K210" s="106" t="s">
        <v>285</v>
      </c>
      <c r="L210" s="106" t="s">
        <v>102</v>
      </c>
      <c r="M210" s="106" t="s">
        <v>347</v>
      </c>
      <c r="N210" s="111" t="s">
        <v>296</v>
      </c>
      <c r="O210" s="63">
        <v>7471100</v>
      </c>
      <c r="P210" s="61">
        <v>9793356.9900000002</v>
      </c>
      <c r="Q210" s="61">
        <v>9026160</v>
      </c>
      <c r="R210" s="61">
        <v>9026160</v>
      </c>
      <c r="S210" s="183"/>
      <c r="T210" s="154">
        <f>9026160+1153315.66-386118.67</f>
        <v>9793356.9900000002</v>
      </c>
      <c r="U210" s="150">
        <f t="shared" ref="U210:U244" si="73">T210-P210</f>
        <v>0</v>
      </c>
      <c r="V210" s="153"/>
      <c r="W210" s="160">
        <v>9793356.9900000002</v>
      </c>
      <c r="X210" s="149">
        <f t="shared" si="71"/>
        <v>0</v>
      </c>
    </row>
    <row r="211" spans="1:24" s="58" customFormat="1" ht="213" customHeight="1" x14ac:dyDescent="0.2">
      <c r="A211" s="56" t="s">
        <v>197</v>
      </c>
      <c r="B211" s="54" t="s">
        <v>198</v>
      </c>
      <c r="C211" s="54" t="s">
        <v>199</v>
      </c>
      <c r="D211" s="54" t="s">
        <v>270</v>
      </c>
      <c r="E211" s="54" t="s">
        <v>271</v>
      </c>
      <c r="F211" s="54" t="s">
        <v>480</v>
      </c>
      <c r="G211" s="93" t="s">
        <v>42</v>
      </c>
      <c r="H211" s="54" t="s">
        <v>475</v>
      </c>
      <c r="I211" s="54" t="s">
        <v>42</v>
      </c>
      <c r="J211" s="54" t="s">
        <v>15</v>
      </c>
      <c r="K211" s="104" t="s">
        <v>293</v>
      </c>
      <c r="L211" s="104" t="s">
        <v>102</v>
      </c>
      <c r="M211" s="104" t="s">
        <v>346</v>
      </c>
      <c r="N211" s="103" t="s">
        <v>292</v>
      </c>
      <c r="O211" s="72">
        <v>131100</v>
      </c>
      <c r="P211" s="61">
        <v>259600</v>
      </c>
      <c r="Q211" s="61">
        <v>267600</v>
      </c>
      <c r="R211" s="61">
        <v>267600</v>
      </c>
      <c r="S211" s="183"/>
      <c r="T211" s="154">
        <f>267600-8000</f>
        <v>259600</v>
      </c>
      <c r="U211" s="150">
        <f t="shared" si="73"/>
        <v>0</v>
      </c>
      <c r="V211" s="153"/>
      <c r="W211" s="160">
        <v>259600</v>
      </c>
      <c r="X211" s="149">
        <f t="shared" si="71"/>
        <v>0</v>
      </c>
    </row>
    <row r="212" spans="1:24" s="58" customFormat="1" ht="99.75" customHeight="1" x14ac:dyDescent="0.2">
      <c r="A212" s="192" t="s">
        <v>200</v>
      </c>
      <c r="B212" s="192" t="s">
        <v>201</v>
      </c>
      <c r="C212" s="192" t="s">
        <v>202</v>
      </c>
      <c r="D212" s="192" t="s">
        <v>270</v>
      </c>
      <c r="E212" s="192" t="s">
        <v>271</v>
      </c>
      <c r="F212" s="200" t="s">
        <v>476</v>
      </c>
      <c r="G212" s="199" t="s">
        <v>42</v>
      </c>
      <c r="H212" s="80" t="s">
        <v>481</v>
      </c>
      <c r="I212" s="54" t="s">
        <v>0</v>
      </c>
      <c r="J212" s="78" t="s">
        <v>15</v>
      </c>
      <c r="K212" s="66" t="s">
        <v>289</v>
      </c>
      <c r="L212" s="66" t="s">
        <v>306</v>
      </c>
      <c r="M212" s="66" t="s">
        <v>289</v>
      </c>
      <c r="N212" s="66" t="s">
        <v>289</v>
      </c>
      <c r="O212" s="75">
        <f>SUM(O213:O219)</f>
        <v>4767341</v>
      </c>
      <c r="P212" s="79">
        <f t="shared" ref="P212" si="74">SUM(P213:P219)</f>
        <v>4870623</v>
      </c>
      <c r="Q212" s="79">
        <f t="shared" ref="Q212:R212" si="75">SUM(Q213:Q219)</f>
        <v>4930618</v>
      </c>
      <c r="R212" s="79">
        <f t="shared" si="75"/>
        <v>4930618</v>
      </c>
      <c r="S212" s="183"/>
      <c r="T212" s="151"/>
      <c r="U212" s="150">
        <f t="shared" si="73"/>
        <v>-4870623</v>
      </c>
      <c r="V212" s="153"/>
      <c r="W212" s="159">
        <f t="shared" ref="W212" si="76">SUM(W213:W219)</f>
        <v>4870623</v>
      </c>
      <c r="X212" s="149">
        <f t="shared" si="71"/>
        <v>-4870623</v>
      </c>
    </row>
    <row r="213" spans="1:24" s="58" customFormat="1" ht="99.75" customHeight="1" x14ac:dyDescent="0.2">
      <c r="A213" s="193"/>
      <c r="B213" s="193"/>
      <c r="C213" s="193"/>
      <c r="D213" s="193"/>
      <c r="E213" s="193"/>
      <c r="F213" s="201"/>
      <c r="G213" s="199"/>
      <c r="H213" s="202" t="s">
        <v>474</v>
      </c>
      <c r="I213" s="307" t="s">
        <v>42</v>
      </c>
      <c r="J213" s="53"/>
      <c r="K213" s="232" t="s">
        <v>285</v>
      </c>
      <c r="L213" s="106" t="s">
        <v>59</v>
      </c>
      <c r="M213" s="106" t="s">
        <v>357</v>
      </c>
      <c r="N213" s="106" t="s">
        <v>298</v>
      </c>
      <c r="O213" s="62">
        <v>137000</v>
      </c>
      <c r="P213" s="61">
        <v>156000</v>
      </c>
      <c r="Q213" s="61">
        <v>156000</v>
      </c>
      <c r="R213" s="61">
        <v>156000</v>
      </c>
      <c r="S213" s="183"/>
      <c r="T213" s="154">
        <v>156000</v>
      </c>
      <c r="U213" s="150">
        <f t="shared" si="73"/>
        <v>0</v>
      </c>
      <c r="V213" s="153"/>
      <c r="W213" s="160">
        <v>156000</v>
      </c>
      <c r="X213" s="149">
        <f t="shared" si="71"/>
        <v>0</v>
      </c>
    </row>
    <row r="214" spans="1:24" s="58" customFormat="1" ht="86.25" customHeight="1" x14ac:dyDescent="0.2">
      <c r="A214" s="193"/>
      <c r="B214" s="193"/>
      <c r="C214" s="193"/>
      <c r="D214" s="193"/>
      <c r="E214" s="193"/>
      <c r="F214" s="200" t="s">
        <v>477</v>
      </c>
      <c r="G214" s="199" t="s">
        <v>42</v>
      </c>
      <c r="H214" s="202"/>
      <c r="I214" s="309"/>
      <c r="J214" s="53"/>
      <c r="K214" s="234"/>
      <c r="L214" s="106" t="s">
        <v>75</v>
      </c>
      <c r="M214" s="107" t="s">
        <v>359</v>
      </c>
      <c r="N214" s="107" t="s">
        <v>298</v>
      </c>
      <c r="O214" s="62">
        <v>96750</v>
      </c>
      <c r="P214" s="61">
        <v>96150</v>
      </c>
      <c r="Q214" s="61">
        <v>122400</v>
      </c>
      <c r="R214" s="61">
        <v>122400</v>
      </c>
      <c r="S214" s="183"/>
      <c r="T214" s="154">
        <v>96150</v>
      </c>
      <c r="U214" s="150">
        <f t="shared" si="73"/>
        <v>0</v>
      </c>
      <c r="V214" s="153"/>
      <c r="W214" s="160">
        <v>96150</v>
      </c>
      <c r="X214" s="149">
        <f t="shared" si="71"/>
        <v>0</v>
      </c>
    </row>
    <row r="215" spans="1:24" s="58" customFormat="1" ht="86.25" customHeight="1" x14ac:dyDescent="0.2">
      <c r="A215" s="193"/>
      <c r="B215" s="193"/>
      <c r="C215" s="193"/>
      <c r="D215" s="193"/>
      <c r="E215" s="193"/>
      <c r="F215" s="201"/>
      <c r="G215" s="199"/>
      <c r="H215" s="202" t="s">
        <v>475</v>
      </c>
      <c r="I215" s="307" t="s">
        <v>42</v>
      </c>
      <c r="J215" s="200"/>
      <c r="K215" s="232" t="s">
        <v>293</v>
      </c>
      <c r="L215" s="106" t="s">
        <v>47</v>
      </c>
      <c r="M215" s="106" t="s">
        <v>358</v>
      </c>
      <c r="N215" s="232" t="s">
        <v>298</v>
      </c>
      <c r="O215" s="62">
        <v>462600</v>
      </c>
      <c r="P215" s="61">
        <v>459600</v>
      </c>
      <c r="Q215" s="61">
        <v>459600</v>
      </c>
      <c r="R215" s="61">
        <v>459600</v>
      </c>
      <c r="S215" s="183"/>
      <c r="T215" s="154">
        <v>459600</v>
      </c>
      <c r="U215" s="150">
        <f t="shared" si="73"/>
        <v>0</v>
      </c>
      <c r="V215" s="153"/>
      <c r="W215" s="160">
        <v>459600</v>
      </c>
      <c r="X215" s="149">
        <f t="shared" si="71"/>
        <v>0</v>
      </c>
    </row>
    <row r="216" spans="1:24" s="58" customFormat="1" ht="86.25" customHeight="1" x14ac:dyDescent="0.2">
      <c r="A216" s="193"/>
      <c r="B216" s="193"/>
      <c r="C216" s="193"/>
      <c r="D216" s="193"/>
      <c r="E216" s="193"/>
      <c r="F216" s="197" t="s">
        <v>478</v>
      </c>
      <c r="G216" s="199" t="s">
        <v>42</v>
      </c>
      <c r="H216" s="199"/>
      <c r="I216" s="308"/>
      <c r="J216" s="220"/>
      <c r="K216" s="233"/>
      <c r="L216" s="106" t="s">
        <v>51</v>
      </c>
      <c r="M216" s="106" t="s">
        <v>358</v>
      </c>
      <c r="N216" s="233"/>
      <c r="O216" s="62">
        <v>1821600</v>
      </c>
      <c r="P216" s="61">
        <v>1875600</v>
      </c>
      <c r="Q216" s="61">
        <v>1875600</v>
      </c>
      <c r="R216" s="61">
        <v>1875600</v>
      </c>
      <c r="S216" s="183"/>
      <c r="T216" s="154">
        <v>1875600</v>
      </c>
      <c r="U216" s="150">
        <f t="shared" si="73"/>
        <v>0</v>
      </c>
      <c r="V216" s="153"/>
      <c r="W216" s="160">
        <v>1875600</v>
      </c>
      <c r="X216" s="149">
        <f t="shared" si="71"/>
        <v>0</v>
      </c>
    </row>
    <row r="217" spans="1:24" s="58" customFormat="1" ht="86.25" customHeight="1" x14ac:dyDescent="0.2">
      <c r="A217" s="193"/>
      <c r="B217" s="193"/>
      <c r="C217" s="193"/>
      <c r="D217" s="193"/>
      <c r="E217" s="193"/>
      <c r="F217" s="198"/>
      <c r="G217" s="199"/>
      <c r="H217" s="199"/>
      <c r="I217" s="308"/>
      <c r="J217" s="220"/>
      <c r="K217" s="233"/>
      <c r="L217" s="106" t="s">
        <v>59</v>
      </c>
      <c r="M217" s="106" t="s">
        <v>358</v>
      </c>
      <c r="N217" s="234"/>
      <c r="O217" s="62">
        <v>63600</v>
      </c>
      <c r="P217" s="61">
        <v>69600</v>
      </c>
      <c r="Q217" s="61">
        <v>63600</v>
      </c>
      <c r="R217" s="61">
        <v>63600</v>
      </c>
      <c r="S217" s="183"/>
      <c r="T217" s="154">
        <v>69600</v>
      </c>
      <c r="U217" s="150">
        <f t="shared" si="73"/>
        <v>0</v>
      </c>
      <c r="V217" s="153"/>
      <c r="W217" s="160">
        <v>69600</v>
      </c>
      <c r="X217" s="149">
        <f t="shared" si="71"/>
        <v>0</v>
      </c>
    </row>
    <row r="218" spans="1:24" s="58" customFormat="1" ht="86.25" customHeight="1" x14ac:dyDescent="0.2">
      <c r="A218" s="193"/>
      <c r="B218" s="193"/>
      <c r="C218" s="193"/>
      <c r="D218" s="193"/>
      <c r="E218" s="193"/>
      <c r="F218" s="200" t="s">
        <v>479</v>
      </c>
      <c r="G218" s="199" t="s">
        <v>42</v>
      </c>
      <c r="H218" s="199"/>
      <c r="I218" s="308"/>
      <c r="J218" s="220"/>
      <c r="K218" s="233"/>
      <c r="L218" s="106" t="s">
        <v>66</v>
      </c>
      <c r="M218" s="106" t="s">
        <v>358</v>
      </c>
      <c r="N218" s="106" t="s">
        <v>292</v>
      </c>
      <c r="O218" s="62">
        <v>1356600</v>
      </c>
      <c r="P218" s="61">
        <v>1380000</v>
      </c>
      <c r="Q218" s="61">
        <v>1386000</v>
      </c>
      <c r="R218" s="61">
        <v>1386000</v>
      </c>
      <c r="S218" s="183"/>
      <c r="T218" s="151">
        <v>1380000</v>
      </c>
      <c r="U218" s="150">
        <f t="shared" si="73"/>
        <v>0</v>
      </c>
      <c r="V218" s="153"/>
      <c r="W218" s="160">
        <v>1380000</v>
      </c>
      <c r="X218" s="149">
        <f t="shared" si="71"/>
        <v>0</v>
      </c>
    </row>
    <row r="219" spans="1:24" s="58" customFormat="1" ht="86.25" customHeight="1" x14ac:dyDescent="0.2">
      <c r="A219" s="194"/>
      <c r="B219" s="194"/>
      <c r="C219" s="194"/>
      <c r="D219" s="194"/>
      <c r="E219" s="194"/>
      <c r="F219" s="201"/>
      <c r="G219" s="199"/>
      <c r="H219" s="199"/>
      <c r="I219" s="309"/>
      <c r="J219" s="201"/>
      <c r="K219" s="234"/>
      <c r="L219" s="106" t="s">
        <v>102</v>
      </c>
      <c r="M219" s="106" t="s">
        <v>344</v>
      </c>
      <c r="N219" s="106" t="s">
        <v>326</v>
      </c>
      <c r="O219" s="62">
        <v>829191</v>
      </c>
      <c r="P219" s="61">
        <v>833673</v>
      </c>
      <c r="Q219" s="61">
        <v>867418</v>
      </c>
      <c r="R219" s="61">
        <v>867418</v>
      </c>
      <c r="S219" s="183"/>
      <c r="T219" s="154">
        <f>867418-33745</f>
        <v>833673</v>
      </c>
      <c r="U219" s="150">
        <f t="shared" si="73"/>
        <v>0</v>
      </c>
      <c r="V219" s="153"/>
      <c r="W219" s="160">
        <v>833673</v>
      </c>
      <c r="X219" s="149">
        <f t="shared" si="71"/>
        <v>0</v>
      </c>
    </row>
    <row r="220" spans="1:24" s="58" customFormat="1" ht="177" customHeight="1" x14ac:dyDescent="0.2">
      <c r="A220" s="214" t="s">
        <v>203</v>
      </c>
      <c r="B220" s="192" t="s">
        <v>204</v>
      </c>
      <c r="C220" s="192" t="s">
        <v>205</v>
      </c>
      <c r="D220" s="192" t="s">
        <v>270</v>
      </c>
      <c r="E220" s="192" t="s">
        <v>271</v>
      </c>
      <c r="F220" s="54" t="s">
        <v>466</v>
      </c>
      <c r="G220" s="94" t="s">
        <v>42</v>
      </c>
      <c r="H220" s="238" t="s">
        <v>475</v>
      </c>
      <c r="I220" s="192" t="s">
        <v>42</v>
      </c>
      <c r="J220" s="192" t="s">
        <v>15</v>
      </c>
      <c r="K220" s="223" t="s">
        <v>293</v>
      </c>
      <c r="L220" s="223" t="s">
        <v>102</v>
      </c>
      <c r="M220" s="223" t="s">
        <v>345</v>
      </c>
      <c r="N220" s="105" t="s">
        <v>295</v>
      </c>
      <c r="O220" s="63">
        <v>3980175.09</v>
      </c>
      <c r="P220" s="61">
        <v>3521497</v>
      </c>
      <c r="Q220" s="61">
        <v>6559334</v>
      </c>
      <c r="R220" s="61">
        <v>7573566</v>
      </c>
      <c r="S220" s="183"/>
      <c r="T220" s="154">
        <f>5587309-2065812</f>
        <v>3521497</v>
      </c>
      <c r="U220" s="150">
        <f t="shared" si="73"/>
        <v>0</v>
      </c>
      <c r="V220" s="153"/>
      <c r="W220" s="160">
        <v>3521497</v>
      </c>
      <c r="X220" s="149">
        <f t="shared" si="71"/>
        <v>0</v>
      </c>
    </row>
    <row r="221" spans="1:24" s="58" customFormat="1" ht="177" customHeight="1" x14ac:dyDescent="0.2">
      <c r="A221" s="215"/>
      <c r="B221" s="194"/>
      <c r="C221" s="194"/>
      <c r="D221" s="194"/>
      <c r="E221" s="194"/>
      <c r="F221" s="54" t="s">
        <v>467</v>
      </c>
      <c r="G221" s="54" t="s">
        <v>42</v>
      </c>
      <c r="H221" s="194"/>
      <c r="I221" s="194"/>
      <c r="J221" s="194"/>
      <c r="K221" s="224"/>
      <c r="L221" s="224"/>
      <c r="M221" s="224"/>
      <c r="N221" s="20" t="s">
        <v>326</v>
      </c>
      <c r="O221" s="60">
        <v>1400906.7</v>
      </c>
      <c r="P221" s="61">
        <v>1533443</v>
      </c>
      <c r="Q221" s="61">
        <v>2429406</v>
      </c>
      <c r="R221" s="61">
        <v>2766674</v>
      </c>
      <c r="S221" s="183"/>
      <c r="T221" s="154">
        <f>1959231-425788</f>
        <v>1533443</v>
      </c>
      <c r="U221" s="150">
        <f t="shared" si="73"/>
        <v>0</v>
      </c>
      <c r="V221" s="153"/>
      <c r="W221" s="160">
        <v>1533443</v>
      </c>
      <c r="X221" s="149">
        <f t="shared" si="71"/>
        <v>0</v>
      </c>
    </row>
    <row r="222" spans="1:24" s="1" customFormat="1" ht="108.75" customHeight="1" x14ac:dyDescent="0.2">
      <c r="A222" s="119" t="s">
        <v>206</v>
      </c>
      <c r="B222" s="120" t="s">
        <v>207</v>
      </c>
      <c r="C222" s="120" t="s">
        <v>208</v>
      </c>
      <c r="D222" s="120" t="s">
        <v>270</v>
      </c>
      <c r="E222" s="120" t="s">
        <v>271</v>
      </c>
      <c r="F222" s="120" t="s">
        <v>462</v>
      </c>
      <c r="G222" s="120" t="s">
        <v>42</v>
      </c>
      <c r="H222" s="120" t="s">
        <v>475</v>
      </c>
      <c r="I222" s="120" t="s">
        <v>42</v>
      </c>
      <c r="J222" s="120" t="s">
        <v>15</v>
      </c>
      <c r="K222" s="15" t="s">
        <v>293</v>
      </c>
      <c r="L222" s="15" t="s">
        <v>209</v>
      </c>
      <c r="M222" s="15" t="s">
        <v>341</v>
      </c>
      <c r="N222" s="15" t="s">
        <v>286</v>
      </c>
      <c r="O222" s="37">
        <v>14000</v>
      </c>
      <c r="P222" s="22">
        <v>43000</v>
      </c>
      <c r="Q222" s="22">
        <v>58000</v>
      </c>
      <c r="R222" s="22">
        <v>58000</v>
      </c>
      <c r="S222" s="152"/>
      <c r="T222" s="154">
        <f>47000-4000</f>
        <v>43000</v>
      </c>
      <c r="U222" s="150">
        <f t="shared" si="73"/>
        <v>0</v>
      </c>
      <c r="V222" s="150"/>
      <c r="W222" s="154">
        <v>43000</v>
      </c>
      <c r="X222" s="149">
        <f t="shared" si="71"/>
        <v>0</v>
      </c>
    </row>
    <row r="223" spans="1:24" s="1" customFormat="1" ht="113.25" customHeight="1" x14ac:dyDescent="0.2">
      <c r="A223" s="119" t="s">
        <v>210</v>
      </c>
      <c r="B223" s="120" t="s">
        <v>211</v>
      </c>
      <c r="C223" s="120" t="s">
        <v>212</v>
      </c>
      <c r="D223" s="120" t="s">
        <v>270</v>
      </c>
      <c r="E223" s="120" t="s">
        <v>271</v>
      </c>
      <c r="F223" s="120" t="s">
        <v>468</v>
      </c>
      <c r="G223" s="120" t="s">
        <v>42</v>
      </c>
      <c r="H223" s="120" t="s">
        <v>474</v>
      </c>
      <c r="I223" s="120" t="s">
        <v>42</v>
      </c>
      <c r="J223" s="120" t="s">
        <v>18</v>
      </c>
      <c r="K223" s="15" t="s">
        <v>285</v>
      </c>
      <c r="L223" s="15" t="s">
        <v>213</v>
      </c>
      <c r="M223" s="15" t="s">
        <v>391</v>
      </c>
      <c r="N223" s="15" t="s">
        <v>286</v>
      </c>
      <c r="O223" s="37">
        <v>0</v>
      </c>
      <c r="P223" s="22">
        <v>242711.89</v>
      </c>
      <c r="Q223" s="22">
        <v>117663.48</v>
      </c>
      <c r="R223" s="22">
        <v>117663.48</v>
      </c>
      <c r="S223" s="152"/>
      <c r="T223" s="151">
        <v>242711.89</v>
      </c>
      <c r="U223" s="150">
        <f t="shared" si="73"/>
        <v>0</v>
      </c>
      <c r="V223" s="150"/>
      <c r="W223" s="154">
        <v>242711.89</v>
      </c>
      <c r="X223" s="149">
        <f t="shared" si="71"/>
        <v>0</v>
      </c>
    </row>
    <row r="224" spans="1:24" ht="26.45" customHeight="1" x14ac:dyDescent="0.2">
      <c r="A224" s="5" t="s">
        <v>214</v>
      </c>
      <c r="B224" s="116" t="s">
        <v>215</v>
      </c>
      <c r="C224" s="116" t="s">
        <v>216</v>
      </c>
      <c r="D224" s="116" t="s">
        <v>0</v>
      </c>
      <c r="E224" s="116" t="s">
        <v>0</v>
      </c>
      <c r="F224" s="116" t="s">
        <v>0</v>
      </c>
      <c r="G224" s="116" t="s">
        <v>0</v>
      </c>
      <c r="H224" s="116" t="s">
        <v>0</v>
      </c>
      <c r="I224" s="116" t="s">
        <v>0</v>
      </c>
      <c r="J224" s="116" t="s">
        <v>0</v>
      </c>
      <c r="K224" s="14"/>
      <c r="L224" s="14"/>
      <c r="M224" s="14"/>
      <c r="N224" s="14"/>
      <c r="O224" s="164">
        <f>O225+O227+O229</f>
        <v>101989868</v>
      </c>
      <c r="P224" s="133">
        <f t="shared" ref="P224" si="77">P225+P227+P229</f>
        <v>114674287</v>
      </c>
      <c r="Q224" s="133">
        <f t="shared" ref="Q224:R224" si="78">Q225+Q227+Q229</f>
        <v>93369193</v>
      </c>
      <c r="R224" s="133">
        <f t="shared" si="78"/>
        <v>93369193</v>
      </c>
      <c r="U224" s="150">
        <f t="shared" si="73"/>
        <v>-114674287</v>
      </c>
      <c r="W224" s="155">
        <f t="shared" ref="W224" si="79">W225+W227+W229</f>
        <v>114674287</v>
      </c>
      <c r="X224" s="149">
        <f t="shared" si="71"/>
        <v>-114674287</v>
      </c>
    </row>
    <row r="225" spans="1:24" s="1" customFormat="1" ht="143.25" customHeight="1" x14ac:dyDescent="0.2">
      <c r="A225" s="255" t="s">
        <v>217</v>
      </c>
      <c r="B225" s="120" t="s">
        <v>218</v>
      </c>
      <c r="C225" s="256" t="s">
        <v>219</v>
      </c>
      <c r="D225" s="120" t="s">
        <v>270</v>
      </c>
      <c r="E225" s="120" t="s">
        <v>271</v>
      </c>
      <c r="F225" s="120" t="s">
        <v>46</v>
      </c>
      <c r="G225" s="120" t="s">
        <v>42</v>
      </c>
      <c r="H225" s="184" t="s">
        <v>475</v>
      </c>
      <c r="I225" s="184" t="s">
        <v>42</v>
      </c>
      <c r="J225" s="184" t="s">
        <v>11</v>
      </c>
      <c r="K225" s="186" t="s">
        <v>293</v>
      </c>
      <c r="L225" s="186" t="s">
        <v>51</v>
      </c>
      <c r="M225" s="186" t="s">
        <v>418</v>
      </c>
      <c r="N225" s="186" t="s">
        <v>297</v>
      </c>
      <c r="O225" s="325">
        <v>44104135</v>
      </c>
      <c r="P225" s="324">
        <v>49261125</v>
      </c>
      <c r="Q225" s="324">
        <v>36825205</v>
      </c>
      <c r="R225" s="324">
        <v>36825205</v>
      </c>
      <c r="S225" s="152"/>
      <c r="T225" s="151">
        <v>49261125</v>
      </c>
      <c r="U225" s="150">
        <f t="shared" si="73"/>
        <v>0</v>
      </c>
      <c r="V225" s="150"/>
      <c r="W225" s="320">
        <v>49261125</v>
      </c>
      <c r="X225" s="149">
        <f t="shared" si="71"/>
        <v>0</v>
      </c>
    </row>
    <row r="226" spans="1:24" ht="143.25" customHeight="1" x14ac:dyDescent="0.2">
      <c r="A226" s="255" t="s">
        <v>0</v>
      </c>
      <c r="B226" s="116" t="s">
        <v>218</v>
      </c>
      <c r="C226" s="256" t="s">
        <v>0</v>
      </c>
      <c r="D226" s="3" t="s">
        <v>482</v>
      </c>
      <c r="E226" s="116" t="s">
        <v>42</v>
      </c>
      <c r="F226" s="3" t="s">
        <v>483</v>
      </c>
      <c r="G226" s="3" t="s">
        <v>484</v>
      </c>
      <c r="H226" s="185"/>
      <c r="I226" s="185"/>
      <c r="J226" s="185"/>
      <c r="K226" s="187"/>
      <c r="L226" s="187"/>
      <c r="M226" s="187"/>
      <c r="N226" s="187"/>
      <c r="O226" s="326"/>
      <c r="P226" s="324"/>
      <c r="Q226" s="324"/>
      <c r="R226" s="324"/>
      <c r="U226" s="150">
        <f t="shared" si="73"/>
        <v>0</v>
      </c>
      <c r="W226" s="320"/>
      <c r="X226" s="149">
        <f t="shared" si="71"/>
        <v>0</v>
      </c>
    </row>
    <row r="227" spans="1:24" s="1" customFormat="1" ht="145.5" customHeight="1" x14ac:dyDescent="0.2">
      <c r="A227" s="255" t="s">
        <v>220</v>
      </c>
      <c r="B227" s="120" t="s">
        <v>221</v>
      </c>
      <c r="C227" s="256" t="s">
        <v>222</v>
      </c>
      <c r="D227" s="120" t="s">
        <v>270</v>
      </c>
      <c r="E227" s="120" t="s">
        <v>271</v>
      </c>
      <c r="F227" s="184" t="s">
        <v>46</v>
      </c>
      <c r="G227" s="184" t="s">
        <v>42</v>
      </c>
      <c r="H227" s="184" t="s">
        <v>475</v>
      </c>
      <c r="I227" s="184" t="s">
        <v>42</v>
      </c>
      <c r="J227" s="184" t="s">
        <v>11</v>
      </c>
      <c r="K227" s="186" t="s">
        <v>293</v>
      </c>
      <c r="L227" s="186" t="s">
        <v>51</v>
      </c>
      <c r="M227" s="186" t="s">
        <v>418</v>
      </c>
      <c r="N227" s="186" t="s">
        <v>297</v>
      </c>
      <c r="O227" s="325">
        <v>29086251</v>
      </c>
      <c r="P227" s="324">
        <v>33930816</v>
      </c>
      <c r="Q227" s="324">
        <f>64961116-36825205</f>
        <v>28135911</v>
      </c>
      <c r="R227" s="324">
        <f>64961116-36825205</f>
        <v>28135911</v>
      </c>
      <c r="S227" s="152"/>
      <c r="T227" s="151">
        <v>33930816</v>
      </c>
      <c r="U227" s="150">
        <f t="shared" si="73"/>
        <v>0</v>
      </c>
      <c r="V227" s="150"/>
      <c r="W227" s="320">
        <v>33930816</v>
      </c>
      <c r="X227" s="149">
        <f t="shared" si="71"/>
        <v>0</v>
      </c>
    </row>
    <row r="228" spans="1:24" ht="145.5" customHeight="1" x14ac:dyDescent="0.2">
      <c r="A228" s="255" t="s">
        <v>0</v>
      </c>
      <c r="B228" s="116" t="s">
        <v>221</v>
      </c>
      <c r="C228" s="256" t="s">
        <v>0</v>
      </c>
      <c r="D228" s="3" t="s">
        <v>431</v>
      </c>
      <c r="E228" s="116" t="s">
        <v>42</v>
      </c>
      <c r="F228" s="185"/>
      <c r="G228" s="185"/>
      <c r="H228" s="185"/>
      <c r="I228" s="185"/>
      <c r="J228" s="185"/>
      <c r="K228" s="187"/>
      <c r="L228" s="187"/>
      <c r="M228" s="187"/>
      <c r="N228" s="187"/>
      <c r="O228" s="326"/>
      <c r="P228" s="324"/>
      <c r="Q228" s="324"/>
      <c r="R228" s="324"/>
      <c r="U228" s="150">
        <f t="shared" si="73"/>
        <v>0</v>
      </c>
      <c r="W228" s="320"/>
      <c r="X228" s="149">
        <f t="shared" si="71"/>
        <v>0</v>
      </c>
    </row>
    <row r="229" spans="1:24" s="1" customFormat="1" ht="63" customHeight="1" x14ac:dyDescent="0.2">
      <c r="A229" s="255" t="s">
        <v>223</v>
      </c>
      <c r="B229" s="120" t="s">
        <v>224</v>
      </c>
      <c r="C229" s="256" t="s">
        <v>225</v>
      </c>
      <c r="D229" s="120" t="s">
        <v>270</v>
      </c>
      <c r="E229" s="120" t="s">
        <v>271</v>
      </c>
      <c r="F229" s="197" t="s">
        <v>46</v>
      </c>
      <c r="G229" s="195" t="s">
        <v>42</v>
      </c>
      <c r="H229" s="184" t="s">
        <v>475</v>
      </c>
      <c r="I229" s="184" t="s">
        <v>0</v>
      </c>
      <c r="J229" s="184" t="s">
        <v>11</v>
      </c>
      <c r="K229" s="186" t="s">
        <v>293</v>
      </c>
      <c r="L229" s="186" t="s">
        <v>47</v>
      </c>
      <c r="M229" s="186" t="s">
        <v>360</v>
      </c>
      <c r="N229" s="186" t="s">
        <v>297</v>
      </c>
      <c r="O229" s="325">
        <v>28799482</v>
      </c>
      <c r="P229" s="324">
        <v>31482346</v>
      </c>
      <c r="Q229" s="324">
        <v>28408077</v>
      </c>
      <c r="R229" s="324">
        <v>28408077</v>
      </c>
      <c r="S229" s="152"/>
      <c r="T229" s="152">
        <v>31482346</v>
      </c>
      <c r="U229" s="150">
        <f t="shared" si="73"/>
        <v>0</v>
      </c>
      <c r="V229" s="150"/>
      <c r="W229" s="320">
        <v>31482346</v>
      </c>
      <c r="X229" s="149">
        <f t="shared" si="71"/>
        <v>0</v>
      </c>
    </row>
    <row r="230" spans="1:24" ht="224.25" customHeight="1" x14ac:dyDescent="0.2">
      <c r="A230" s="255" t="s">
        <v>0</v>
      </c>
      <c r="B230" s="116" t="s">
        <v>224</v>
      </c>
      <c r="C230" s="256" t="s">
        <v>0</v>
      </c>
      <c r="D230" s="116" t="s">
        <v>52</v>
      </c>
      <c r="E230" s="116" t="s">
        <v>42</v>
      </c>
      <c r="F230" s="198"/>
      <c r="G230" s="196"/>
      <c r="H230" s="185"/>
      <c r="I230" s="185"/>
      <c r="J230" s="185"/>
      <c r="K230" s="187"/>
      <c r="L230" s="187"/>
      <c r="M230" s="187"/>
      <c r="N230" s="187"/>
      <c r="O230" s="326"/>
      <c r="P230" s="324"/>
      <c r="Q230" s="324"/>
      <c r="R230" s="324"/>
      <c r="U230" s="150">
        <f t="shared" si="73"/>
        <v>0</v>
      </c>
      <c r="W230" s="320"/>
      <c r="X230" s="149">
        <f t="shared" si="71"/>
        <v>0</v>
      </c>
    </row>
    <row r="231" spans="1:24" ht="26.45" customHeight="1" x14ac:dyDescent="0.2">
      <c r="A231" s="8" t="s">
        <v>226</v>
      </c>
      <c r="B231" s="116" t="s">
        <v>227</v>
      </c>
      <c r="C231" s="116" t="s">
        <v>228</v>
      </c>
      <c r="D231" s="116" t="s">
        <v>0</v>
      </c>
      <c r="E231" s="116" t="s">
        <v>0</v>
      </c>
      <c r="F231" s="116" t="s">
        <v>0</v>
      </c>
      <c r="G231" s="116" t="s">
        <v>0</v>
      </c>
      <c r="H231" s="116" t="s">
        <v>0</v>
      </c>
      <c r="I231" s="116" t="s">
        <v>0</v>
      </c>
      <c r="J231" s="116" t="s">
        <v>0</v>
      </c>
      <c r="K231" s="14"/>
      <c r="L231" s="14"/>
      <c r="M231" s="14"/>
      <c r="N231" s="14"/>
      <c r="O231" s="177">
        <f>O232+O233+O237</f>
        <v>11939503.399999999</v>
      </c>
      <c r="P231" s="145">
        <f t="shared" ref="P231" si="80">P232+P233+P237</f>
        <v>12962358.43</v>
      </c>
      <c r="Q231" s="145">
        <f t="shared" ref="Q231:R231" si="81">Q232+Q233+Q237</f>
        <v>11366131</v>
      </c>
      <c r="R231" s="145">
        <f t="shared" si="81"/>
        <v>11366724</v>
      </c>
      <c r="U231" s="150">
        <f t="shared" si="73"/>
        <v>-12962358.43</v>
      </c>
      <c r="W231" s="155">
        <f t="shared" ref="W231" si="82">W232+W233+W237</f>
        <v>12962358.43</v>
      </c>
      <c r="X231" s="149">
        <f t="shared" si="71"/>
        <v>-12962358.43</v>
      </c>
    </row>
    <row r="232" spans="1:24" s="1" customFormat="1" ht="77.25" customHeight="1" x14ac:dyDescent="0.2">
      <c r="A232" s="119" t="s">
        <v>229</v>
      </c>
      <c r="B232" s="120" t="s">
        <v>230</v>
      </c>
      <c r="C232" s="120" t="s">
        <v>231</v>
      </c>
      <c r="D232" s="120" t="s">
        <v>270</v>
      </c>
      <c r="E232" s="120" t="s">
        <v>42</v>
      </c>
      <c r="F232" s="120" t="s">
        <v>486</v>
      </c>
      <c r="G232" s="120" t="s">
        <v>42</v>
      </c>
      <c r="H232" s="120" t="s">
        <v>494</v>
      </c>
      <c r="I232" s="120" t="s">
        <v>0</v>
      </c>
      <c r="J232" s="120" t="s">
        <v>168</v>
      </c>
      <c r="K232" s="15">
        <v>853</v>
      </c>
      <c r="L232" s="15">
        <v>1401</v>
      </c>
      <c r="M232" s="15" t="s">
        <v>416</v>
      </c>
      <c r="N232" s="15">
        <v>511</v>
      </c>
      <c r="O232" s="37">
        <v>833000</v>
      </c>
      <c r="P232" s="22">
        <v>859000</v>
      </c>
      <c r="Q232" s="22">
        <v>859000</v>
      </c>
      <c r="R232" s="22">
        <v>859000</v>
      </c>
      <c r="S232" s="152"/>
      <c r="T232" s="151">
        <v>859000</v>
      </c>
      <c r="U232" s="150">
        <f t="shared" si="73"/>
        <v>0</v>
      </c>
      <c r="V232" s="150"/>
      <c r="W232" s="154">
        <v>859000</v>
      </c>
      <c r="X232" s="149">
        <f t="shared" si="71"/>
        <v>0</v>
      </c>
    </row>
    <row r="233" spans="1:24" s="59" customFormat="1" ht="26.45" customHeight="1" x14ac:dyDescent="0.2">
      <c r="A233" s="82" t="s">
        <v>232</v>
      </c>
      <c r="B233" s="97" t="s">
        <v>233</v>
      </c>
      <c r="C233" s="97" t="s">
        <v>234</v>
      </c>
      <c r="D233" s="108" t="s">
        <v>0</v>
      </c>
      <c r="E233" s="108" t="s">
        <v>0</v>
      </c>
      <c r="F233" s="108" t="s">
        <v>0</v>
      </c>
      <c r="G233" s="108" t="s">
        <v>0</v>
      </c>
      <c r="H233" s="108" t="s">
        <v>0</v>
      </c>
      <c r="I233" s="97" t="s">
        <v>0</v>
      </c>
      <c r="J233" s="97" t="s">
        <v>168</v>
      </c>
      <c r="K233" s="13"/>
      <c r="L233" s="13"/>
      <c r="M233" s="13"/>
      <c r="N233" s="13"/>
      <c r="O233" s="178">
        <f>O234+O236</f>
        <v>1136891</v>
      </c>
      <c r="P233" s="146">
        <f t="shared" ref="P233" si="83">P234+P236</f>
        <v>1257897</v>
      </c>
      <c r="Q233" s="146">
        <f t="shared" ref="Q233:R233" si="84">Q234+Q236</f>
        <v>1227391</v>
      </c>
      <c r="R233" s="146">
        <f t="shared" si="84"/>
        <v>1269084</v>
      </c>
      <c r="S233" s="183"/>
      <c r="T233" s="151"/>
      <c r="U233" s="150">
        <f t="shared" si="73"/>
        <v>-1257897</v>
      </c>
      <c r="V233" s="153"/>
      <c r="W233" s="162">
        <f t="shared" ref="W233" si="85">W234+W236</f>
        <v>1257897</v>
      </c>
      <c r="X233" s="149">
        <f t="shared" si="71"/>
        <v>-1257897</v>
      </c>
    </row>
    <row r="234" spans="1:24" s="59" customFormat="1" ht="123.75" customHeight="1" x14ac:dyDescent="0.2">
      <c r="A234" s="257" t="s">
        <v>235</v>
      </c>
      <c r="B234" s="97" t="s">
        <v>236</v>
      </c>
      <c r="C234" s="258" t="s">
        <v>237</v>
      </c>
      <c r="D234" s="123" t="s">
        <v>496</v>
      </c>
      <c r="E234" s="121" t="s">
        <v>42</v>
      </c>
      <c r="F234" s="268" t="s">
        <v>446</v>
      </c>
      <c r="G234" s="264" t="s">
        <v>42</v>
      </c>
      <c r="H234" s="199" t="s">
        <v>474</v>
      </c>
      <c r="I234" s="305" t="s">
        <v>42</v>
      </c>
      <c r="J234" s="236" t="s">
        <v>168</v>
      </c>
      <c r="K234" s="222" t="s">
        <v>285</v>
      </c>
      <c r="L234" s="222" t="s">
        <v>181</v>
      </c>
      <c r="M234" s="222" t="s">
        <v>415</v>
      </c>
      <c r="N234" s="222" t="s">
        <v>284</v>
      </c>
      <c r="O234" s="322">
        <v>1136691</v>
      </c>
      <c r="P234" s="321">
        <v>1257697</v>
      </c>
      <c r="Q234" s="321">
        <v>1227191</v>
      </c>
      <c r="R234" s="321">
        <v>1268884</v>
      </c>
      <c r="S234" s="183"/>
      <c r="T234" s="151">
        <v>1257697</v>
      </c>
      <c r="U234" s="150">
        <f t="shared" si="73"/>
        <v>0</v>
      </c>
      <c r="V234" s="153"/>
      <c r="W234" s="319">
        <v>1257697</v>
      </c>
      <c r="X234" s="149">
        <f t="shared" si="71"/>
        <v>0</v>
      </c>
    </row>
    <row r="235" spans="1:24" s="58" customFormat="1" ht="75.75" customHeight="1" x14ac:dyDescent="0.2">
      <c r="A235" s="257" t="s">
        <v>0</v>
      </c>
      <c r="B235" s="54" t="s">
        <v>236</v>
      </c>
      <c r="C235" s="258" t="s">
        <v>0</v>
      </c>
      <c r="D235" s="96" t="s">
        <v>495</v>
      </c>
      <c r="E235" s="96" t="s">
        <v>42</v>
      </c>
      <c r="F235" s="268"/>
      <c r="G235" s="264"/>
      <c r="H235" s="199"/>
      <c r="I235" s="306"/>
      <c r="J235" s="237"/>
      <c r="K235" s="224"/>
      <c r="L235" s="224"/>
      <c r="M235" s="224"/>
      <c r="N235" s="224"/>
      <c r="O235" s="323"/>
      <c r="P235" s="321"/>
      <c r="Q235" s="321"/>
      <c r="R235" s="321"/>
      <c r="S235" s="183"/>
      <c r="T235" s="151"/>
      <c r="U235" s="150">
        <f t="shared" si="73"/>
        <v>0</v>
      </c>
      <c r="V235" s="153"/>
      <c r="W235" s="319"/>
      <c r="X235" s="149">
        <f t="shared" si="71"/>
        <v>0</v>
      </c>
    </row>
    <row r="236" spans="1:24" s="58" customFormat="1" ht="132.75" customHeight="1" x14ac:dyDescent="0.2">
      <c r="A236" s="56" t="s">
        <v>238</v>
      </c>
      <c r="B236" s="54" t="s">
        <v>239</v>
      </c>
      <c r="C236" s="54" t="s">
        <v>240</v>
      </c>
      <c r="D236" s="94" t="s">
        <v>270</v>
      </c>
      <c r="E236" s="94" t="s">
        <v>42</v>
      </c>
      <c r="F236" s="94" t="s">
        <v>493</v>
      </c>
      <c r="G236" s="94" t="s">
        <v>42</v>
      </c>
      <c r="H236" s="94" t="s">
        <v>474</v>
      </c>
      <c r="I236" s="54" t="s">
        <v>0</v>
      </c>
      <c r="J236" s="54" t="s">
        <v>168</v>
      </c>
      <c r="K236" s="20" t="s">
        <v>285</v>
      </c>
      <c r="L236" s="20" t="s">
        <v>127</v>
      </c>
      <c r="M236" s="20" t="s">
        <v>405</v>
      </c>
      <c r="N236" s="20" t="s">
        <v>284</v>
      </c>
      <c r="O236" s="60">
        <v>200</v>
      </c>
      <c r="P236" s="61">
        <v>200</v>
      </c>
      <c r="Q236" s="61">
        <v>200</v>
      </c>
      <c r="R236" s="61">
        <v>200</v>
      </c>
      <c r="S236" s="183"/>
      <c r="T236" s="151">
        <v>200</v>
      </c>
      <c r="U236" s="150">
        <f t="shared" si="73"/>
        <v>0</v>
      </c>
      <c r="V236" s="153"/>
      <c r="W236" s="160">
        <v>200</v>
      </c>
      <c r="X236" s="149">
        <f t="shared" si="71"/>
        <v>0</v>
      </c>
    </row>
    <row r="237" spans="1:24" ht="26.45" customHeight="1" x14ac:dyDescent="0.2">
      <c r="A237" s="5" t="s">
        <v>241</v>
      </c>
      <c r="B237" s="116" t="s">
        <v>242</v>
      </c>
      <c r="C237" s="116" t="s">
        <v>243</v>
      </c>
      <c r="D237" s="116" t="s">
        <v>0</v>
      </c>
      <c r="E237" s="116" t="s">
        <v>0</v>
      </c>
      <c r="F237" s="116" t="s">
        <v>0</v>
      </c>
      <c r="G237" s="116" t="s">
        <v>0</v>
      </c>
      <c r="H237" s="116" t="s">
        <v>0</v>
      </c>
      <c r="I237" s="116" t="s">
        <v>0</v>
      </c>
      <c r="J237" s="116" t="s">
        <v>168</v>
      </c>
      <c r="K237" s="14"/>
      <c r="L237" s="14"/>
      <c r="M237" s="14"/>
      <c r="N237" s="14"/>
      <c r="O237" s="164">
        <f>O238+O243</f>
        <v>9969612.3999999985</v>
      </c>
      <c r="P237" s="133">
        <f t="shared" ref="P237" si="86">P238+P243</f>
        <v>10845461.43</v>
      </c>
      <c r="Q237" s="133">
        <f t="shared" ref="Q237:R237" si="87">Q238+Q243</f>
        <v>9279740</v>
      </c>
      <c r="R237" s="133">
        <f t="shared" si="87"/>
        <v>9238640</v>
      </c>
      <c r="U237" s="150">
        <f t="shared" si="73"/>
        <v>-10845461.43</v>
      </c>
      <c r="W237" s="155">
        <f t="shared" ref="W237" si="88">W238+W243</f>
        <v>10845461.43</v>
      </c>
      <c r="X237" s="149">
        <f t="shared" si="71"/>
        <v>-10845461.43</v>
      </c>
    </row>
    <row r="238" spans="1:24" ht="26.45" customHeight="1" x14ac:dyDescent="0.2">
      <c r="A238" s="6" t="s">
        <v>244</v>
      </c>
      <c r="B238" s="116" t="s">
        <v>245</v>
      </c>
      <c r="C238" s="116" t="s">
        <v>246</v>
      </c>
      <c r="D238" s="116" t="s">
        <v>0</v>
      </c>
      <c r="E238" s="116" t="s">
        <v>0</v>
      </c>
      <c r="F238" s="116" t="s">
        <v>0</v>
      </c>
      <c r="G238" s="116" t="s">
        <v>0</v>
      </c>
      <c r="H238" s="116" t="s">
        <v>0</v>
      </c>
      <c r="I238" s="116" t="s">
        <v>0</v>
      </c>
      <c r="J238" s="116" t="s">
        <v>168</v>
      </c>
      <c r="K238" s="14"/>
      <c r="L238" s="14"/>
      <c r="M238" s="14"/>
      <c r="N238" s="14"/>
      <c r="O238" s="179">
        <f>O239+O240+O241+O242</f>
        <v>8195112.3999999994</v>
      </c>
      <c r="P238" s="134">
        <f>P239+P240+P241+P242</f>
        <v>8986461.4299999997</v>
      </c>
      <c r="Q238" s="134">
        <f t="shared" ref="Q238:R238" si="89">Q239+Q240+Q241+Q242</f>
        <v>7779740</v>
      </c>
      <c r="R238" s="134">
        <f t="shared" si="89"/>
        <v>7738640</v>
      </c>
      <c r="U238" s="150">
        <f t="shared" si="73"/>
        <v>-8986461.4299999997</v>
      </c>
      <c r="W238" s="155">
        <f>W239+W240+W241+W242</f>
        <v>8986461.4299999997</v>
      </c>
      <c r="X238" s="149">
        <f t="shared" si="71"/>
        <v>-8986461.4299999997</v>
      </c>
    </row>
    <row r="239" spans="1:24" s="1" customFormat="1" ht="170.25" customHeight="1" x14ac:dyDescent="0.2">
      <c r="A239" s="119" t="s">
        <v>247</v>
      </c>
      <c r="B239" s="120" t="s">
        <v>248</v>
      </c>
      <c r="C239" s="120" t="s">
        <v>249</v>
      </c>
      <c r="D239" s="120" t="s">
        <v>270</v>
      </c>
      <c r="E239" s="120" t="s">
        <v>487</v>
      </c>
      <c r="F239" s="120" t="s">
        <v>0</v>
      </c>
      <c r="G239" s="120" t="s">
        <v>0</v>
      </c>
      <c r="H239" s="120" t="s">
        <v>489</v>
      </c>
      <c r="I239" s="120" t="s">
        <v>42</v>
      </c>
      <c r="J239" s="120" t="s">
        <v>0</v>
      </c>
      <c r="K239" s="15">
        <v>851</v>
      </c>
      <c r="L239" s="15" t="s">
        <v>138</v>
      </c>
      <c r="M239" s="15" t="s">
        <v>281</v>
      </c>
      <c r="N239" s="15" t="s">
        <v>283</v>
      </c>
      <c r="O239" s="37">
        <v>400</v>
      </c>
      <c r="P239" s="22"/>
      <c r="Q239" s="22"/>
      <c r="R239" s="22"/>
      <c r="S239" s="152"/>
      <c r="T239" s="151"/>
      <c r="U239" s="150">
        <f t="shared" si="73"/>
        <v>0</v>
      </c>
      <c r="V239" s="150"/>
      <c r="W239" s="154"/>
      <c r="X239" s="149">
        <f t="shared" si="71"/>
        <v>0</v>
      </c>
    </row>
    <row r="240" spans="1:24" s="1" customFormat="1" ht="295.5" customHeight="1" x14ac:dyDescent="0.2">
      <c r="A240" s="119" t="s">
        <v>250</v>
      </c>
      <c r="B240" s="120" t="s">
        <v>251</v>
      </c>
      <c r="C240" s="120" t="s">
        <v>252</v>
      </c>
      <c r="D240" s="120" t="s">
        <v>270</v>
      </c>
      <c r="E240" s="120" t="s">
        <v>487</v>
      </c>
      <c r="F240" s="120" t="s">
        <v>0</v>
      </c>
      <c r="G240" s="120" t="s">
        <v>0</v>
      </c>
      <c r="H240" s="81" t="s">
        <v>488</v>
      </c>
      <c r="I240" s="120" t="s">
        <v>42</v>
      </c>
      <c r="J240" s="120" t="s">
        <v>0</v>
      </c>
      <c r="K240" s="15">
        <v>851</v>
      </c>
      <c r="L240" s="15" t="s">
        <v>253</v>
      </c>
      <c r="M240" s="15" t="s">
        <v>392</v>
      </c>
      <c r="N240" s="15" t="s">
        <v>283</v>
      </c>
      <c r="O240" s="37">
        <v>7585879.7199999997</v>
      </c>
      <c r="P240" s="22">
        <v>8915388.4299999997</v>
      </c>
      <c r="Q240" s="22">
        <v>7722400</v>
      </c>
      <c r="R240" s="22">
        <v>7681300</v>
      </c>
      <c r="S240" s="152"/>
      <c r="T240" s="151">
        <v>8915388.4299999997</v>
      </c>
      <c r="U240" s="150">
        <f t="shared" si="73"/>
        <v>0</v>
      </c>
      <c r="V240" s="150"/>
      <c r="W240" s="154">
        <v>8915388.4299999997</v>
      </c>
      <c r="X240" s="149">
        <f t="shared" si="71"/>
        <v>0</v>
      </c>
    </row>
    <row r="241" spans="1:24" s="1" customFormat="1" ht="237" customHeight="1" x14ac:dyDescent="0.2">
      <c r="A241" s="119" t="s">
        <v>254</v>
      </c>
      <c r="B241" s="120" t="s">
        <v>255</v>
      </c>
      <c r="C241" s="120" t="s">
        <v>256</v>
      </c>
      <c r="D241" s="120" t="s">
        <v>270</v>
      </c>
      <c r="E241" s="120" t="s">
        <v>487</v>
      </c>
      <c r="F241" s="120" t="s">
        <v>492</v>
      </c>
      <c r="G241" s="120" t="s">
        <v>0</v>
      </c>
      <c r="H241" s="120" t="s">
        <v>491</v>
      </c>
      <c r="I241" s="120" t="s">
        <v>42</v>
      </c>
      <c r="J241" s="120" t="s">
        <v>0</v>
      </c>
      <c r="K241" s="15">
        <v>851</v>
      </c>
      <c r="L241" s="15" t="s">
        <v>94</v>
      </c>
      <c r="M241" s="15" t="s">
        <v>282</v>
      </c>
      <c r="N241" s="15">
        <v>540</v>
      </c>
      <c r="O241" s="37">
        <v>550000</v>
      </c>
      <c r="P241" s="22"/>
      <c r="Q241" s="22"/>
      <c r="R241" s="22"/>
      <c r="S241" s="152"/>
      <c r="T241" s="151"/>
      <c r="U241" s="150">
        <f t="shared" si="73"/>
        <v>0</v>
      </c>
      <c r="V241" s="150"/>
      <c r="W241" s="154"/>
      <c r="X241" s="149">
        <f t="shared" si="71"/>
        <v>0</v>
      </c>
    </row>
    <row r="242" spans="1:24" s="1" customFormat="1" ht="210" customHeight="1" x14ac:dyDescent="0.2">
      <c r="A242" s="119" t="s">
        <v>99</v>
      </c>
      <c r="B242" s="120" t="s">
        <v>257</v>
      </c>
      <c r="C242" s="120" t="s">
        <v>258</v>
      </c>
      <c r="D242" s="120" t="s">
        <v>270</v>
      </c>
      <c r="E242" s="120" t="s">
        <v>487</v>
      </c>
      <c r="F242" s="120" t="s">
        <v>0</v>
      </c>
      <c r="G242" s="120" t="s">
        <v>0</v>
      </c>
      <c r="H242" s="120" t="s">
        <v>490</v>
      </c>
      <c r="I242" s="120" t="s">
        <v>42</v>
      </c>
      <c r="J242" s="120" t="s">
        <v>0</v>
      </c>
      <c r="K242" s="15">
        <v>851</v>
      </c>
      <c r="L242" s="15" t="s">
        <v>259</v>
      </c>
      <c r="M242" s="15" t="s">
        <v>389</v>
      </c>
      <c r="N242" s="15">
        <v>540</v>
      </c>
      <c r="O242" s="37">
        <v>58832.68</v>
      </c>
      <c r="P242" s="22">
        <v>71073</v>
      </c>
      <c r="Q242" s="22">
        <v>57340</v>
      </c>
      <c r="R242" s="22">
        <v>57340</v>
      </c>
      <c r="S242" s="152"/>
      <c r="T242" s="151">
        <v>71073</v>
      </c>
      <c r="U242" s="150">
        <f t="shared" si="73"/>
        <v>0</v>
      </c>
      <c r="V242" s="150"/>
      <c r="W242" s="154">
        <v>71073</v>
      </c>
      <c r="X242" s="149">
        <f t="shared" si="71"/>
        <v>0</v>
      </c>
    </row>
    <row r="243" spans="1:24" ht="26.45" customHeight="1" x14ac:dyDescent="0.2">
      <c r="A243" s="6" t="s">
        <v>260</v>
      </c>
      <c r="B243" s="116" t="s">
        <v>261</v>
      </c>
      <c r="C243" s="116" t="s">
        <v>262</v>
      </c>
      <c r="D243" s="116" t="s">
        <v>0</v>
      </c>
      <c r="E243" s="116" t="s">
        <v>0</v>
      </c>
      <c r="F243" s="116" t="s">
        <v>0</v>
      </c>
      <c r="G243" s="116" t="s">
        <v>0</v>
      </c>
      <c r="H243" s="116" t="s">
        <v>0</v>
      </c>
      <c r="I243" s="116" t="s">
        <v>0</v>
      </c>
      <c r="J243" s="116" t="s">
        <v>168</v>
      </c>
      <c r="K243" s="14"/>
      <c r="L243" s="14"/>
      <c r="M243" s="14"/>
      <c r="N243" s="14"/>
      <c r="O243" s="179">
        <f>O244</f>
        <v>1774500</v>
      </c>
      <c r="P243" s="134">
        <f t="shared" ref="P243" si="90">P244</f>
        <v>1859000</v>
      </c>
      <c r="Q243" s="134">
        <f t="shared" ref="Q243:R243" si="91">Q244</f>
        <v>1500000</v>
      </c>
      <c r="R243" s="134">
        <f t="shared" si="91"/>
        <v>1500000</v>
      </c>
      <c r="U243" s="150">
        <f t="shared" si="73"/>
        <v>-1859000</v>
      </c>
      <c r="W243" s="155">
        <f t="shared" ref="W243" si="92">W244</f>
        <v>1859000</v>
      </c>
      <c r="X243" s="149">
        <f t="shared" si="71"/>
        <v>-1859000</v>
      </c>
    </row>
    <row r="244" spans="1:24" s="1" customFormat="1" ht="129.75" customHeight="1" x14ac:dyDescent="0.2">
      <c r="A244" s="119" t="s">
        <v>263</v>
      </c>
      <c r="B244" s="120" t="s">
        <v>264</v>
      </c>
      <c r="C244" s="120" t="s">
        <v>265</v>
      </c>
      <c r="D244" s="120" t="s">
        <v>270</v>
      </c>
      <c r="E244" s="120" t="s">
        <v>42</v>
      </c>
      <c r="F244" s="120" t="s">
        <v>486</v>
      </c>
      <c r="G244" s="120" t="s">
        <v>0</v>
      </c>
      <c r="H244" s="120" t="s">
        <v>485</v>
      </c>
      <c r="I244" s="120" t="s">
        <v>42</v>
      </c>
      <c r="J244" s="120" t="s">
        <v>0</v>
      </c>
      <c r="K244" s="15">
        <v>853</v>
      </c>
      <c r="L244" s="15">
        <v>1402</v>
      </c>
      <c r="M244" s="15" t="s">
        <v>417</v>
      </c>
      <c r="N244" s="15">
        <v>512</v>
      </c>
      <c r="O244" s="37">
        <v>1774500</v>
      </c>
      <c r="P244" s="22">
        <v>1859000</v>
      </c>
      <c r="Q244" s="22">
        <v>1500000</v>
      </c>
      <c r="R244" s="22">
        <v>1500000</v>
      </c>
      <c r="S244" s="152"/>
      <c r="T244" s="151">
        <v>1859000</v>
      </c>
      <c r="U244" s="150">
        <f t="shared" si="73"/>
        <v>0</v>
      </c>
      <c r="V244" s="150"/>
      <c r="W244" s="154">
        <v>1859000</v>
      </c>
      <c r="X244" s="149">
        <f>T244-W244</f>
        <v>0</v>
      </c>
    </row>
    <row r="245" spans="1:24" ht="24.75" customHeight="1" x14ac:dyDescent="0.2">
      <c r="A245" s="5" t="s">
        <v>266</v>
      </c>
      <c r="B245" s="116" t="s">
        <v>14</v>
      </c>
      <c r="C245" s="116" t="s">
        <v>267</v>
      </c>
      <c r="D245" s="116" t="s">
        <v>0</v>
      </c>
      <c r="E245" s="116" t="s">
        <v>0</v>
      </c>
      <c r="F245" s="116" t="s">
        <v>0</v>
      </c>
      <c r="G245" s="116" t="s">
        <v>0</v>
      </c>
      <c r="H245" s="116" t="s">
        <v>0</v>
      </c>
      <c r="I245" s="116" t="s">
        <v>0</v>
      </c>
      <c r="J245" s="116" t="s">
        <v>0</v>
      </c>
      <c r="K245" s="14"/>
      <c r="L245" s="14"/>
      <c r="M245" s="14"/>
      <c r="N245" s="14"/>
      <c r="O245" s="180">
        <f>O10+O128+O179+O224</f>
        <v>315352482.14000005</v>
      </c>
      <c r="P245" s="147">
        <f>P10+P128+P179+P224</f>
        <v>377142972.49000001</v>
      </c>
      <c r="Q245" s="147">
        <f>Q10+Q128+Q179+Q224</f>
        <v>273571169.90999997</v>
      </c>
      <c r="R245" s="147">
        <f>R10+R128+R179+R224</f>
        <v>251192344.88</v>
      </c>
      <c r="W245" s="154">
        <f>W10+W128+W179+W224</f>
        <v>377034294.21000004</v>
      </c>
    </row>
    <row r="246" spans="1:24" ht="24.75" customHeight="1" x14ac:dyDescent="0.2">
      <c r="A246" s="4" t="s">
        <v>268</v>
      </c>
      <c r="B246" s="116" t="s">
        <v>14</v>
      </c>
      <c r="C246" s="116" t="s">
        <v>269</v>
      </c>
      <c r="D246" s="116" t="s">
        <v>0</v>
      </c>
      <c r="E246" s="116" t="s">
        <v>0</v>
      </c>
      <c r="F246" s="116" t="s">
        <v>0</v>
      </c>
      <c r="G246" s="116" t="s">
        <v>0</v>
      </c>
      <c r="H246" s="116" t="s">
        <v>0</v>
      </c>
      <c r="I246" s="116" t="s">
        <v>0</v>
      </c>
      <c r="J246" s="116" t="s">
        <v>0</v>
      </c>
      <c r="K246" s="14"/>
      <c r="L246" s="14"/>
      <c r="M246" s="14"/>
      <c r="N246" s="14"/>
      <c r="O246" s="181">
        <f>O245+O231</f>
        <v>327291985.54000002</v>
      </c>
      <c r="P246" s="148">
        <f t="shared" ref="P246" si="93">P245+P231</f>
        <v>390105330.92000002</v>
      </c>
      <c r="Q246" s="148">
        <f t="shared" ref="Q246:R246" si="94">Q245+Q231</f>
        <v>284937300.90999997</v>
      </c>
      <c r="R246" s="148">
        <f t="shared" si="94"/>
        <v>262559068.88</v>
      </c>
      <c r="T246" s="151">
        <f>SUM(T11:T244)</f>
        <v>389996652.63999999</v>
      </c>
      <c r="W246" s="154">
        <f t="shared" ref="W246" si="95">W245+W231</f>
        <v>389996652.64000005</v>
      </c>
    </row>
    <row r="247" spans="1:24" x14ac:dyDescent="0.2">
      <c r="T247" s="151">
        <v>390105330.92000002</v>
      </c>
    </row>
    <row r="248" spans="1:24" hidden="1" x14ac:dyDescent="0.2">
      <c r="P248" s="2">
        <f>382945705.51-P246</f>
        <v>-7159625.4100000262</v>
      </c>
    </row>
    <row r="249" spans="1:24" hidden="1" x14ac:dyDescent="0.2"/>
    <row r="250" spans="1:24" hidden="1" x14ac:dyDescent="0.2">
      <c r="O250">
        <v>327291985.54000002</v>
      </c>
      <c r="P250">
        <v>382004159.13999999</v>
      </c>
      <c r="Q250">
        <v>284937300.91000003</v>
      </c>
      <c r="R250">
        <v>262559068.88</v>
      </c>
      <c r="W250" s="152">
        <v>284937300.91000003</v>
      </c>
    </row>
    <row r="251" spans="1:24" hidden="1" x14ac:dyDescent="0.2">
      <c r="O251" s="11">
        <f>O246-O250</f>
        <v>0</v>
      </c>
      <c r="P251" s="11">
        <f t="shared" ref="P251:R251" si="96">P246-P250</f>
        <v>8101171.780000031</v>
      </c>
      <c r="Q251" s="11">
        <f t="shared" si="96"/>
        <v>0</v>
      </c>
      <c r="R251" s="11">
        <f t="shared" si="96"/>
        <v>0</v>
      </c>
      <c r="W251" s="151">
        <f t="shared" ref="W251" si="97">W246-W250</f>
        <v>105059351.73000002</v>
      </c>
    </row>
    <row r="252" spans="1:24" hidden="1" x14ac:dyDescent="0.2"/>
    <row r="253" spans="1:24" hidden="1" x14ac:dyDescent="0.2"/>
    <row r="254" spans="1:24" hidden="1" x14ac:dyDescent="0.2"/>
    <row r="255" spans="1:24" hidden="1" x14ac:dyDescent="0.2"/>
    <row r="256" spans="1:24" hidden="1" x14ac:dyDescent="0.2"/>
    <row r="257" spans="11:23" hidden="1" x14ac:dyDescent="0.2"/>
    <row r="258" spans="11:23" hidden="1" x14ac:dyDescent="0.2">
      <c r="Q258" s="11">
        <f>3069759.15-Q262</f>
        <v>200000.0000000014</v>
      </c>
      <c r="R258" s="11">
        <f>6116343.18-R262</f>
        <v>200000</v>
      </c>
      <c r="W258" s="151">
        <f>3069759.15-W262</f>
        <v>8045776.8200000022</v>
      </c>
    </row>
    <row r="259" spans="11:23" hidden="1" x14ac:dyDescent="0.2"/>
    <row r="260" spans="11:23" hidden="1" x14ac:dyDescent="0.2">
      <c r="L260" s="33" t="s">
        <v>328</v>
      </c>
      <c r="O260" s="11">
        <f>O13+O62+O63+O123+O124+O127+O130+O131+O132+O133+O134+O135+O136+O137+O138+O139+O140+O145+O147+O148+O149+O150+O151+O152+O153+O154+O156+O157+O158+O160+O161+O162+O163+O167+O168+O169+O170+O171+O172+O177+O178+O189+O192+O201+O202+O236</f>
        <v>33361419.110000003</v>
      </c>
      <c r="P260" s="11">
        <f>P13+P62+P63+P123+P124+P127+P130+P131+P132+P133+P134+P135+P136+P137+P138+P139+P140+P145+P146+P147+P148+P149+P150+P151+P152+P153+P154+P156+P157+P158+P160+P161+P162+P163+P167+P168+P169+P170+P171+P172+P177+P178+P183+P189+P192+P194+P196+P201+P202+P203+P204+P205+P206+P207+P236</f>
        <v>37650348.82</v>
      </c>
      <c r="Q260" s="11">
        <f>Q13+Q62+Q63+Q123+Q124+Q127+Q130+Q131+Q132+Q133+Q134+Q135+Q136+Q137+Q138+Q139+Q140+Q145+Q146+Q147+Q148+Q149+Q150+Q151+Q152+Q153+Q154+Q156+Q157+Q158+Q160+Q161+Q162+Q163+Q167+Q168+Q169+Q170+Q171+Q172+Q177+Q178+Q183+Q189+Q192+Q194+Q196+Q201+Q202+Q203+Q204+Q205+Q206+Q207+Q236</f>
        <v>29804572</v>
      </c>
      <c r="R260" s="11">
        <f>R13+R62+R63+R123+R124+R127+R130+R131+R132+R133+R134+R135+R136+R137+R138+R139+R140+R145+R146+R147+R148+R149+R150+R151+R152+R153+R154+R156+R157+R158+R160+R161+R162+R163+R167+R168+R169+R170+R171+R172+R177+R178+R183+R189+R192+R194+R196+R201+R202+R203+R204+R205+R206+R207+R236</f>
        <v>29804223</v>
      </c>
      <c r="W260" s="151">
        <f>W13+W62+W63+W123+W124+W127+W130+W131+W132+W133+W134+W135+W136+W137+W138+W139+W140+W145+W146+W147+W148+W149+W150+W151+W152+W153+W154+W156+W157+W158+W160+W161+W162+W163+W167+W168+W169+W170+W171+W172+W177+W178+W183+W189+W192+W194+W196+W201+W202+W203+W204+W205+W206+W207+W236</f>
        <v>37650348.82</v>
      </c>
    </row>
    <row r="261" spans="11:23" hidden="1" x14ac:dyDescent="0.2">
      <c r="K261"/>
      <c r="O261" s="1">
        <v>34602339.600000001</v>
      </c>
      <c r="P261" s="1">
        <v>37904100</v>
      </c>
      <c r="Q261" s="1">
        <v>32674331.149999999</v>
      </c>
      <c r="R261" s="1">
        <v>35720566.18</v>
      </c>
      <c r="W261" s="152">
        <v>32674331.149999999</v>
      </c>
    </row>
    <row r="262" spans="11:23" hidden="1" x14ac:dyDescent="0.2">
      <c r="K262"/>
      <c r="O262" s="11">
        <f>O261-O260</f>
        <v>1240920.4899999984</v>
      </c>
      <c r="P262" s="48">
        <f t="shared" ref="P262:R262" si="98">P261-P260</f>
        <v>253751.1799999997</v>
      </c>
      <c r="Q262" s="48">
        <f t="shared" si="98"/>
        <v>2869759.1499999985</v>
      </c>
      <c r="R262" s="48">
        <f t="shared" si="98"/>
        <v>5916343.1799999997</v>
      </c>
      <c r="W262" s="151">
        <f t="shared" ref="W262" si="99">W261-W260</f>
        <v>-4976017.6700000018</v>
      </c>
    </row>
    <row r="263" spans="11:23" hidden="1" x14ac:dyDescent="0.2">
      <c r="K263"/>
      <c r="L263" s="33" t="s">
        <v>329</v>
      </c>
      <c r="O263" s="11">
        <f>O184+O234</f>
        <v>1818707</v>
      </c>
      <c r="P263" s="11">
        <f>P184+P234</f>
        <v>2012315.2000000002</v>
      </c>
      <c r="Q263" s="11">
        <f>Q184+Q234</f>
        <v>1963505.6</v>
      </c>
      <c r="R263" s="11">
        <f>R184+R234</f>
        <v>2030214.4</v>
      </c>
      <c r="W263" s="151">
        <f>W184+W234</f>
        <v>2012315.2000000002</v>
      </c>
    </row>
    <row r="264" spans="11:23" hidden="1" x14ac:dyDescent="0.2">
      <c r="K264"/>
      <c r="O264" s="1">
        <v>1818707</v>
      </c>
      <c r="P264" s="1">
        <v>1901934.4</v>
      </c>
      <c r="Q264" s="1">
        <v>1963505.6</v>
      </c>
      <c r="R264" s="1">
        <v>2030214.4</v>
      </c>
      <c r="W264" s="152">
        <v>1963505.6</v>
      </c>
    </row>
    <row r="265" spans="11:23" hidden="1" x14ac:dyDescent="0.2">
      <c r="K265"/>
      <c r="O265" s="9">
        <f>O264-O263</f>
        <v>0</v>
      </c>
      <c r="P265" s="9">
        <f t="shared" ref="P265:R265" si="100">P264-P263</f>
        <v>-110380.80000000028</v>
      </c>
      <c r="Q265" s="9">
        <f t="shared" si="100"/>
        <v>0</v>
      </c>
      <c r="R265" s="9">
        <f t="shared" si="100"/>
        <v>0</v>
      </c>
      <c r="W265" s="152">
        <f t="shared" ref="W265" si="101">W264-W263</f>
        <v>-48809.600000000093</v>
      </c>
    </row>
    <row r="266" spans="11:23" hidden="1" x14ac:dyDescent="0.2">
      <c r="K266"/>
      <c r="L266" s="33" t="s">
        <v>332</v>
      </c>
      <c r="O266" s="11">
        <f>O107</f>
        <v>3340009.5700000003</v>
      </c>
      <c r="P266" s="11">
        <f>P107</f>
        <v>3684368.8599999994</v>
      </c>
      <c r="Q266" s="11">
        <f>Q107</f>
        <v>2720300</v>
      </c>
      <c r="R266" s="11">
        <f>R107</f>
        <v>2720300</v>
      </c>
      <c r="W266" s="151">
        <f>W107</f>
        <v>3684368.8599999994</v>
      </c>
    </row>
    <row r="267" spans="11:23" hidden="1" x14ac:dyDescent="0.2">
      <c r="K267"/>
      <c r="O267" s="1">
        <v>3340009.57</v>
      </c>
      <c r="P267" s="1">
        <v>3466328.28</v>
      </c>
      <c r="Q267" s="1">
        <v>2720300</v>
      </c>
      <c r="R267" s="1">
        <v>2720300</v>
      </c>
      <c r="W267" s="152">
        <v>2720300</v>
      </c>
    </row>
    <row r="268" spans="11:23" hidden="1" x14ac:dyDescent="0.2">
      <c r="K268"/>
      <c r="O268" s="11">
        <f>O267-O266</f>
        <v>0</v>
      </c>
      <c r="P268" s="48">
        <f t="shared" ref="P268:R268" si="102">P267-P266</f>
        <v>-218040.57999999961</v>
      </c>
      <c r="Q268" s="48">
        <f t="shared" si="102"/>
        <v>0</v>
      </c>
      <c r="R268" s="48">
        <f t="shared" si="102"/>
        <v>0</v>
      </c>
      <c r="W268" s="151">
        <f t="shared" ref="W268" si="103">W267-W266</f>
        <v>-964068.8599999994</v>
      </c>
    </row>
    <row r="269" spans="11:23" hidden="1" x14ac:dyDescent="0.2">
      <c r="K269"/>
      <c r="L269" s="33" t="s">
        <v>333</v>
      </c>
      <c r="O269" s="11">
        <f>O64+O98+O113+O194+O204+O205+O223+O240+O241</f>
        <v>10655639.84</v>
      </c>
      <c r="P269" s="11">
        <f>P64+P98+P113+P223+P240+P241</f>
        <v>14007493.52</v>
      </c>
      <c r="Q269" s="11">
        <f>Q64+Q98+Q113+Q223+Q240+Q241</f>
        <v>9163063.4800000004</v>
      </c>
      <c r="R269" s="11">
        <f>R64+R98+R113+R223+R240+R241</f>
        <v>9121963.4800000004</v>
      </c>
      <c r="W269" s="151">
        <f>W64+W98+W113+W223+W240+W241</f>
        <v>14007493.52</v>
      </c>
    </row>
    <row r="270" spans="11:23" hidden="1" x14ac:dyDescent="0.2">
      <c r="K270"/>
      <c r="O270" s="1">
        <v>10655639.84</v>
      </c>
      <c r="P270" s="1">
        <v>12554588.77</v>
      </c>
      <c r="Q270" s="1">
        <v>9163063.4800000004</v>
      </c>
      <c r="R270" s="1">
        <v>9121963.4800000004</v>
      </c>
      <c r="W270" s="152">
        <v>9163063.4800000004</v>
      </c>
    </row>
    <row r="271" spans="11:23" hidden="1" x14ac:dyDescent="0.2">
      <c r="K271"/>
      <c r="O271" s="11">
        <f>O270-O269</f>
        <v>0</v>
      </c>
      <c r="P271" s="48">
        <f t="shared" ref="P271:R271" si="104">P270-P269</f>
        <v>-1452904.75</v>
      </c>
      <c r="Q271" s="48">
        <f t="shared" si="104"/>
        <v>0</v>
      </c>
      <c r="R271" s="48">
        <f t="shared" si="104"/>
        <v>0</v>
      </c>
      <c r="W271" s="151">
        <f t="shared" ref="W271" si="105">W270-W269</f>
        <v>-4844430.0399999991</v>
      </c>
    </row>
    <row r="272" spans="11:23" hidden="1" x14ac:dyDescent="0.2">
      <c r="K272"/>
      <c r="L272" s="33" t="s">
        <v>334</v>
      </c>
      <c r="O272" s="11">
        <f>O67+O84+O99+O105+O155+O239+O242</f>
        <v>21462354.889999997</v>
      </c>
      <c r="P272" s="11">
        <f>P67+P84+P99+P105+P155+P239+P242</f>
        <v>15272508.130000001</v>
      </c>
      <c r="Q272" s="11">
        <f>Q67+Q84+Q99+Q105+Q155+Q239+Q242</f>
        <v>32064613.43</v>
      </c>
      <c r="R272" s="11">
        <f>R67+R84+R99+R105+R155+R239+R242</f>
        <v>4862244.3</v>
      </c>
      <c r="W272" s="151">
        <f>W67+W84+W99+W105+W155+W239+W242</f>
        <v>15272508.130000001</v>
      </c>
    </row>
    <row r="273" spans="1:23" hidden="1" x14ac:dyDescent="0.2">
      <c r="K273"/>
      <c r="O273" s="1">
        <v>21831659.27</v>
      </c>
      <c r="P273" s="1">
        <v>18725776.960000001</v>
      </c>
      <c r="Q273" s="1">
        <v>32064613.43</v>
      </c>
      <c r="R273" s="1">
        <v>4862244.3</v>
      </c>
      <c r="W273" s="152">
        <v>32064613.43</v>
      </c>
    </row>
    <row r="274" spans="1:23" hidden="1" x14ac:dyDescent="0.2">
      <c r="K274"/>
      <c r="O274" s="11">
        <f>O273-O272</f>
        <v>369304.38000000268</v>
      </c>
      <c r="P274" s="48">
        <f t="shared" ref="P274:R274" si="106">P273-P272</f>
        <v>3453268.83</v>
      </c>
      <c r="Q274" s="48">
        <f t="shared" si="106"/>
        <v>0</v>
      </c>
      <c r="R274" s="48">
        <f t="shared" si="106"/>
        <v>0</v>
      </c>
      <c r="W274" s="151">
        <f t="shared" ref="W274" si="107">W273-W272</f>
        <v>16792105.299999997</v>
      </c>
    </row>
    <row r="275" spans="1:23" hidden="1" x14ac:dyDescent="0.2">
      <c r="K275"/>
      <c r="L275" s="33" t="s">
        <v>330</v>
      </c>
      <c r="O275" s="11">
        <f>O15+O20+O29+O41+O50+O51+O198+O96+O97+O141+O142+O143+O144+O164+O165+O166+O175+O208+O209+O213+O215+O216+O217+O218+O225+O227+O229</f>
        <v>204695344.29999998</v>
      </c>
      <c r="P275" s="11">
        <f>P15+P20+P29+P41+P50+P51+P198+P96+P97+P141+P142+P143+P144+P164+P165+P166+P175+P208+P209+P213+P215+P216+P217+P218+P225+P227+P229</f>
        <v>264892894.83000001</v>
      </c>
      <c r="Q275" s="11">
        <f>Q15+Q20+Q29+Q41+Q50+Q51+Q198+Q96+Q97+Q141+Q142+Q143+Q144+Q164+Q165+Q166+Q175+Q208+Q209+Q213+Q215+Q216+Q217+Q218+Q225+Q227+Q229</f>
        <v>160128211.57999998</v>
      </c>
      <c r="R275" s="11">
        <f>R15+R20+R29+R41+R50+R51+R198+R96+R97+R141+R142+R143+R144+R164+R165+R166+R175+R208+R209+R213+R215+R216+R217+R218+R225+R227+R229</f>
        <v>165793024.74000001</v>
      </c>
      <c r="W275" s="151">
        <f>W15+W20+W29+W41+W50+W51+W198+W96+W97+W141+W142+W143+W144+W164+W165+W166+W175+W208+W209+W213+W215+W216+W217+W218+W225+W227+W229</f>
        <v>264784216.55000001</v>
      </c>
    </row>
    <row r="276" spans="1:23" hidden="1" x14ac:dyDescent="0.2">
      <c r="K276"/>
      <c r="O276" s="1">
        <v>203742647.28999999</v>
      </c>
      <c r="P276" s="1">
        <v>253694070.93000001</v>
      </c>
      <c r="Q276" s="1">
        <v>158899364.58000001</v>
      </c>
      <c r="R276" s="1">
        <v>160420507.74000001</v>
      </c>
      <c r="W276" s="152">
        <v>158899364.58000001</v>
      </c>
    </row>
    <row r="277" spans="1:23" hidden="1" x14ac:dyDescent="0.2">
      <c r="A277" s="10" t="s">
        <v>378</v>
      </c>
      <c r="O277" s="42">
        <f>O276-O275</f>
        <v>-952697.00999999046</v>
      </c>
      <c r="P277" s="42">
        <f t="shared" ref="P277:R277" si="108">P276-P275</f>
        <v>-11198823.900000006</v>
      </c>
      <c r="Q277" s="42">
        <f t="shared" si="108"/>
        <v>-1228846.9999999702</v>
      </c>
      <c r="R277" s="42">
        <f t="shared" si="108"/>
        <v>-5372517</v>
      </c>
      <c r="W277" s="151">
        <f t="shared" ref="W277" si="109">W276-W275</f>
        <v>-105884851.97</v>
      </c>
    </row>
    <row r="278" spans="1:23" hidden="1" x14ac:dyDescent="0.2">
      <c r="L278" s="33" t="s">
        <v>335</v>
      </c>
      <c r="O278" s="11">
        <f>O68+O75+O85+O95+O118+O214</f>
        <v>23026477</v>
      </c>
      <c r="P278" s="11">
        <f>P68+P75+P85+P95+P118+P214</f>
        <v>25506214.699999999</v>
      </c>
      <c r="Q278" s="11">
        <f>Q68+Q75+Q85+Q95+Q118+Q214</f>
        <v>20871119</v>
      </c>
      <c r="R278" s="11">
        <f>R68+R75+R85+R95+R118+R214</f>
        <v>18653683</v>
      </c>
      <c r="W278" s="151">
        <f>W68+W75+W85+W95+W118+W214</f>
        <v>25506214.699999999</v>
      </c>
    </row>
    <row r="279" spans="1:23" hidden="1" x14ac:dyDescent="0.2">
      <c r="O279" s="1">
        <v>23026477</v>
      </c>
      <c r="P279" s="1">
        <v>24242884</v>
      </c>
      <c r="Q279" s="1">
        <v>20871119</v>
      </c>
      <c r="R279" s="1">
        <v>18653683</v>
      </c>
      <c r="W279" s="152">
        <v>20871119</v>
      </c>
    </row>
    <row r="280" spans="1:23" hidden="1" x14ac:dyDescent="0.2">
      <c r="O280" s="42">
        <f>O279-O278</f>
        <v>0</v>
      </c>
      <c r="P280" s="42">
        <f t="shared" ref="P280:R280" si="110">P279-P278</f>
        <v>-1263330.6999999993</v>
      </c>
      <c r="Q280" s="42">
        <f t="shared" si="110"/>
        <v>0</v>
      </c>
      <c r="R280" s="42">
        <f t="shared" si="110"/>
        <v>0</v>
      </c>
      <c r="W280" s="151">
        <f t="shared" ref="W280" si="111">W279-W278</f>
        <v>-4635095.6999999993</v>
      </c>
    </row>
    <row r="281" spans="1:23" hidden="1" x14ac:dyDescent="0.2">
      <c r="L281" s="33" t="s">
        <v>32</v>
      </c>
      <c r="O281" s="11">
        <f>O12+O106+O173+O181+O196+O198+O206+O207+O208+O209+O210+O211+O219+O220+O221+O222</f>
        <v>21689789.68</v>
      </c>
      <c r="P281" s="11">
        <f>P12+P106+P173+P181+P196+P198+P206+P207+P208+P209+P210+P211+P219+P220+P221+P222</f>
        <v>24181049.009999998</v>
      </c>
      <c r="Q281" s="11">
        <f>Q12+Q106+Q173+Q181+Q196+Q198+Q206+Q207+Q208+Q209+Q210+Q211+Q219+Q220+Q221+Q222</f>
        <v>27422545.82</v>
      </c>
      <c r="R281" s="11">
        <f>R12+R106+R173+R181+R196+R198+R206+R207+R208+R209+R210+R211+R219+R220+R221+R222</f>
        <v>28774045.960000001</v>
      </c>
      <c r="W281" s="151">
        <f>W12+W106+W173+W181+W196+W198+W206+W207+W208+W209+W210+W211+W219+W220+W221+W222</f>
        <v>24181049.009999998</v>
      </c>
    </row>
    <row r="282" spans="1:23" hidden="1" x14ac:dyDescent="0.2">
      <c r="O282" s="1">
        <v>21689789.68</v>
      </c>
      <c r="P282" s="1">
        <v>24161715.800000001</v>
      </c>
      <c r="Q282" s="1">
        <v>23954003.670000002</v>
      </c>
      <c r="R282" s="1">
        <v>26402589.780000001</v>
      </c>
      <c r="W282" s="152">
        <v>23954003.670000002</v>
      </c>
    </row>
    <row r="283" spans="1:23" hidden="1" x14ac:dyDescent="0.2">
      <c r="O283" s="42">
        <f>O282-O281</f>
        <v>0</v>
      </c>
      <c r="P283" s="42">
        <f t="shared" ref="P283:R283" si="112">P282-P281</f>
        <v>-19333.209999997169</v>
      </c>
      <c r="Q283" s="42">
        <f t="shared" si="112"/>
        <v>-3468542.1499999985</v>
      </c>
      <c r="R283" s="42">
        <f t="shared" si="112"/>
        <v>-2371456.1799999997</v>
      </c>
      <c r="W283" s="151">
        <f t="shared" ref="W283" si="113">W282-W281</f>
        <v>-227045.33999999613</v>
      </c>
    </row>
    <row r="284" spans="1:23" hidden="1" x14ac:dyDescent="0.2">
      <c r="L284" s="33" t="s">
        <v>331</v>
      </c>
      <c r="O284" s="11"/>
      <c r="P284" s="11"/>
      <c r="Q284" s="11"/>
      <c r="R284" s="11"/>
      <c r="W284" s="151"/>
    </row>
    <row r="285" spans="1:23" x14ac:dyDescent="0.2">
      <c r="O285" s="1"/>
      <c r="P285" s="1"/>
      <c r="Q285" s="1"/>
      <c r="R285" s="1"/>
    </row>
    <row r="286" spans="1:23" x14ac:dyDescent="0.2">
      <c r="P286" s="2"/>
    </row>
    <row r="287" spans="1:23" x14ac:dyDescent="0.2">
      <c r="O287" s="11" t="e">
        <f>O246-#REF!</f>
        <v>#REF!</v>
      </c>
      <c r="P287" s="11" t="e">
        <f>P246-#REF!</f>
        <v>#REF!</v>
      </c>
      <c r="Q287" s="11" t="e">
        <f>Q246-#REF!</f>
        <v>#REF!</v>
      </c>
      <c r="R287" s="11" t="e">
        <f>R246-#REF!</f>
        <v>#REF!</v>
      </c>
      <c r="T287" s="151">
        <f>T247-T246</f>
        <v>108678.28000003099</v>
      </c>
      <c r="W287" s="151" t="e">
        <f>W246-#REF!</f>
        <v>#REF!</v>
      </c>
    </row>
    <row r="288" spans="1:23" x14ac:dyDescent="0.2">
      <c r="P288" s="2"/>
    </row>
    <row r="289" spans="23:23" x14ac:dyDescent="0.2">
      <c r="W289" s="151">
        <f>T246-W246</f>
        <v>0</v>
      </c>
    </row>
  </sheetData>
  <mergeCells count="498">
    <mergeCell ref="A1:R1"/>
    <mergeCell ref="A2:R2"/>
    <mergeCell ref="A3:R3"/>
    <mergeCell ref="A4:A7"/>
    <mergeCell ref="B4:B7"/>
    <mergeCell ref="C4:C7"/>
    <mergeCell ref="D4:I4"/>
    <mergeCell ref="J4:J7"/>
    <mergeCell ref="K4:N4"/>
    <mergeCell ref="O4:O6"/>
    <mergeCell ref="I6:I7"/>
    <mergeCell ref="Q6:Q7"/>
    <mergeCell ref="R6:R7"/>
    <mergeCell ref="A12:A13"/>
    <mergeCell ref="B12:B13"/>
    <mergeCell ref="C12:C13"/>
    <mergeCell ref="D12:D13"/>
    <mergeCell ref="E12:E13"/>
    <mergeCell ref="F12:F13"/>
    <mergeCell ref="G12:G13"/>
    <mergeCell ref="P4:P7"/>
    <mergeCell ref="Q4:R5"/>
    <mergeCell ref="D5:E5"/>
    <mergeCell ref="F5:G5"/>
    <mergeCell ref="H5:I5"/>
    <mergeCell ref="D6:D7"/>
    <mergeCell ref="E6:E7"/>
    <mergeCell ref="F6:F7"/>
    <mergeCell ref="G6:G7"/>
    <mergeCell ref="H6:H7"/>
    <mergeCell ref="H12:H13"/>
    <mergeCell ref="I12:I13"/>
    <mergeCell ref="J12:J13"/>
    <mergeCell ref="A15:A19"/>
    <mergeCell ref="B15:B19"/>
    <mergeCell ref="C15:C19"/>
    <mergeCell ref="D15:D19"/>
    <mergeCell ref="E15:E19"/>
    <mergeCell ref="F15:F19"/>
    <mergeCell ref="G15:G19"/>
    <mergeCell ref="H15:H19"/>
    <mergeCell ref="I15:I19"/>
    <mergeCell ref="J15:J19"/>
    <mergeCell ref="K15:K19"/>
    <mergeCell ref="L15:L19"/>
    <mergeCell ref="A20:A28"/>
    <mergeCell ref="B20:B28"/>
    <mergeCell ref="C20:C28"/>
    <mergeCell ref="D20:D28"/>
    <mergeCell ref="E20:E28"/>
    <mergeCell ref="A41:A49"/>
    <mergeCell ref="B41:B49"/>
    <mergeCell ref="C41:C49"/>
    <mergeCell ref="D41:D45"/>
    <mergeCell ref="E41:E49"/>
    <mergeCell ref="F41:F49"/>
    <mergeCell ref="G41:G49"/>
    <mergeCell ref="L20:L28"/>
    <mergeCell ref="A29:A40"/>
    <mergeCell ref="B29:B40"/>
    <mergeCell ref="C29:C40"/>
    <mergeCell ref="D29:D40"/>
    <mergeCell ref="E29:E40"/>
    <mergeCell ref="F29:F40"/>
    <mergeCell ref="G29:G40"/>
    <mergeCell ref="H29:H40"/>
    <mergeCell ref="F20:F28"/>
    <mergeCell ref="G20:G28"/>
    <mergeCell ref="H20:H28"/>
    <mergeCell ref="I20:I28"/>
    <mergeCell ref="J20:J28"/>
    <mergeCell ref="K20:K28"/>
    <mergeCell ref="H41:H49"/>
    <mergeCell ref="I41:I49"/>
    <mergeCell ref="J41:J49"/>
    <mergeCell ref="K42:K45"/>
    <mergeCell ref="L42:L45"/>
    <mergeCell ref="D46:D49"/>
    <mergeCell ref="K46:K49"/>
    <mergeCell ref="L46:L49"/>
    <mergeCell ref="J29:J40"/>
    <mergeCell ref="K29:K40"/>
    <mergeCell ref="L29:L40"/>
    <mergeCell ref="M52:M58"/>
    <mergeCell ref="D55:D60"/>
    <mergeCell ref="E55:E60"/>
    <mergeCell ref="M59:M60"/>
    <mergeCell ref="J51:J60"/>
    <mergeCell ref="K52:K60"/>
    <mergeCell ref="L52:L60"/>
    <mergeCell ref="I29:I40"/>
    <mergeCell ref="G51:G60"/>
    <mergeCell ref="H51:H60"/>
    <mergeCell ref="I51:I60"/>
    <mergeCell ref="A51:A60"/>
    <mergeCell ref="B51:B60"/>
    <mergeCell ref="C51:C60"/>
    <mergeCell ref="D51:D54"/>
    <mergeCell ref="E51:E54"/>
    <mergeCell ref="F51:F60"/>
    <mergeCell ref="M69:M70"/>
    <mergeCell ref="D72:D74"/>
    <mergeCell ref="E72:E74"/>
    <mergeCell ref="H72:H74"/>
    <mergeCell ref="J68:J74"/>
    <mergeCell ref="K68:K74"/>
    <mergeCell ref="L68:L74"/>
    <mergeCell ref="A61:A67"/>
    <mergeCell ref="B61:B67"/>
    <mergeCell ref="C61:C67"/>
    <mergeCell ref="D61:D67"/>
    <mergeCell ref="E61:E67"/>
    <mergeCell ref="F61:F67"/>
    <mergeCell ref="G61:G67"/>
    <mergeCell ref="H61:H67"/>
    <mergeCell ref="I61:I67"/>
    <mergeCell ref="E75:E78"/>
    <mergeCell ref="F75:F82"/>
    <mergeCell ref="G68:G74"/>
    <mergeCell ref="H68:H71"/>
    <mergeCell ref="I68:I74"/>
    <mergeCell ref="J61:J67"/>
    <mergeCell ref="A68:A74"/>
    <mergeCell ref="B68:B74"/>
    <mergeCell ref="C68:C74"/>
    <mergeCell ref="D68:D71"/>
    <mergeCell ref="E68:E71"/>
    <mergeCell ref="F68:F74"/>
    <mergeCell ref="M76:M77"/>
    <mergeCell ref="D79:D82"/>
    <mergeCell ref="E79:E82"/>
    <mergeCell ref="A83:A85"/>
    <mergeCell ref="B83:B85"/>
    <mergeCell ref="C83:C85"/>
    <mergeCell ref="F83:F85"/>
    <mergeCell ref="G83:G85"/>
    <mergeCell ref="H83:H85"/>
    <mergeCell ref="I83:I85"/>
    <mergeCell ref="G75:G82"/>
    <mergeCell ref="H75:H82"/>
    <mergeCell ref="I75:I82"/>
    <mergeCell ref="J75:J82"/>
    <mergeCell ref="K75:K82"/>
    <mergeCell ref="L75:L82"/>
    <mergeCell ref="J83:J85"/>
    <mergeCell ref="K83:K85"/>
    <mergeCell ref="D84:D85"/>
    <mergeCell ref="E84:E85"/>
    <mergeCell ref="A75:A82"/>
    <mergeCell ref="B75:B82"/>
    <mergeCell ref="C75:C82"/>
    <mergeCell ref="D75:D78"/>
    <mergeCell ref="A86:A93"/>
    <mergeCell ref="B86:B93"/>
    <mergeCell ref="C86:C93"/>
    <mergeCell ref="D86:D93"/>
    <mergeCell ref="E86:E93"/>
    <mergeCell ref="F86:F93"/>
    <mergeCell ref="L96:L97"/>
    <mergeCell ref="M96:M97"/>
    <mergeCell ref="A99:A103"/>
    <mergeCell ref="B99:B103"/>
    <mergeCell ref="C99:C103"/>
    <mergeCell ref="D99:D103"/>
    <mergeCell ref="E99:E103"/>
    <mergeCell ref="M87:M88"/>
    <mergeCell ref="M89:M90"/>
    <mergeCell ref="A94:A97"/>
    <mergeCell ref="B94:B97"/>
    <mergeCell ref="C94:C97"/>
    <mergeCell ref="D94:D97"/>
    <mergeCell ref="E94:E97"/>
    <mergeCell ref="F94:F97"/>
    <mergeCell ref="G94:G97"/>
    <mergeCell ref="H94:H97"/>
    <mergeCell ref="G86:G93"/>
    <mergeCell ref="H86:H93"/>
    <mergeCell ref="I86:I93"/>
    <mergeCell ref="J86:J93"/>
    <mergeCell ref="K86:K93"/>
    <mergeCell ref="L86:L91"/>
    <mergeCell ref="F99:F103"/>
    <mergeCell ref="G99:G103"/>
    <mergeCell ref="H99:H103"/>
    <mergeCell ref="I99:I103"/>
    <mergeCell ref="J99:J103"/>
    <mergeCell ref="K99:K103"/>
    <mergeCell ref="I94:I97"/>
    <mergeCell ref="J94:J97"/>
    <mergeCell ref="K96:K97"/>
    <mergeCell ref="K113:K116"/>
    <mergeCell ref="L113:L116"/>
    <mergeCell ref="M115:M116"/>
    <mergeCell ref="G104:G106"/>
    <mergeCell ref="H104:H106"/>
    <mergeCell ref="I104:I106"/>
    <mergeCell ref="J104:J106"/>
    <mergeCell ref="K104:K106"/>
    <mergeCell ref="A107:A112"/>
    <mergeCell ref="B107:B112"/>
    <mergeCell ref="C107:C112"/>
    <mergeCell ref="D107:D112"/>
    <mergeCell ref="E107:E112"/>
    <mergeCell ref="A104:A106"/>
    <mergeCell ref="B104:B106"/>
    <mergeCell ref="C104:C106"/>
    <mergeCell ref="D104:D106"/>
    <mergeCell ref="E104:E106"/>
    <mergeCell ref="F104:F106"/>
    <mergeCell ref="D118:D121"/>
    <mergeCell ref="E118:E121"/>
    <mergeCell ref="G125:G126"/>
    <mergeCell ref="I125:I126"/>
    <mergeCell ref="J125:J126"/>
    <mergeCell ref="K125:K126"/>
    <mergeCell ref="L107:L112"/>
    <mergeCell ref="M108:M111"/>
    <mergeCell ref="A113:A116"/>
    <mergeCell ref="B113:B116"/>
    <mergeCell ref="C113:C116"/>
    <mergeCell ref="D113:D116"/>
    <mergeCell ref="E113:E116"/>
    <mergeCell ref="F113:F116"/>
    <mergeCell ref="G113:G116"/>
    <mergeCell ref="H113:H116"/>
    <mergeCell ref="F107:F112"/>
    <mergeCell ref="G107:G112"/>
    <mergeCell ref="H107:H112"/>
    <mergeCell ref="I107:I112"/>
    <mergeCell ref="J107:J112"/>
    <mergeCell ref="K107:K112"/>
    <mergeCell ref="I113:I116"/>
    <mergeCell ref="J113:J116"/>
    <mergeCell ref="L125:L126"/>
    <mergeCell ref="M125:M126"/>
    <mergeCell ref="L118:L121"/>
    <mergeCell ref="M118:M121"/>
    <mergeCell ref="A122:A124"/>
    <mergeCell ref="L123:L124"/>
    <mergeCell ref="A125:A126"/>
    <mergeCell ref="B125:B126"/>
    <mergeCell ref="C125:C126"/>
    <mergeCell ref="D125:D126"/>
    <mergeCell ref="E125:E126"/>
    <mergeCell ref="F125:F126"/>
    <mergeCell ref="F118:F121"/>
    <mergeCell ref="G118:G121"/>
    <mergeCell ref="H118:H121"/>
    <mergeCell ref="I118:I121"/>
    <mergeCell ref="J118:J121"/>
    <mergeCell ref="K118:K121"/>
    <mergeCell ref="D122:D124"/>
    <mergeCell ref="C122:C124"/>
    <mergeCell ref="B122:B124"/>
    <mergeCell ref="A118:A121"/>
    <mergeCell ref="B118:B121"/>
    <mergeCell ref="C118:C121"/>
    <mergeCell ref="G129:G154"/>
    <mergeCell ref="J129:J154"/>
    <mergeCell ref="H130:H138"/>
    <mergeCell ref="I130:I138"/>
    <mergeCell ref="K130:K140"/>
    <mergeCell ref="L131:L140"/>
    <mergeCell ref="A129:A154"/>
    <mergeCell ref="B129:B154"/>
    <mergeCell ref="C129:C154"/>
    <mergeCell ref="D129:D141"/>
    <mergeCell ref="E129:E141"/>
    <mergeCell ref="F129:F154"/>
    <mergeCell ref="D142:D154"/>
    <mergeCell ref="E142:E154"/>
    <mergeCell ref="M131:M138"/>
    <mergeCell ref="H139:H141"/>
    <mergeCell ref="I139:I141"/>
    <mergeCell ref="K141:K144"/>
    <mergeCell ref="L141:L144"/>
    <mergeCell ref="M141:M142"/>
    <mergeCell ref="H142:H147"/>
    <mergeCell ref="I142:I147"/>
    <mergeCell ref="K145:K149"/>
    <mergeCell ref="L145:L149"/>
    <mergeCell ref="M145:M147"/>
    <mergeCell ref="H148:H154"/>
    <mergeCell ref="I148:I154"/>
    <mergeCell ref="K150:K151"/>
    <mergeCell ref="L150:L151"/>
    <mergeCell ref="M150:M151"/>
    <mergeCell ref="K152:K154"/>
    <mergeCell ref="L152:L154"/>
    <mergeCell ref="M152:M154"/>
    <mergeCell ref="I157:I158"/>
    <mergeCell ref="A159:A171"/>
    <mergeCell ref="C159:C171"/>
    <mergeCell ref="D159:D163"/>
    <mergeCell ref="E159:E163"/>
    <mergeCell ref="F159:F171"/>
    <mergeCell ref="G159:G171"/>
    <mergeCell ref="H159:H163"/>
    <mergeCell ref="I159:I171"/>
    <mergeCell ref="A157:A158"/>
    <mergeCell ref="B157:B158"/>
    <mergeCell ref="C157:C158"/>
    <mergeCell ref="D157:D158"/>
    <mergeCell ref="E157:E158"/>
    <mergeCell ref="H157:H158"/>
    <mergeCell ref="J159:J171"/>
    <mergeCell ref="D164:D171"/>
    <mergeCell ref="E164:E171"/>
    <mergeCell ref="H164:H171"/>
    <mergeCell ref="A173:A174"/>
    <mergeCell ref="B173:B174"/>
    <mergeCell ref="C173:C174"/>
    <mergeCell ref="F173:F174"/>
    <mergeCell ref="G173:G174"/>
    <mergeCell ref="H173:H174"/>
    <mergeCell ref="O173:O174"/>
    <mergeCell ref="P173:P174"/>
    <mergeCell ref="Q173:Q174"/>
    <mergeCell ref="R173:R174"/>
    <mergeCell ref="A175:A176"/>
    <mergeCell ref="B175:B176"/>
    <mergeCell ref="C175:C176"/>
    <mergeCell ref="D175:D176"/>
    <mergeCell ref="E175:E176"/>
    <mergeCell ref="F175:F176"/>
    <mergeCell ref="I173:I174"/>
    <mergeCell ref="J173:J174"/>
    <mergeCell ref="K173:K174"/>
    <mergeCell ref="L173:L174"/>
    <mergeCell ref="M173:M174"/>
    <mergeCell ref="N173:N174"/>
    <mergeCell ref="G175:G176"/>
    <mergeCell ref="H175:H176"/>
    <mergeCell ref="I175:I176"/>
    <mergeCell ref="J175:J176"/>
    <mergeCell ref="A177:A178"/>
    <mergeCell ref="B177:B178"/>
    <mergeCell ref="C177:C178"/>
    <mergeCell ref="F177:F178"/>
    <mergeCell ref="G177:G178"/>
    <mergeCell ref="P181:P182"/>
    <mergeCell ref="Q181:Q182"/>
    <mergeCell ref="R181:R182"/>
    <mergeCell ref="A184:A188"/>
    <mergeCell ref="B184:B188"/>
    <mergeCell ref="C184:C188"/>
    <mergeCell ref="D184:D185"/>
    <mergeCell ref="E184:E185"/>
    <mergeCell ref="F184:F188"/>
    <mergeCell ref="G184:G188"/>
    <mergeCell ref="J181:J182"/>
    <mergeCell ref="K181:K182"/>
    <mergeCell ref="L181:L182"/>
    <mergeCell ref="M181:M182"/>
    <mergeCell ref="N181:N182"/>
    <mergeCell ref="O181:O182"/>
    <mergeCell ref="A181:A182"/>
    <mergeCell ref="C181:C182"/>
    <mergeCell ref="F181:F182"/>
    <mergeCell ref="G181:G182"/>
    <mergeCell ref="H181:H182"/>
    <mergeCell ref="I181:I182"/>
    <mergeCell ref="H184:H188"/>
    <mergeCell ref="I184:I188"/>
    <mergeCell ref="J184:J188"/>
    <mergeCell ref="D186:D187"/>
    <mergeCell ref="E186:E187"/>
    <mergeCell ref="A191:A199"/>
    <mergeCell ref="B191:B199"/>
    <mergeCell ref="C191:C199"/>
    <mergeCell ref="D191:D199"/>
    <mergeCell ref="E191:E199"/>
    <mergeCell ref="H191:H199"/>
    <mergeCell ref="I191:I199"/>
    <mergeCell ref="F192:F193"/>
    <mergeCell ref="G192:G193"/>
    <mergeCell ref="F194:F195"/>
    <mergeCell ref="G194:G195"/>
    <mergeCell ref="F196:F197"/>
    <mergeCell ref="G196:G197"/>
    <mergeCell ref="F198:F199"/>
    <mergeCell ref="G198:G199"/>
    <mergeCell ref="G201:G203"/>
    <mergeCell ref="H201:H207"/>
    <mergeCell ref="I201:I207"/>
    <mergeCell ref="F204:F205"/>
    <mergeCell ref="G204:G205"/>
    <mergeCell ref="F206:F207"/>
    <mergeCell ref="G206:G207"/>
    <mergeCell ref="A200:A209"/>
    <mergeCell ref="B200:B209"/>
    <mergeCell ref="C200:C209"/>
    <mergeCell ref="D200:D209"/>
    <mergeCell ref="E200:E209"/>
    <mergeCell ref="F200:F203"/>
    <mergeCell ref="F208:F209"/>
    <mergeCell ref="G208:G209"/>
    <mergeCell ref="H208:H209"/>
    <mergeCell ref="I208:I209"/>
    <mergeCell ref="A212:A219"/>
    <mergeCell ref="B212:B219"/>
    <mergeCell ref="C212:C219"/>
    <mergeCell ref="D212:D219"/>
    <mergeCell ref="E212:E219"/>
    <mergeCell ref="F212:F213"/>
    <mergeCell ref="G212:G213"/>
    <mergeCell ref="H213:H214"/>
    <mergeCell ref="I213:I214"/>
    <mergeCell ref="K213:K214"/>
    <mergeCell ref="F214:F215"/>
    <mergeCell ref="G214:G215"/>
    <mergeCell ref="H215:H219"/>
    <mergeCell ref="I215:I219"/>
    <mergeCell ref="J215:J219"/>
    <mergeCell ref="K215:K219"/>
    <mergeCell ref="M220:M221"/>
    <mergeCell ref="N215:N217"/>
    <mergeCell ref="F216:F217"/>
    <mergeCell ref="G216:G217"/>
    <mergeCell ref="F218:F219"/>
    <mergeCell ref="G218:G219"/>
    <mergeCell ref="L220:L221"/>
    <mergeCell ref="A220:A221"/>
    <mergeCell ref="B220:B221"/>
    <mergeCell ref="C220:C221"/>
    <mergeCell ref="D220:D221"/>
    <mergeCell ref="E220:E221"/>
    <mergeCell ref="H225:H226"/>
    <mergeCell ref="I225:I226"/>
    <mergeCell ref="J225:J226"/>
    <mergeCell ref="K225:K226"/>
    <mergeCell ref="H220:H221"/>
    <mergeCell ref="I220:I221"/>
    <mergeCell ref="J220:J221"/>
    <mergeCell ref="K220:K221"/>
    <mergeCell ref="M227:M228"/>
    <mergeCell ref="N227:N228"/>
    <mergeCell ref="O227:O228"/>
    <mergeCell ref="P227:P228"/>
    <mergeCell ref="Q227:Q228"/>
    <mergeCell ref="R227:R228"/>
    <mergeCell ref="R225:R226"/>
    <mergeCell ref="A227:A228"/>
    <mergeCell ref="C227:C228"/>
    <mergeCell ref="F227:F228"/>
    <mergeCell ref="G227:G228"/>
    <mergeCell ref="H227:H228"/>
    <mergeCell ref="I227:I228"/>
    <mergeCell ref="J227:J228"/>
    <mergeCell ref="K227:K228"/>
    <mergeCell ref="L227:L228"/>
    <mergeCell ref="L225:L226"/>
    <mergeCell ref="M225:M226"/>
    <mergeCell ref="N225:N226"/>
    <mergeCell ref="O225:O226"/>
    <mergeCell ref="P225:P226"/>
    <mergeCell ref="Q225:Q226"/>
    <mergeCell ref="A225:A226"/>
    <mergeCell ref="C225:C226"/>
    <mergeCell ref="A234:A235"/>
    <mergeCell ref="C234:C235"/>
    <mergeCell ref="F234:F235"/>
    <mergeCell ref="G234:G235"/>
    <mergeCell ref="H234:H235"/>
    <mergeCell ref="I234:I235"/>
    <mergeCell ref="J234:J235"/>
    <mergeCell ref="J229:J230"/>
    <mergeCell ref="K229:K230"/>
    <mergeCell ref="A229:A230"/>
    <mergeCell ref="C229:C230"/>
    <mergeCell ref="F229:F230"/>
    <mergeCell ref="G229:G230"/>
    <mergeCell ref="H229:H230"/>
    <mergeCell ref="I229:I230"/>
    <mergeCell ref="W6:W7"/>
    <mergeCell ref="W173:W174"/>
    <mergeCell ref="W181:W182"/>
    <mergeCell ref="W225:W226"/>
    <mergeCell ref="W227:W228"/>
    <mergeCell ref="W229:W230"/>
    <mergeCell ref="W234:W235"/>
    <mergeCell ref="H122:H124"/>
    <mergeCell ref="E122:E124"/>
    <mergeCell ref="Q234:Q235"/>
    <mergeCell ref="R234:R235"/>
    <mergeCell ref="K234:K235"/>
    <mergeCell ref="L234:L235"/>
    <mergeCell ref="M234:M235"/>
    <mergeCell ref="N234:N235"/>
    <mergeCell ref="O234:O235"/>
    <mergeCell ref="P234:P235"/>
    <mergeCell ref="P229:P230"/>
    <mergeCell ref="Q229:Q230"/>
    <mergeCell ref="R229:R230"/>
    <mergeCell ref="L229:L230"/>
    <mergeCell ref="M229:M230"/>
    <mergeCell ref="N229:N230"/>
    <mergeCell ref="O229:O230"/>
  </mergeCells>
  <pageMargins left="0" right="0" top="0" bottom="0"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01.01.23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2023-01-18T06:51:56Z</dcterms:modified>
</cp:coreProperties>
</file>