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Осн.характеристики" sheetId="1" r:id="rId1"/>
    <sheet name="Лист1" sheetId="4" state="hidden" r:id="rId2"/>
    <sheet name="Лист2" sheetId="5" r:id="rId3"/>
    <sheet name="Лист3" sheetId="6" r:id="rId4"/>
  </sheets>
  <definedNames>
    <definedName name="_xlnm.Print_Titles" localSheetId="1">Лист1!$4:$7</definedName>
    <definedName name="_xlnm.Print_Titles" localSheetId="0">Осн.характеристики!$5:$6</definedName>
  </definedNames>
  <calcPr calcId="145621"/>
</workbook>
</file>

<file path=xl/calcChain.xml><?xml version="1.0" encoding="utf-8"?>
<calcChain xmlns="http://schemas.openxmlformats.org/spreadsheetml/2006/main">
  <c r="E30" i="1" l="1"/>
  <c r="D30" i="1"/>
  <c r="C30" i="1"/>
  <c r="D11" i="6" l="1"/>
  <c r="D9" i="6"/>
  <c r="D10" i="6"/>
  <c r="D7" i="6"/>
  <c r="D8" i="6"/>
  <c r="D4" i="6"/>
  <c r="D5" i="6"/>
  <c r="D6" i="6"/>
  <c r="D3" i="6"/>
  <c r="C12" i="6"/>
  <c r="B12" i="6"/>
  <c r="H11" i="1"/>
  <c r="G11" i="1"/>
  <c r="F11" i="1"/>
  <c r="H10" i="1"/>
  <c r="G10" i="1"/>
  <c r="F10" i="1"/>
  <c r="L10" i="5"/>
  <c r="C10" i="5" s="1"/>
  <c r="M10" i="5"/>
  <c r="K10" i="5"/>
  <c r="B10" i="5" s="1"/>
  <c r="L3" i="5"/>
  <c r="M3" i="5"/>
  <c r="D3" i="5" s="1"/>
  <c r="K3" i="5"/>
  <c r="D12" i="5"/>
  <c r="C12" i="5"/>
  <c r="B12" i="5"/>
  <c r="D10" i="5"/>
  <c r="D9" i="5"/>
  <c r="C9" i="5"/>
  <c r="B9" i="5"/>
  <c r="D7" i="5"/>
  <c r="C7" i="5"/>
  <c r="B7" i="5"/>
  <c r="D6" i="5"/>
  <c r="C6" i="5"/>
  <c r="B6" i="5"/>
  <c r="D5" i="5"/>
  <c r="C5" i="5"/>
  <c r="B5" i="5"/>
  <c r="C3" i="5"/>
  <c r="B3" i="5"/>
  <c r="C2" i="5"/>
  <c r="D2" i="5"/>
  <c r="B2" i="5"/>
  <c r="E24" i="1"/>
  <c r="D24" i="1"/>
  <c r="M2" i="5"/>
  <c r="K2" i="5"/>
  <c r="F19" i="5"/>
  <c r="L2" i="5" s="1"/>
  <c r="G19" i="5"/>
  <c r="E19" i="5"/>
  <c r="H28" i="1"/>
  <c r="G28" i="1"/>
  <c r="F28" i="1"/>
  <c r="C25" i="4"/>
  <c r="O26" i="4"/>
  <c r="P26" i="4"/>
  <c r="Q26" i="4"/>
  <c r="O27" i="4"/>
  <c r="P27" i="4"/>
  <c r="Q27" i="4"/>
  <c r="O28" i="4"/>
  <c r="P28" i="4"/>
  <c r="Q28" i="4"/>
  <c r="O29" i="4"/>
  <c r="P29" i="4"/>
  <c r="Q29" i="4"/>
  <c r="O30" i="4"/>
  <c r="P30" i="4"/>
  <c r="Q30" i="4"/>
  <c r="O31" i="4"/>
  <c r="P31" i="4"/>
  <c r="Q31" i="4"/>
  <c r="O32" i="4"/>
  <c r="P32" i="4"/>
  <c r="Q32" i="4"/>
  <c r="O33" i="4"/>
  <c r="P33" i="4"/>
  <c r="Q33" i="4"/>
  <c r="O34" i="4"/>
  <c r="P34" i="4"/>
  <c r="Q34" i="4"/>
  <c r="O35" i="4"/>
  <c r="P35" i="4"/>
  <c r="Q35" i="4"/>
  <c r="O36" i="4"/>
  <c r="P36" i="4"/>
  <c r="Q36" i="4"/>
  <c r="O37" i="4"/>
  <c r="P37" i="4"/>
  <c r="Q37" i="4"/>
  <c r="O38" i="4"/>
  <c r="P38" i="4"/>
  <c r="Q38" i="4"/>
  <c r="O39" i="4"/>
  <c r="P39" i="4"/>
  <c r="Q39" i="4"/>
  <c r="O40" i="4"/>
  <c r="P40" i="4"/>
  <c r="Q40" i="4"/>
  <c r="O41" i="4"/>
  <c r="P41" i="4"/>
  <c r="Q41" i="4"/>
  <c r="O42" i="4"/>
  <c r="P42" i="4"/>
  <c r="Q42" i="4"/>
  <c r="O43" i="4"/>
  <c r="P43" i="4"/>
  <c r="Q43" i="4"/>
  <c r="O44" i="4"/>
  <c r="P44" i="4"/>
  <c r="Q44" i="4"/>
  <c r="O45" i="4"/>
  <c r="P45" i="4"/>
  <c r="Q45" i="4"/>
  <c r="O46" i="4"/>
  <c r="P46" i="4"/>
  <c r="Q46" i="4"/>
  <c r="O47" i="4"/>
  <c r="P47" i="4"/>
  <c r="Q47" i="4"/>
  <c r="P25" i="4"/>
  <c r="Q25" i="4"/>
  <c r="O25" i="4"/>
  <c r="T32" i="4"/>
  <c r="S32" i="4"/>
  <c r="R32" i="4"/>
  <c r="H27" i="1"/>
  <c r="C9" i="4"/>
  <c r="C47" i="4"/>
  <c r="D47" i="4"/>
  <c r="E47" i="4"/>
  <c r="F47" i="4"/>
  <c r="G47" i="4"/>
  <c r="H47" i="4"/>
  <c r="I47" i="4"/>
  <c r="J47" i="4"/>
  <c r="K47" i="4"/>
  <c r="K41" i="4"/>
  <c r="J41" i="4"/>
  <c r="I41" i="4"/>
  <c r="G33" i="4"/>
  <c r="H33" i="4"/>
  <c r="F33" i="4"/>
  <c r="G26" i="4"/>
  <c r="H26" i="4"/>
  <c r="F26" i="4"/>
  <c r="J26" i="4"/>
  <c r="K26" i="4"/>
  <c r="I26" i="4"/>
  <c r="F28" i="4"/>
  <c r="G28" i="4"/>
  <c r="H28" i="4"/>
  <c r="I28" i="4"/>
  <c r="J28" i="4"/>
  <c r="K28" i="4"/>
  <c r="G31" i="4"/>
  <c r="H31" i="4"/>
  <c r="F31" i="4"/>
  <c r="AD26" i="4"/>
  <c r="AD47" i="4" s="1"/>
  <c r="AE26" i="4"/>
  <c r="AF26" i="4"/>
  <c r="AF25" i="4"/>
  <c r="AE25" i="4"/>
  <c r="AF30" i="4"/>
  <c r="AE30" i="4"/>
  <c r="AD30" i="4"/>
  <c r="AF21" i="4"/>
  <c r="AE21" i="4"/>
  <c r="AD21" i="4"/>
  <c r="AF69" i="4"/>
  <c r="AE69" i="4"/>
  <c r="AC69" i="4"/>
  <c r="AB69" i="4"/>
  <c r="Z69" i="4"/>
  <c r="Y69" i="4"/>
  <c r="W69" i="4"/>
  <c r="V69" i="4"/>
  <c r="T69" i="4"/>
  <c r="S69" i="4"/>
  <c r="AA41" i="4"/>
  <c r="AB41" i="4"/>
  <c r="AB47" i="4" s="1"/>
  <c r="AC41" i="4"/>
  <c r="AD41" i="4"/>
  <c r="AE41" i="4"/>
  <c r="AF41" i="4"/>
  <c r="AB26" i="4"/>
  <c r="AC26" i="4"/>
  <c r="AA26" i="4"/>
  <c r="AB28" i="4"/>
  <c r="AC28" i="4"/>
  <c r="AC47" i="4" s="1"/>
  <c r="AD28" i="4"/>
  <c r="AE28" i="4"/>
  <c r="AF28" i="4"/>
  <c r="R41" i="4"/>
  <c r="S41" i="4"/>
  <c r="S47" i="4" s="1"/>
  <c r="T41" i="4"/>
  <c r="R28" i="4"/>
  <c r="S28" i="4"/>
  <c r="T28" i="4"/>
  <c r="R26" i="4"/>
  <c r="S26" i="4"/>
  <c r="T26" i="4"/>
  <c r="L47" i="4"/>
  <c r="M47" i="4"/>
  <c r="N47" i="4"/>
  <c r="T47" i="4"/>
  <c r="X47" i="4"/>
  <c r="Y47" i="4"/>
  <c r="Z47" i="4"/>
  <c r="AA47" i="4"/>
  <c r="AE47" i="4"/>
  <c r="AF47" i="4"/>
  <c r="V47" i="4"/>
  <c r="W47" i="4"/>
  <c r="U47" i="4"/>
  <c r="U41" i="4"/>
  <c r="V41" i="4"/>
  <c r="W41" i="4"/>
  <c r="W28" i="4"/>
  <c r="V28" i="4"/>
  <c r="U28" i="4"/>
  <c r="V26" i="4"/>
  <c r="W26" i="4"/>
  <c r="U26" i="4"/>
  <c r="Y41" i="4"/>
  <c r="Z41" i="4"/>
  <c r="X41" i="4"/>
  <c r="Y26" i="4"/>
  <c r="Z26" i="4"/>
  <c r="X26" i="4"/>
  <c r="Y28" i="4"/>
  <c r="Z28" i="4"/>
  <c r="AA28" i="4"/>
  <c r="X28" i="4"/>
  <c r="D12" i="6" l="1"/>
  <c r="B8" i="5"/>
  <c r="C11" i="5"/>
  <c r="C4" i="5"/>
  <c r="B11" i="5"/>
  <c r="D11" i="5"/>
  <c r="C8" i="5"/>
  <c r="D8" i="5"/>
  <c r="D4" i="5"/>
  <c r="B4" i="5"/>
  <c r="C13" i="5"/>
  <c r="D13" i="5"/>
  <c r="B13" i="5"/>
  <c r="R47" i="4"/>
  <c r="J46" i="4" l="1"/>
  <c r="K46" i="4"/>
  <c r="L46" i="4"/>
  <c r="M46" i="4"/>
  <c r="M68" i="4" s="1"/>
  <c r="N46" i="4"/>
  <c r="N68" i="4" s="1"/>
  <c r="R46" i="4"/>
  <c r="S46" i="4"/>
  <c r="T46" i="4"/>
  <c r="U46" i="4"/>
  <c r="V46" i="4"/>
  <c r="V68" i="4" s="1"/>
  <c r="W46" i="4"/>
  <c r="W68" i="4" s="1"/>
  <c r="X46" i="4"/>
  <c r="Y46" i="4"/>
  <c r="Y68" i="4" s="1"/>
  <c r="Z46" i="4"/>
  <c r="Z68" i="4" s="1"/>
  <c r="AA46" i="4"/>
  <c r="AB46" i="4"/>
  <c r="AB68" i="4" s="1"/>
  <c r="AC46" i="4"/>
  <c r="AC68" i="4" s="1"/>
  <c r="AD46" i="4"/>
  <c r="AE46" i="4"/>
  <c r="AF46" i="4"/>
  <c r="M28" i="4"/>
  <c r="N28" i="4"/>
  <c r="L28" i="4"/>
  <c r="M26" i="4"/>
  <c r="N26" i="4"/>
  <c r="L26" i="4"/>
  <c r="I46" i="4"/>
  <c r="I21" i="4"/>
  <c r="J21" i="4"/>
  <c r="K21" i="4"/>
  <c r="N10" i="4"/>
  <c r="M10" i="4"/>
  <c r="L10" i="4"/>
  <c r="L8" i="4"/>
  <c r="T67" i="4" l="1"/>
  <c r="T68" i="4"/>
  <c r="S67" i="4"/>
  <c r="S68" i="4"/>
  <c r="AF67" i="4"/>
  <c r="AF68" i="4"/>
  <c r="AE67" i="4"/>
  <c r="AE68" i="4"/>
  <c r="G27" i="1"/>
  <c r="F27" i="1"/>
  <c r="K21" i="1" l="1"/>
  <c r="J21" i="1"/>
  <c r="I21" i="1"/>
  <c r="H21" i="1"/>
  <c r="F21" i="1"/>
  <c r="G21" i="1"/>
  <c r="E10" i="1"/>
  <c r="D10" i="1"/>
  <c r="C10" i="1"/>
  <c r="K27" i="1"/>
  <c r="J27" i="1"/>
  <c r="I27" i="1"/>
  <c r="E27" i="1"/>
  <c r="D27" i="1"/>
  <c r="C27" i="1"/>
  <c r="F26" i="1" l="1"/>
  <c r="J28" i="1" l="1"/>
  <c r="K28" i="1"/>
  <c r="C44" i="4"/>
  <c r="K31" i="1"/>
  <c r="J31" i="1"/>
  <c r="K25" i="1"/>
  <c r="J25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J9" i="1"/>
  <c r="K9" i="1"/>
  <c r="I9" i="1"/>
  <c r="I31" i="1"/>
  <c r="I28" i="1"/>
  <c r="I25" i="1"/>
  <c r="I24" i="1"/>
  <c r="C27" i="4" l="1"/>
  <c r="D27" i="4"/>
  <c r="E27" i="4"/>
  <c r="C29" i="4"/>
  <c r="D29" i="4"/>
  <c r="E29" i="4"/>
  <c r="C30" i="4"/>
  <c r="D30" i="4"/>
  <c r="E30" i="4"/>
  <c r="C32" i="4"/>
  <c r="C34" i="4"/>
  <c r="D34" i="4"/>
  <c r="E34" i="4"/>
  <c r="C35" i="4"/>
  <c r="D35" i="4"/>
  <c r="E35" i="4"/>
  <c r="C36" i="4"/>
  <c r="D36" i="4"/>
  <c r="E36" i="4"/>
  <c r="C38" i="4"/>
  <c r="D38" i="4"/>
  <c r="E38" i="4"/>
  <c r="C39" i="4"/>
  <c r="D39" i="4"/>
  <c r="E39" i="4"/>
  <c r="C40" i="4"/>
  <c r="D40" i="4"/>
  <c r="E40" i="4"/>
  <c r="C42" i="4"/>
  <c r="D42" i="4"/>
  <c r="E42" i="4"/>
  <c r="C43" i="4"/>
  <c r="D43" i="4"/>
  <c r="E43" i="4"/>
  <c r="D44" i="4"/>
  <c r="E44" i="4"/>
  <c r="C45" i="4"/>
  <c r="D45" i="4"/>
  <c r="E45" i="4"/>
  <c r="E25" i="4"/>
  <c r="D25" i="4"/>
  <c r="C10" i="4"/>
  <c r="D10" i="4"/>
  <c r="E10" i="4"/>
  <c r="C11" i="4"/>
  <c r="D11" i="4"/>
  <c r="E11" i="4"/>
  <c r="C12" i="4"/>
  <c r="D12" i="4"/>
  <c r="E12" i="4"/>
  <c r="C13" i="4"/>
  <c r="D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C20" i="4"/>
  <c r="D20" i="4"/>
  <c r="E20" i="4"/>
  <c r="C21" i="4"/>
  <c r="D21" i="4"/>
  <c r="E21" i="4"/>
  <c r="D9" i="4"/>
  <c r="E9" i="4"/>
  <c r="C8" i="4" l="1"/>
  <c r="F8" i="4" l="1"/>
  <c r="G8" i="4"/>
  <c r="H8" i="4"/>
  <c r="H23" i="4" s="1"/>
  <c r="I8" i="4"/>
  <c r="F23" i="4"/>
  <c r="G23" i="4"/>
  <c r="I23" i="4"/>
  <c r="J8" i="4"/>
  <c r="J23" i="4" s="1"/>
  <c r="K8" i="4"/>
  <c r="K23" i="4" s="1"/>
  <c r="L23" i="4"/>
  <c r="M8" i="4"/>
  <c r="M23" i="4" s="1"/>
  <c r="N8" i="4"/>
  <c r="N23" i="4" s="1"/>
  <c r="N48" i="4" l="1"/>
  <c r="L48" i="4"/>
  <c r="M48" i="4"/>
  <c r="J25" i="4"/>
  <c r="J48" i="4" s="1"/>
  <c r="K25" i="4"/>
  <c r="K48" i="4" s="1"/>
  <c r="I25" i="4"/>
  <c r="I48" i="4" s="1"/>
  <c r="G32" i="4" l="1"/>
  <c r="G46" i="4" s="1"/>
  <c r="G48" i="4" s="1"/>
  <c r="H32" i="4"/>
  <c r="H46" i="4" s="1"/>
  <c r="H48" i="4" s="1"/>
  <c r="F32" i="4"/>
  <c r="F46" i="4" s="1"/>
  <c r="F48" i="4" s="1"/>
  <c r="D32" i="4"/>
  <c r="E32" i="4" l="1"/>
  <c r="E46" i="4" s="1"/>
  <c r="E50" i="4" s="1"/>
  <c r="Z8" i="4"/>
  <c r="Z23" i="4" s="1"/>
  <c r="Y8" i="4"/>
  <c r="Y23" i="4" s="1"/>
  <c r="X8" i="4"/>
  <c r="X23" i="4" s="1"/>
  <c r="AD50" i="4"/>
  <c r="AF8" i="4"/>
  <c r="AF23" i="4" s="1"/>
  <c r="AE8" i="4"/>
  <c r="AE23" i="4" s="1"/>
  <c r="AD8" i="4"/>
  <c r="AD23" i="4" s="1"/>
  <c r="AA50" i="4"/>
  <c r="AC8" i="4"/>
  <c r="AC23" i="4" s="1"/>
  <c r="AB8" i="4"/>
  <c r="AB23" i="4" s="1"/>
  <c r="AA8" i="4"/>
  <c r="AA23" i="4" s="1"/>
  <c r="X50" i="4"/>
  <c r="U50" i="4"/>
  <c r="W8" i="4"/>
  <c r="W23" i="4" s="1"/>
  <c r="V8" i="4"/>
  <c r="V23" i="4" s="1"/>
  <c r="U8" i="4"/>
  <c r="U23" i="4" s="1"/>
  <c r="R50" i="4"/>
  <c r="T8" i="4"/>
  <c r="T23" i="4" s="1"/>
  <c r="S8" i="4"/>
  <c r="S23" i="4" s="1"/>
  <c r="R8" i="4"/>
  <c r="R23" i="4" l="1"/>
  <c r="R48" i="4" s="1"/>
  <c r="F67" i="4"/>
  <c r="T50" i="4"/>
  <c r="S50" i="4"/>
  <c r="AF50" i="4"/>
  <c r="W50" i="4"/>
  <c r="W67" i="4"/>
  <c r="AB50" i="4"/>
  <c r="AB67" i="4"/>
  <c r="S48" i="4"/>
  <c r="AC50" i="4"/>
  <c r="AC67" i="4"/>
  <c r="T48" i="4"/>
  <c r="AE50" i="4"/>
  <c r="V50" i="4"/>
  <c r="V67" i="4"/>
  <c r="Z50" i="4"/>
  <c r="Z67" i="4"/>
  <c r="Y50" i="4"/>
  <c r="Y67" i="4"/>
  <c r="Z48" i="4"/>
  <c r="Y48" i="4"/>
  <c r="X48" i="4"/>
  <c r="W48" i="4"/>
  <c r="V48" i="4"/>
  <c r="U48" i="4"/>
  <c r="AA48" i="4"/>
  <c r="AB48" i="4"/>
  <c r="AC48" i="4"/>
  <c r="AF48" i="4"/>
  <c r="AE48" i="4"/>
  <c r="AD48" i="4"/>
  <c r="C46" i="4"/>
  <c r="C50" i="4" s="1"/>
  <c r="E8" i="4"/>
  <c r="E23" i="4" s="1"/>
  <c r="E48" i="4" s="1"/>
  <c r="D8" i="4"/>
  <c r="D23" i="4" s="1"/>
  <c r="C23" i="4"/>
  <c r="D46" i="4"/>
  <c r="D50" i="4" s="1"/>
  <c r="C48" i="4" l="1"/>
  <c r="D48" i="4"/>
  <c r="J42" i="1" l="1"/>
  <c r="K42" i="1"/>
  <c r="J44" i="1"/>
  <c r="K44" i="1"/>
  <c r="I44" i="1"/>
  <c r="K43" i="1"/>
  <c r="J43" i="1"/>
  <c r="I43" i="1"/>
  <c r="I42" i="1" s="1"/>
  <c r="F43" i="1" l="1"/>
  <c r="G43" i="1"/>
  <c r="H43" i="1"/>
  <c r="K53" i="1" s="1"/>
  <c r="J53" i="1" l="1"/>
  <c r="I53" i="1"/>
  <c r="J24" i="1" l="1"/>
  <c r="K24" i="1"/>
  <c r="J38" i="1"/>
  <c r="K38" i="1"/>
  <c r="I38" i="1"/>
  <c r="F39" i="1"/>
  <c r="F42" i="1" s="1"/>
  <c r="G39" i="1"/>
  <c r="G42" i="1" s="1"/>
  <c r="H39" i="1"/>
  <c r="H42" i="1" s="1"/>
  <c r="D39" i="1" l="1"/>
  <c r="D42" i="1" s="1"/>
  <c r="E39" i="1"/>
  <c r="E42" i="1" s="1"/>
  <c r="C39" i="1"/>
  <c r="C42" i="1" s="1"/>
  <c r="J34" i="1" l="1"/>
  <c r="K34" i="1"/>
  <c r="I34" i="1"/>
  <c r="D8" i="1" l="1"/>
  <c r="D22" i="1" s="1"/>
  <c r="E8" i="1"/>
  <c r="E22" i="1" s="1"/>
  <c r="F8" i="1"/>
  <c r="F22" i="1" s="1"/>
  <c r="G8" i="1"/>
  <c r="G22" i="1" s="1"/>
  <c r="H8" i="1"/>
  <c r="H22" i="1" s="1"/>
  <c r="C8" i="1"/>
  <c r="C22" i="1" s="1"/>
  <c r="I26" i="1"/>
  <c r="J26" i="1"/>
  <c r="K26" i="1"/>
  <c r="I29" i="1"/>
  <c r="J29" i="1"/>
  <c r="K29" i="1"/>
  <c r="I30" i="1"/>
  <c r="J30" i="1"/>
  <c r="K30" i="1"/>
  <c r="I32" i="1"/>
  <c r="J32" i="1"/>
  <c r="K32" i="1"/>
  <c r="I33" i="1"/>
  <c r="J33" i="1"/>
  <c r="K33" i="1"/>
  <c r="I35" i="1"/>
  <c r="J35" i="1"/>
  <c r="K35" i="1"/>
  <c r="I36" i="1"/>
  <c r="J36" i="1"/>
  <c r="K36" i="1"/>
  <c r="I39" i="1" l="1"/>
  <c r="J39" i="1"/>
  <c r="J56" i="1" s="1"/>
  <c r="I56" i="1"/>
  <c r="K39" i="1"/>
  <c r="K56" i="1" s="1"/>
  <c r="C40" i="1"/>
  <c r="H40" i="1"/>
  <c r="G40" i="1"/>
  <c r="F40" i="1"/>
  <c r="D40" i="1"/>
  <c r="E40" i="1"/>
  <c r="I8" i="1"/>
  <c r="I22" i="1" s="1"/>
  <c r="K8" i="1"/>
  <c r="K22" i="1" s="1"/>
  <c r="J8" i="1"/>
  <c r="J22" i="1" s="1"/>
  <c r="K40" i="1" l="1"/>
  <c r="J40" i="1"/>
  <c r="I40" i="1"/>
</calcChain>
</file>

<file path=xl/sharedStrings.xml><?xml version="1.0" encoding="utf-8"?>
<sst xmlns="http://schemas.openxmlformats.org/spreadsheetml/2006/main" count="222" uniqueCount="122">
  <si>
    <t xml:space="preserve">Код бюджетной классификации </t>
  </si>
  <si>
    <t xml:space="preserve">Наименование </t>
  </si>
  <si>
    <t>1 00 00000 00 0000 000</t>
  </si>
  <si>
    <t xml:space="preserve">НАЛОГОВЫЕ И НЕНАЛОГОВЫЕ ДОХОДЫ                                 </t>
  </si>
  <si>
    <t>1 01 00000 00 0000 000</t>
  </si>
  <si>
    <t>НАЛОГИ НА ПРИБЫЛЬ, ДОХОДЫ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</si>
  <si>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</si>
  <si>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</si>
  <si>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</si>
  <si>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</si>
  <si>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</si>
  <si>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</si>
  <si>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</si>
  <si>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</si>
  <si>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</si>
  <si>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</si>
  <si>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</si>
  <si>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</si>
  <si>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</si>
  <si>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</si>
  <si>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</si>
  <si>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</si>
  <si>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</si>
  <si>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</si>
  <si>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</si>
  <si>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</si>
  <si>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</si>
  <si>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</si>
  <si>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</si>
  <si>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</si>
  <si>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ИТОГО ДОХОДОВ</t>
  </si>
  <si>
    <t>РАСХОДЫ</t>
  </si>
  <si>
    <t>0100</t>
  </si>
  <si>
    <t>ОБЩЕГОСУДАРСТВЕННЫЕ ВОПРОСЫ</t>
  </si>
  <si>
    <t>0200</t>
  </si>
  <si>
    <t>НАЦИОНАЛЬНАЯ ОБОРОНА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</si>
  <si>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</si>
  <si>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</si>
  <si>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</si>
  <si>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</si>
  <si>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</si>
  <si>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</si>
  <si>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</si>
  <si>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</si>
  <si>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</si>
  <si>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</si>
  <si>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</si>
  <si>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</si>
  <si>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</si>
  <si>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</si>
  <si>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</si>
  <si>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</si>
  <si>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</si>
  <si>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</si>
  <si>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</si>
  <si>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</si>
  <si>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</si>
  <si>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</si>
  <si>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1400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</si>
  <si>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</si>
  <si>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ИТОГО РАСХОДОВ</t>
  </si>
  <si>
    <t>ДЕФИЦИТ БЮДЖЕТА (-), ПРОФИЦИТ БЮДЖЕТА (+)</t>
  </si>
  <si>
    <t>Бюджет муниципального района</t>
  </si>
  <si>
    <t>Бюджеты поселений</t>
  </si>
  <si>
    <t>Консолидированный бюджет района</t>
  </si>
  <si>
    <t>2020 год</t>
  </si>
  <si>
    <t>рублей</t>
  </si>
  <si>
    <t>9999</t>
  </si>
  <si>
    <t>УСЛОВНО УТВЕРЖДЕННЫЕ РАСХОДЫ</t>
  </si>
  <si>
    <t>2021 год</t>
  </si>
  <si>
    <t>ПРОГНОЗ ОСНОВНЫХ ХАРАКТЕРИСТИК КОНСОЛИДИРОВАННОГО БЮДЖЕТА КЛЕТНЯНСКОГО РАЙОНА НА 2020 ГОД И НА ПЛАНОВЫЙ ПЕРИОД 2021 И 2022 ГОДОВ</t>
  </si>
  <si>
    <t>2022 год</t>
  </si>
  <si>
    <t>Акуличи</t>
  </si>
  <si>
    <t>от района</t>
  </si>
  <si>
    <t>в район</t>
  </si>
  <si>
    <t>Всего</t>
  </si>
  <si>
    <t>Клетня</t>
  </si>
  <si>
    <t>Лутна</t>
  </si>
  <si>
    <t>Мирный</t>
  </si>
  <si>
    <t>Мужиново</t>
  </si>
  <si>
    <t>Надва</t>
  </si>
  <si>
    <t xml:space="preserve"> </t>
  </si>
  <si>
    <t>Внутренние обороты район</t>
  </si>
  <si>
    <t>Внутренние обороты поселения</t>
  </si>
  <si>
    <t>Целевые МБТ</t>
  </si>
  <si>
    <t>ВУС</t>
  </si>
  <si>
    <t>дороги</t>
  </si>
  <si>
    <t>жилье</t>
  </si>
  <si>
    <t>вода</t>
  </si>
  <si>
    <t>УУР</t>
  </si>
  <si>
    <t>Наименование </t>
  </si>
  <si>
    <t>2020 год,  тыс.руб</t>
  </si>
  <si>
    <t>2021 год, тыс.руб</t>
  </si>
  <si>
    <t>2022 год, тыс.руб</t>
  </si>
  <si>
    <t>Валовый  муниципальный продукт</t>
  </si>
  <si>
    <t>Доходы консолидированного бюджета</t>
  </si>
  <si>
    <t>Удельный вес доходов в ВМП,%</t>
  </si>
  <si>
    <t>налоговые и неналоговые доходы:</t>
  </si>
  <si>
    <t>налог на доходы физических лиц</t>
  </si>
  <si>
    <t>акцизы</t>
  </si>
  <si>
    <t>Удельный вес налоговых и неналоговых  доходов в ВМП,%</t>
  </si>
  <si>
    <t>безвозмездные поступления</t>
  </si>
  <si>
    <t>Расходы консолидированного  бюджета</t>
  </si>
  <si>
    <t>Удельный вес расходов в ВМП,%</t>
  </si>
  <si>
    <t>в том числе расходы дорожного фонда Клетнянского района</t>
  </si>
  <si>
    <t>Дефицит / профицит</t>
  </si>
  <si>
    <t>-</t>
  </si>
  <si>
    <t>Наименование  субсидии</t>
  </si>
  <si>
    <t>Сумма на 2019 год, рублей</t>
  </si>
  <si>
    <t>Сумма на 2020 год, рублей</t>
  </si>
  <si>
    <t>Отклонение</t>
  </si>
  <si>
    <t xml:space="preserve"> (+;-) рублей</t>
  </si>
  <si>
    <t>Распределение субсидий бюджетам муниципальных образований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</si>
  <si>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>Распределение субсидий бюджетам  муниципальных районов (городских округов) на государственную поддержку отрасли культуры для муниципальных образовательных организаций в рамках регионального проекта "Культурная среда" государственной программы "Развитие культуры и туризма в Брянской области"</t>
  </si>
  <si>
    <t>Распределение субсидий бюджетам муниципальных районов (городских округов)  на обеспечение развития и укрепление материально-технической базы домов культуры в населенных пунктах с числом жителей до 50 тысяч человек  в рамках государственной программы "Развитие культуры и туризма в Брянской области"</t>
  </si>
  <si>
    <t>Распределение субсидий бюджетам муниципальных районов (городских округов) на реализацию мероприятий по проведению оздоровительной кампании детей в рамках государственной программы "Развитие образования и науки Брянской области"</t>
  </si>
  <si>
    <t>Распределение субсидий бюджетам муниципальных районов (городских округов) на капитальный ремонт кровель муниципальных образовательных организаций в рамках государственной программы "Развитие образования и науки Брянской области" в сфере образования</t>
  </si>
  <si>
    <t>Распределение субсидий бюджетам муниципальных образований на софинансирование объектов капитальных вложений муниципальной собственности в рамках подпрограммы "Развитие социальной и инженерной инфраструктуры Брянской области" государственной программы "Обеспечение реализации государственных полномочий в области строительства, архитектуры и развитие дорожного хозяйства Брянской области"</t>
  </si>
  <si>
    <t>Распределение субсидий бюджетам муниципальных образований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</si>
  <si>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Распределение субсидий бюджетам муниципальных районов (городских округов) на реализацию мероприятий по обеспечению жильем молодых семей в рамках подпрограммы "Обеспечение жильем молодых семей в Брянской области" государственной программы "Социальная и демографическая политика Брянской области" </t>
  </si>
  <si>
    <t xml:space="preserve">Распределение субсидий  бюджетам муниципальных районов (городских округов) на приобретение спортивного оборудования и инвентаря для приведения организаций спортивной подготовки в нормативное состояние в рамках регионального проекта "Спорт - норма жизни" подпрограммы "Развитие спорта высших достижений и системы подготовки спортивного резерва"  государственной программы "Развитие физической культуры и спорта Брянской области"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</si>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</sst>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_р_."/>
    <numFmt numFmtId="166" formatCode="0.0"/>
  </numFmts>
  <fonts count="1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Garamond"/>
      <family val="1"/>
      <charset val="204"/>
    </font>
    <font>
      <b/>
      <sz val="10"/>
      <color rgb="FF000000"/>
      <name val="Garamond"/>
      <family val="1"/>
      <charset val="204"/>
    </font>
    <font>
      <sz val="11"/>
      <color rgb="FF000000"/>
      <name val="Garamond"/>
      <family val="1"/>
      <charset val="204"/>
    </font>
    <font>
      <b/>
      <sz val="11"/>
      <color rgb="FF000000"/>
      <name val="Garamond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164" fontId="2" fillId="5" borderId="2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 wrapText="1"/>
    </xf>
    <xf numFmtId="4" fontId="2" fillId="4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right" vertical="center"/>
    </xf>
    <xf numFmtId="4" fontId="2" fillId="0" borderId="0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2" fillId="0" borderId="3" xfId="0" quotePrefix="1" applyNumberFormat="1" applyFont="1" applyFill="1" applyBorder="1" applyAlignment="1">
      <alignment horizontal="center" vertical="center" wrapText="1"/>
    </xf>
    <xf numFmtId="49" fontId="2" fillId="0" borderId="4" xfId="0" quotePrefix="1" applyNumberFormat="1" applyFont="1" applyFill="1" applyBorder="1" applyAlignment="1">
      <alignment horizontal="center" vertical="center" wrapText="1"/>
    </xf>
    <xf numFmtId="165" fontId="1" fillId="3" borderId="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/>
    </xf>
    <xf numFmtId="165" fontId="2" fillId="4" borderId="2" xfId="0" applyNumberFormat="1" applyFont="1" applyFill="1" applyBorder="1" applyAlignment="1">
      <alignment horizontal="center" vertical="center"/>
    </xf>
    <xf numFmtId="49" fontId="2" fillId="3" borderId="2" xfId="0" quotePrefix="1" applyNumberFormat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6" fillId="6" borderId="2" xfId="0" applyNumberFormat="1" applyFont="1" applyFill="1" applyBorder="1" applyAlignment="1">
      <alignment horizontal="center" vertical="center" wrapText="1"/>
    </xf>
    <xf numFmtId="0" fontId="2" fillId="6" borderId="2" xfId="0" applyNumberFormat="1" applyFont="1" applyFill="1" applyBorder="1" applyAlignment="1">
      <alignment horizontal="left" vertical="center" wrapText="1"/>
    </xf>
    <xf numFmtId="165" fontId="2" fillId="6" borderId="2" xfId="0" applyNumberFormat="1" applyFont="1" applyFill="1" applyBorder="1" applyAlignment="1">
      <alignment horizontal="center" vertical="center" wrapText="1"/>
    </xf>
    <xf numFmtId="4" fontId="5" fillId="6" borderId="2" xfId="0" applyNumberFormat="1" applyFont="1" applyFill="1" applyBorder="1" applyAlignment="1">
      <alignment horizontal="right" vertical="center"/>
    </xf>
    <xf numFmtId="0" fontId="1" fillId="6" borderId="0" xfId="0" applyFont="1" applyFill="1" applyBorder="1" applyAlignment="1">
      <alignment vertical="center" wrapText="1"/>
    </xf>
    <xf numFmtId="0" fontId="3" fillId="6" borderId="0" xfId="0" applyFont="1" applyFill="1" applyBorder="1" applyAlignment="1">
      <alignment vertical="center" wrapText="1"/>
    </xf>
    <xf numFmtId="0" fontId="2" fillId="6" borderId="0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horizontal="left" vertical="center" wrapText="1"/>
    </xf>
    <xf numFmtId="4" fontId="2" fillId="6" borderId="2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166" fontId="2" fillId="2" borderId="0" xfId="0" applyNumberFormat="1" applyFont="1" applyFill="1" applyBorder="1" applyAlignment="1">
      <alignment vertical="center" wrapText="1"/>
    </xf>
    <xf numFmtId="0" fontId="4" fillId="6" borderId="0" xfId="0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8" fillId="7" borderId="2" xfId="0" applyFont="1" applyFill="1" applyBorder="1" applyAlignment="1">
      <alignment vertical="center" wrapText="1"/>
    </xf>
    <xf numFmtId="0" fontId="7" fillId="8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7" fillId="7" borderId="2" xfId="0" applyFont="1" applyFill="1" applyBorder="1" applyAlignment="1">
      <alignment vertical="center" wrapText="1"/>
    </xf>
    <xf numFmtId="0" fontId="7" fillId="8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166" fontId="8" fillId="7" borderId="10" xfId="0" applyNumberFormat="1" applyFont="1" applyFill="1" applyBorder="1" applyAlignment="1">
      <alignment vertical="center" wrapText="1"/>
    </xf>
    <xf numFmtId="166" fontId="8" fillId="0" borderId="10" xfId="0" applyNumberFormat="1" applyFont="1" applyBorder="1" applyAlignment="1">
      <alignment vertical="center" wrapText="1"/>
    </xf>
    <xf numFmtId="0" fontId="9" fillId="9" borderId="6" xfId="0" applyFont="1" applyFill="1" applyBorder="1" applyAlignment="1">
      <alignment vertical="center" wrapText="1"/>
    </xf>
    <xf numFmtId="0" fontId="9" fillId="9" borderId="8" xfId="0" applyFont="1" applyFill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4" fontId="9" fillId="9" borderId="8" xfId="0" applyNumberFormat="1" applyFont="1" applyFill="1" applyBorder="1" applyAlignment="1">
      <alignment horizontal="right" vertical="center" wrapText="1"/>
    </xf>
    <xf numFmtId="4" fontId="9" fillId="0" borderId="8" xfId="0" applyNumberFormat="1" applyFont="1" applyBorder="1" applyAlignment="1">
      <alignment horizontal="right" vertical="center" wrapText="1"/>
    </xf>
    <xf numFmtId="0" fontId="10" fillId="0" borderId="7" xfId="0" applyFont="1" applyBorder="1" applyAlignment="1">
      <alignment vertical="center" wrapText="1"/>
    </xf>
    <xf numFmtId="4" fontId="10" fillId="0" borderId="8" xfId="0" applyNumberFormat="1" applyFont="1" applyBorder="1" applyAlignment="1">
      <alignment horizontal="right" vertical="center" wrapText="1"/>
    </xf>
    <xf numFmtId="4" fontId="9" fillId="9" borderId="8" xfId="0" applyNumberFormat="1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zoomScale="80" zoomScaleNormal="80" workbookViewId="0">
      <pane xSplit="2" ySplit="6" topLeftCell="C31" activePane="bottomRight" state="frozen"/>
      <selection pane="topRight" activeCell="C1" sqref="C1"/>
      <selection pane="bottomLeft" activeCell="A7" sqref="A7"/>
      <selection pane="bottomRight" activeCell="E28" sqref="E28"/>
    </sheetView>
  </sheetViews>
  <sheetFormatPr defaultRowHeight="15.75" x14ac:dyDescent="0.25"/>
  <cols>
    <col min="1" max="1" width="22.7109375" style="1" customWidth="1"/>
    <col min="2" max="2" width="36.7109375" style="1" customWidth="1"/>
    <col min="3" max="5" width="16.7109375" style="16" customWidth="1"/>
    <col min="6" max="11" width="16.7109375" style="1" customWidth="1"/>
    <col min="12" max="12" width="14.42578125" style="1" customWidth="1"/>
    <col min="13" max="13" width="20.28515625" style="1" customWidth="1"/>
    <col min="14" max="15" width="17.5703125" style="1" customWidth="1"/>
    <col min="16" max="253" width="9.140625" style="1"/>
    <col min="254" max="254" width="25.7109375" style="1" customWidth="1"/>
    <col min="255" max="255" width="36.7109375" style="1" customWidth="1"/>
    <col min="256" max="256" width="20.140625" style="1" customWidth="1"/>
    <col min="257" max="257" width="20" style="1" customWidth="1"/>
    <col min="258" max="258" width="21.28515625" style="1" customWidth="1"/>
    <col min="259" max="261" width="19" style="1" bestFit="1" customWidth="1"/>
    <col min="262" max="264" width="20.7109375" style="1" bestFit="1" customWidth="1"/>
    <col min="265" max="266" width="14.42578125" style="1" customWidth="1"/>
    <col min="267" max="267" width="14" style="1" customWidth="1"/>
    <col min="268" max="509" width="9.140625" style="1"/>
    <col min="510" max="510" width="25.7109375" style="1" customWidth="1"/>
    <col min="511" max="511" width="36.7109375" style="1" customWidth="1"/>
    <col min="512" max="512" width="20.140625" style="1" customWidth="1"/>
    <col min="513" max="513" width="20" style="1" customWidth="1"/>
    <col min="514" max="514" width="21.28515625" style="1" customWidth="1"/>
    <col min="515" max="517" width="19" style="1" bestFit="1" customWidth="1"/>
    <col min="518" max="520" width="20.7109375" style="1" bestFit="1" customWidth="1"/>
    <col min="521" max="522" width="14.42578125" style="1" customWidth="1"/>
    <col min="523" max="523" width="14" style="1" customWidth="1"/>
    <col min="524" max="765" width="9.140625" style="1"/>
    <col min="766" max="766" width="25.7109375" style="1" customWidth="1"/>
    <col min="767" max="767" width="36.7109375" style="1" customWidth="1"/>
    <col min="768" max="768" width="20.140625" style="1" customWidth="1"/>
    <col min="769" max="769" width="20" style="1" customWidth="1"/>
    <col min="770" max="770" width="21.28515625" style="1" customWidth="1"/>
    <col min="771" max="773" width="19" style="1" bestFit="1" customWidth="1"/>
    <col min="774" max="776" width="20.7109375" style="1" bestFit="1" customWidth="1"/>
    <col min="777" max="778" width="14.42578125" style="1" customWidth="1"/>
    <col min="779" max="779" width="14" style="1" customWidth="1"/>
    <col min="780" max="1021" width="9.140625" style="1"/>
    <col min="1022" max="1022" width="25.7109375" style="1" customWidth="1"/>
    <col min="1023" max="1023" width="36.7109375" style="1" customWidth="1"/>
    <col min="1024" max="1024" width="20.140625" style="1" customWidth="1"/>
    <col min="1025" max="1025" width="20" style="1" customWidth="1"/>
    <col min="1026" max="1026" width="21.28515625" style="1" customWidth="1"/>
    <col min="1027" max="1029" width="19" style="1" bestFit="1" customWidth="1"/>
    <col min="1030" max="1032" width="20.7109375" style="1" bestFit="1" customWidth="1"/>
    <col min="1033" max="1034" width="14.42578125" style="1" customWidth="1"/>
    <col min="1035" max="1035" width="14" style="1" customWidth="1"/>
    <col min="1036" max="1277" width="9.140625" style="1"/>
    <col min="1278" max="1278" width="25.7109375" style="1" customWidth="1"/>
    <col min="1279" max="1279" width="36.7109375" style="1" customWidth="1"/>
    <col min="1280" max="1280" width="20.140625" style="1" customWidth="1"/>
    <col min="1281" max="1281" width="20" style="1" customWidth="1"/>
    <col min="1282" max="1282" width="21.28515625" style="1" customWidth="1"/>
    <col min="1283" max="1285" width="19" style="1" bestFit="1" customWidth="1"/>
    <col min="1286" max="1288" width="20.7109375" style="1" bestFit="1" customWidth="1"/>
    <col min="1289" max="1290" width="14.42578125" style="1" customWidth="1"/>
    <col min="1291" max="1291" width="14" style="1" customWidth="1"/>
    <col min="1292" max="1533" width="9.140625" style="1"/>
    <col min="1534" max="1534" width="25.7109375" style="1" customWidth="1"/>
    <col min="1535" max="1535" width="36.7109375" style="1" customWidth="1"/>
    <col min="1536" max="1536" width="20.140625" style="1" customWidth="1"/>
    <col min="1537" max="1537" width="20" style="1" customWidth="1"/>
    <col min="1538" max="1538" width="21.28515625" style="1" customWidth="1"/>
    <col min="1539" max="1541" width="19" style="1" bestFit="1" customWidth="1"/>
    <col min="1542" max="1544" width="20.7109375" style="1" bestFit="1" customWidth="1"/>
    <col min="1545" max="1546" width="14.42578125" style="1" customWidth="1"/>
    <col min="1547" max="1547" width="14" style="1" customWidth="1"/>
    <col min="1548" max="1789" width="9.140625" style="1"/>
    <col min="1790" max="1790" width="25.7109375" style="1" customWidth="1"/>
    <col min="1791" max="1791" width="36.7109375" style="1" customWidth="1"/>
    <col min="1792" max="1792" width="20.140625" style="1" customWidth="1"/>
    <col min="1793" max="1793" width="20" style="1" customWidth="1"/>
    <col min="1794" max="1794" width="21.28515625" style="1" customWidth="1"/>
    <col min="1795" max="1797" width="19" style="1" bestFit="1" customWidth="1"/>
    <col min="1798" max="1800" width="20.7109375" style="1" bestFit="1" customWidth="1"/>
    <col min="1801" max="1802" width="14.42578125" style="1" customWidth="1"/>
    <col min="1803" max="1803" width="14" style="1" customWidth="1"/>
    <col min="1804" max="2045" width="9.140625" style="1"/>
    <col min="2046" max="2046" width="25.7109375" style="1" customWidth="1"/>
    <col min="2047" max="2047" width="36.7109375" style="1" customWidth="1"/>
    <col min="2048" max="2048" width="20.140625" style="1" customWidth="1"/>
    <col min="2049" max="2049" width="20" style="1" customWidth="1"/>
    <col min="2050" max="2050" width="21.28515625" style="1" customWidth="1"/>
    <col min="2051" max="2053" width="19" style="1" bestFit="1" customWidth="1"/>
    <col min="2054" max="2056" width="20.7109375" style="1" bestFit="1" customWidth="1"/>
    <col min="2057" max="2058" width="14.42578125" style="1" customWidth="1"/>
    <col min="2059" max="2059" width="14" style="1" customWidth="1"/>
    <col min="2060" max="2301" width="9.140625" style="1"/>
    <col min="2302" max="2302" width="25.7109375" style="1" customWidth="1"/>
    <col min="2303" max="2303" width="36.7109375" style="1" customWidth="1"/>
    <col min="2304" max="2304" width="20.140625" style="1" customWidth="1"/>
    <col min="2305" max="2305" width="20" style="1" customWidth="1"/>
    <col min="2306" max="2306" width="21.28515625" style="1" customWidth="1"/>
    <col min="2307" max="2309" width="19" style="1" bestFit="1" customWidth="1"/>
    <col min="2310" max="2312" width="20.7109375" style="1" bestFit="1" customWidth="1"/>
    <col min="2313" max="2314" width="14.42578125" style="1" customWidth="1"/>
    <col min="2315" max="2315" width="14" style="1" customWidth="1"/>
    <col min="2316" max="2557" width="9.140625" style="1"/>
    <col min="2558" max="2558" width="25.7109375" style="1" customWidth="1"/>
    <col min="2559" max="2559" width="36.7109375" style="1" customWidth="1"/>
    <col min="2560" max="2560" width="20.140625" style="1" customWidth="1"/>
    <col min="2561" max="2561" width="20" style="1" customWidth="1"/>
    <col min="2562" max="2562" width="21.28515625" style="1" customWidth="1"/>
    <col min="2563" max="2565" width="19" style="1" bestFit="1" customWidth="1"/>
    <col min="2566" max="2568" width="20.7109375" style="1" bestFit="1" customWidth="1"/>
    <col min="2569" max="2570" width="14.42578125" style="1" customWidth="1"/>
    <col min="2571" max="2571" width="14" style="1" customWidth="1"/>
    <col min="2572" max="2813" width="9.140625" style="1"/>
    <col min="2814" max="2814" width="25.7109375" style="1" customWidth="1"/>
    <col min="2815" max="2815" width="36.7109375" style="1" customWidth="1"/>
    <col min="2816" max="2816" width="20.140625" style="1" customWidth="1"/>
    <col min="2817" max="2817" width="20" style="1" customWidth="1"/>
    <col min="2818" max="2818" width="21.28515625" style="1" customWidth="1"/>
    <col min="2819" max="2821" width="19" style="1" bestFit="1" customWidth="1"/>
    <col min="2822" max="2824" width="20.7109375" style="1" bestFit="1" customWidth="1"/>
    <col min="2825" max="2826" width="14.42578125" style="1" customWidth="1"/>
    <col min="2827" max="2827" width="14" style="1" customWidth="1"/>
    <col min="2828" max="3069" width="9.140625" style="1"/>
    <col min="3070" max="3070" width="25.7109375" style="1" customWidth="1"/>
    <col min="3071" max="3071" width="36.7109375" style="1" customWidth="1"/>
    <col min="3072" max="3072" width="20.140625" style="1" customWidth="1"/>
    <col min="3073" max="3073" width="20" style="1" customWidth="1"/>
    <col min="3074" max="3074" width="21.28515625" style="1" customWidth="1"/>
    <col min="3075" max="3077" width="19" style="1" bestFit="1" customWidth="1"/>
    <col min="3078" max="3080" width="20.7109375" style="1" bestFit="1" customWidth="1"/>
    <col min="3081" max="3082" width="14.42578125" style="1" customWidth="1"/>
    <col min="3083" max="3083" width="14" style="1" customWidth="1"/>
    <col min="3084" max="3325" width="9.140625" style="1"/>
    <col min="3326" max="3326" width="25.7109375" style="1" customWidth="1"/>
    <col min="3327" max="3327" width="36.7109375" style="1" customWidth="1"/>
    <col min="3328" max="3328" width="20.140625" style="1" customWidth="1"/>
    <col min="3329" max="3329" width="20" style="1" customWidth="1"/>
    <col min="3330" max="3330" width="21.28515625" style="1" customWidth="1"/>
    <col min="3331" max="3333" width="19" style="1" bestFit="1" customWidth="1"/>
    <col min="3334" max="3336" width="20.7109375" style="1" bestFit="1" customWidth="1"/>
    <col min="3337" max="3338" width="14.42578125" style="1" customWidth="1"/>
    <col min="3339" max="3339" width="14" style="1" customWidth="1"/>
    <col min="3340" max="3581" width="9.140625" style="1"/>
    <col min="3582" max="3582" width="25.7109375" style="1" customWidth="1"/>
    <col min="3583" max="3583" width="36.7109375" style="1" customWidth="1"/>
    <col min="3584" max="3584" width="20.140625" style="1" customWidth="1"/>
    <col min="3585" max="3585" width="20" style="1" customWidth="1"/>
    <col min="3586" max="3586" width="21.28515625" style="1" customWidth="1"/>
    <col min="3587" max="3589" width="19" style="1" bestFit="1" customWidth="1"/>
    <col min="3590" max="3592" width="20.7109375" style="1" bestFit="1" customWidth="1"/>
    <col min="3593" max="3594" width="14.42578125" style="1" customWidth="1"/>
    <col min="3595" max="3595" width="14" style="1" customWidth="1"/>
    <col min="3596" max="3837" width="9.140625" style="1"/>
    <col min="3838" max="3838" width="25.7109375" style="1" customWidth="1"/>
    <col min="3839" max="3839" width="36.7109375" style="1" customWidth="1"/>
    <col min="3840" max="3840" width="20.140625" style="1" customWidth="1"/>
    <col min="3841" max="3841" width="20" style="1" customWidth="1"/>
    <col min="3842" max="3842" width="21.28515625" style="1" customWidth="1"/>
    <col min="3843" max="3845" width="19" style="1" bestFit="1" customWidth="1"/>
    <col min="3846" max="3848" width="20.7109375" style="1" bestFit="1" customWidth="1"/>
    <col min="3849" max="3850" width="14.42578125" style="1" customWidth="1"/>
    <col min="3851" max="3851" width="14" style="1" customWidth="1"/>
    <col min="3852" max="4093" width="9.140625" style="1"/>
    <col min="4094" max="4094" width="25.7109375" style="1" customWidth="1"/>
    <col min="4095" max="4095" width="36.7109375" style="1" customWidth="1"/>
    <col min="4096" max="4096" width="20.140625" style="1" customWidth="1"/>
    <col min="4097" max="4097" width="20" style="1" customWidth="1"/>
    <col min="4098" max="4098" width="21.28515625" style="1" customWidth="1"/>
    <col min="4099" max="4101" width="19" style="1" bestFit="1" customWidth="1"/>
    <col min="4102" max="4104" width="20.7109375" style="1" bestFit="1" customWidth="1"/>
    <col min="4105" max="4106" width="14.42578125" style="1" customWidth="1"/>
    <col min="4107" max="4107" width="14" style="1" customWidth="1"/>
    <col min="4108" max="4349" width="9.140625" style="1"/>
    <col min="4350" max="4350" width="25.7109375" style="1" customWidth="1"/>
    <col min="4351" max="4351" width="36.7109375" style="1" customWidth="1"/>
    <col min="4352" max="4352" width="20.140625" style="1" customWidth="1"/>
    <col min="4353" max="4353" width="20" style="1" customWidth="1"/>
    <col min="4354" max="4354" width="21.28515625" style="1" customWidth="1"/>
    <col min="4355" max="4357" width="19" style="1" bestFit="1" customWidth="1"/>
    <col min="4358" max="4360" width="20.7109375" style="1" bestFit="1" customWidth="1"/>
    <col min="4361" max="4362" width="14.42578125" style="1" customWidth="1"/>
    <col min="4363" max="4363" width="14" style="1" customWidth="1"/>
    <col min="4364" max="4605" width="9.140625" style="1"/>
    <col min="4606" max="4606" width="25.7109375" style="1" customWidth="1"/>
    <col min="4607" max="4607" width="36.7109375" style="1" customWidth="1"/>
    <col min="4608" max="4608" width="20.140625" style="1" customWidth="1"/>
    <col min="4609" max="4609" width="20" style="1" customWidth="1"/>
    <col min="4610" max="4610" width="21.28515625" style="1" customWidth="1"/>
    <col min="4611" max="4613" width="19" style="1" bestFit="1" customWidth="1"/>
    <col min="4614" max="4616" width="20.7109375" style="1" bestFit="1" customWidth="1"/>
    <col min="4617" max="4618" width="14.42578125" style="1" customWidth="1"/>
    <col min="4619" max="4619" width="14" style="1" customWidth="1"/>
    <col min="4620" max="4861" width="9.140625" style="1"/>
    <col min="4862" max="4862" width="25.7109375" style="1" customWidth="1"/>
    <col min="4863" max="4863" width="36.7109375" style="1" customWidth="1"/>
    <col min="4864" max="4864" width="20.140625" style="1" customWidth="1"/>
    <col min="4865" max="4865" width="20" style="1" customWidth="1"/>
    <col min="4866" max="4866" width="21.28515625" style="1" customWidth="1"/>
    <col min="4867" max="4869" width="19" style="1" bestFit="1" customWidth="1"/>
    <col min="4870" max="4872" width="20.7109375" style="1" bestFit="1" customWidth="1"/>
    <col min="4873" max="4874" width="14.42578125" style="1" customWidth="1"/>
    <col min="4875" max="4875" width="14" style="1" customWidth="1"/>
    <col min="4876" max="5117" width="9.140625" style="1"/>
    <col min="5118" max="5118" width="25.7109375" style="1" customWidth="1"/>
    <col min="5119" max="5119" width="36.7109375" style="1" customWidth="1"/>
    <col min="5120" max="5120" width="20.140625" style="1" customWidth="1"/>
    <col min="5121" max="5121" width="20" style="1" customWidth="1"/>
    <col min="5122" max="5122" width="21.28515625" style="1" customWidth="1"/>
    <col min="5123" max="5125" width="19" style="1" bestFit="1" customWidth="1"/>
    <col min="5126" max="5128" width="20.7109375" style="1" bestFit="1" customWidth="1"/>
    <col min="5129" max="5130" width="14.42578125" style="1" customWidth="1"/>
    <col min="5131" max="5131" width="14" style="1" customWidth="1"/>
    <col min="5132" max="5373" width="9.140625" style="1"/>
    <col min="5374" max="5374" width="25.7109375" style="1" customWidth="1"/>
    <col min="5375" max="5375" width="36.7109375" style="1" customWidth="1"/>
    <col min="5376" max="5376" width="20.140625" style="1" customWidth="1"/>
    <col min="5377" max="5377" width="20" style="1" customWidth="1"/>
    <col min="5378" max="5378" width="21.28515625" style="1" customWidth="1"/>
    <col min="5379" max="5381" width="19" style="1" bestFit="1" customWidth="1"/>
    <col min="5382" max="5384" width="20.7109375" style="1" bestFit="1" customWidth="1"/>
    <col min="5385" max="5386" width="14.42578125" style="1" customWidth="1"/>
    <col min="5387" max="5387" width="14" style="1" customWidth="1"/>
    <col min="5388" max="5629" width="9.140625" style="1"/>
    <col min="5630" max="5630" width="25.7109375" style="1" customWidth="1"/>
    <col min="5631" max="5631" width="36.7109375" style="1" customWidth="1"/>
    <col min="5632" max="5632" width="20.140625" style="1" customWidth="1"/>
    <col min="5633" max="5633" width="20" style="1" customWidth="1"/>
    <col min="5634" max="5634" width="21.28515625" style="1" customWidth="1"/>
    <col min="5635" max="5637" width="19" style="1" bestFit="1" customWidth="1"/>
    <col min="5638" max="5640" width="20.7109375" style="1" bestFit="1" customWidth="1"/>
    <col min="5641" max="5642" width="14.42578125" style="1" customWidth="1"/>
    <col min="5643" max="5643" width="14" style="1" customWidth="1"/>
    <col min="5644" max="5885" width="9.140625" style="1"/>
    <col min="5886" max="5886" width="25.7109375" style="1" customWidth="1"/>
    <col min="5887" max="5887" width="36.7109375" style="1" customWidth="1"/>
    <col min="5888" max="5888" width="20.140625" style="1" customWidth="1"/>
    <col min="5889" max="5889" width="20" style="1" customWidth="1"/>
    <col min="5890" max="5890" width="21.28515625" style="1" customWidth="1"/>
    <col min="5891" max="5893" width="19" style="1" bestFit="1" customWidth="1"/>
    <col min="5894" max="5896" width="20.7109375" style="1" bestFit="1" customWidth="1"/>
    <col min="5897" max="5898" width="14.42578125" style="1" customWidth="1"/>
    <col min="5899" max="5899" width="14" style="1" customWidth="1"/>
    <col min="5900" max="6141" width="9.140625" style="1"/>
    <col min="6142" max="6142" width="25.7109375" style="1" customWidth="1"/>
    <col min="6143" max="6143" width="36.7109375" style="1" customWidth="1"/>
    <col min="6144" max="6144" width="20.140625" style="1" customWidth="1"/>
    <col min="6145" max="6145" width="20" style="1" customWidth="1"/>
    <col min="6146" max="6146" width="21.28515625" style="1" customWidth="1"/>
    <col min="6147" max="6149" width="19" style="1" bestFit="1" customWidth="1"/>
    <col min="6150" max="6152" width="20.7109375" style="1" bestFit="1" customWidth="1"/>
    <col min="6153" max="6154" width="14.42578125" style="1" customWidth="1"/>
    <col min="6155" max="6155" width="14" style="1" customWidth="1"/>
    <col min="6156" max="6397" width="9.140625" style="1"/>
    <col min="6398" max="6398" width="25.7109375" style="1" customWidth="1"/>
    <col min="6399" max="6399" width="36.7109375" style="1" customWidth="1"/>
    <col min="6400" max="6400" width="20.140625" style="1" customWidth="1"/>
    <col min="6401" max="6401" width="20" style="1" customWidth="1"/>
    <col min="6402" max="6402" width="21.28515625" style="1" customWidth="1"/>
    <col min="6403" max="6405" width="19" style="1" bestFit="1" customWidth="1"/>
    <col min="6406" max="6408" width="20.7109375" style="1" bestFit="1" customWidth="1"/>
    <col min="6409" max="6410" width="14.42578125" style="1" customWidth="1"/>
    <col min="6411" max="6411" width="14" style="1" customWidth="1"/>
    <col min="6412" max="6653" width="9.140625" style="1"/>
    <col min="6654" max="6654" width="25.7109375" style="1" customWidth="1"/>
    <col min="6655" max="6655" width="36.7109375" style="1" customWidth="1"/>
    <col min="6656" max="6656" width="20.140625" style="1" customWidth="1"/>
    <col min="6657" max="6657" width="20" style="1" customWidth="1"/>
    <col min="6658" max="6658" width="21.28515625" style="1" customWidth="1"/>
    <col min="6659" max="6661" width="19" style="1" bestFit="1" customWidth="1"/>
    <col min="6662" max="6664" width="20.7109375" style="1" bestFit="1" customWidth="1"/>
    <col min="6665" max="6666" width="14.42578125" style="1" customWidth="1"/>
    <col min="6667" max="6667" width="14" style="1" customWidth="1"/>
    <col min="6668" max="6909" width="9.140625" style="1"/>
    <col min="6910" max="6910" width="25.7109375" style="1" customWidth="1"/>
    <col min="6911" max="6911" width="36.7109375" style="1" customWidth="1"/>
    <col min="6912" max="6912" width="20.140625" style="1" customWidth="1"/>
    <col min="6913" max="6913" width="20" style="1" customWidth="1"/>
    <col min="6914" max="6914" width="21.28515625" style="1" customWidth="1"/>
    <col min="6915" max="6917" width="19" style="1" bestFit="1" customWidth="1"/>
    <col min="6918" max="6920" width="20.7109375" style="1" bestFit="1" customWidth="1"/>
    <col min="6921" max="6922" width="14.42578125" style="1" customWidth="1"/>
    <col min="6923" max="6923" width="14" style="1" customWidth="1"/>
    <col min="6924" max="7165" width="9.140625" style="1"/>
    <col min="7166" max="7166" width="25.7109375" style="1" customWidth="1"/>
    <col min="7167" max="7167" width="36.7109375" style="1" customWidth="1"/>
    <col min="7168" max="7168" width="20.140625" style="1" customWidth="1"/>
    <col min="7169" max="7169" width="20" style="1" customWidth="1"/>
    <col min="7170" max="7170" width="21.28515625" style="1" customWidth="1"/>
    <col min="7171" max="7173" width="19" style="1" bestFit="1" customWidth="1"/>
    <col min="7174" max="7176" width="20.7109375" style="1" bestFit="1" customWidth="1"/>
    <col min="7177" max="7178" width="14.42578125" style="1" customWidth="1"/>
    <col min="7179" max="7179" width="14" style="1" customWidth="1"/>
    <col min="7180" max="7421" width="9.140625" style="1"/>
    <col min="7422" max="7422" width="25.7109375" style="1" customWidth="1"/>
    <col min="7423" max="7423" width="36.7109375" style="1" customWidth="1"/>
    <col min="7424" max="7424" width="20.140625" style="1" customWidth="1"/>
    <col min="7425" max="7425" width="20" style="1" customWidth="1"/>
    <col min="7426" max="7426" width="21.28515625" style="1" customWidth="1"/>
    <col min="7427" max="7429" width="19" style="1" bestFit="1" customWidth="1"/>
    <col min="7430" max="7432" width="20.7109375" style="1" bestFit="1" customWidth="1"/>
    <col min="7433" max="7434" width="14.42578125" style="1" customWidth="1"/>
    <col min="7435" max="7435" width="14" style="1" customWidth="1"/>
    <col min="7436" max="7677" width="9.140625" style="1"/>
    <col min="7678" max="7678" width="25.7109375" style="1" customWidth="1"/>
    <col min="7679" max="7679" width="36.7109375" style="1" customWidth="1"/>
    <col min="7680" max="7680" width="20.140625" style="1" customWidth="1"/>
    <col min="7681" max="7681" width="20" style="1" customWidth="1"/>
    <col min="7682" max="7682" width="21.28515625" style="1" customWidth="1"/>
    <col min="7683" max="7685" width="19" style="1" bestFit="1" customWidth="1"/>
    <col min="7686" max="7688" width="20.7109375" style="1" bestFit="1" customWidth="1"/>
    <col min="7689" max="7690" width="14.42578125" style="1" customWidth="1"/>
    <col min="7691" max="7691" width="14" style="1" customWidth="1"/>
    <col min="7692" max="7933" width="9.140625" style="1"/>
    <col min="7934" max="7934" width="25.7109375" style="1" customWidth="1"/>
    <col min="7935" max="7935" width="36.7109375" style="1" customWidth="1"/>
    <col min="7936" max="7936" width="20.140625" style="1" customWidth="1"/>
    <col min="7937" max="7937" width="20" style="1" customWidth="1"/>
    <col min="7938" max="7938" width="21.28515625" style="1" customWidth="1"/>
    <col min="7939" max="7941" width="19" style="1" bestFit="1" customWidth="1"/>
    <col min="7942" max="7944" width="20.7109375" style="1" bestFit="1" customWidth="1"/>
    <col min="7945" max="7946" width="14.42578125" style="1" customWidth="1"/>
    <col min="7947" max="7947" width="14" style="1" customWidth="1"/>
    <col min="7948" max="8189" width="9.140625" style="1"/>
    <col min="8190" max="8190" width="25.7109375" style="1" customWidth="1"/>
    <col min="8191" max="8191" width="36.7109375" style="1" customWidth="1"/>
    <col min="8192" max="8192" width="20.140625" style="1" customWidth="1"/>
    <col min="8193" max="8193" width="20" style="1" customWidth="1"/>
    <col min="8194" max="8194" width="21.28515625" style="1" customWidth="1"/>
    <col min="8195" max="8197" width="19" style="1" bestFit="1" customWidth="1"/>
    <col min="8198" max="8200" width="20.7109375" style="1" bestFit="1" customWidth="1"/>
    <col min="8201" max="8202" width="14.42578125" style="1" customWidth="1"/>
    <col min="8203" max="8203" width="14" style="1" customWidth="1"/>
    <col min="8204" max="8445" width="9.140625" style="1"/>
    <col min="8446" max="8446" width="25.7109375" style="1" customWidth="1"/>
    <col min="8447" max="8447" width="36.7109375" style="1" customWidth="1"/>
    <col min="8448" max="8448" width="20.140625" style="1" customWidth="1"/>
    <col min="8449" max="8449" width="20" style="1" customWidth="1"/>
    <col min="8450" max="8450" width="21.28515625" style="1" customWidth="1"/>
    <col min="8451" max="8453" width="19" style="1" bestFit="1" customWidth="1"/>
    <col min="8454" max="8456" width="20.7109375" style="1" bestFit="1" customWidth="1"/>
    <col min="8457" max="8458" width="14.42578125" style="1" customWidth="1"/>
    <col min="8459" max="8459" width="14" style="1" customWidth="1"/>
    <col min="8460" max="8701" width="9.140625" style="1"/>
    <col min="8702" max="8702" width="25.7109375" style="1" customWidth="1"/>
    <col min="8703" max="8703" width="36.7109375" style="1" customWidth="1"/>
    <col min="8704" max="8704" width="20.140625" style="1" customWidth="1"/>
    <col min="8705" max="8705" width="20" style="1" customWidth="1"/>
    <col min="8706" max="8706" width="21.28515625" style="1" customWidth="1"/>
    <col min="8707" max="8709" width="19" style="1" bestFit="1" customWidth="1"/>
    <col min="8710" max="8712" width="20.7109375" style="1" bestFit="1" customWidth="1"/>
    <col min="8713" max="8714" width="14.42578125" style="1" customWidth="1"/>
    <col min="8715" max="8715" width="14" style="1" customWidth="1"/>
    <col min="8716" max="8957" width="9.140625" style="1"/>
    <col min="8958" max="8958" width="25.7109375" style="1" customWidth="1"/>
    <col min="8959" max="8959" width="36.7109375" style="1" customWidth="1"/>
    <col min="8960" max="8960" width="20.140625" style="1" customWidth="1"/>
    <col min="8961" max="8961" width="20" style="1" customWidth="1"/>
    <col min="8962" max="8962" width="21.28515625" style="1" customWidth="1"/>
    <col min="8963" max="8965" width="19" style="1" bestFit="1" customWidth="1"/>
    <col min="8966" max="8968" width="20.7109375" style="1" bestFit="1" customWidth="1"/>
    <col min="8969" max="8970" width="14.42578125" style="1" customWidth="1"/>
    <col min="8971" max="8971" width="14" style="1" customWidth="1"/>
    <col min="8972" max="9213" width="9.140625" style="1"/>
    <col min="9214" max="9214" width="25.7109375" style="1" customWidth="1"/>
    <col min="9215" max="9215" width="36.7109375" style="1" customWidth="1"/>
    <col min="9216" max="9216" width="20.140625" style="1" customWidth="1"/>
    <col min="9217" max="9217" width="20" style="1" customWidth="1"/>
    <col min="9218" max="9218" width="21.28515625" style="1" customWidth="1"/>
    <col min="9219" max="9221" width="19" style="1" bestFit="1" customWidth="1"/>
    <col min="9222" max="9224" width="20.7109375" style="1" bestFit="1" customWidth="1"/>
    <col min="9225" max="9226" width="14.42578125" style="1" customWidth="1"/>
    <col min="9227" max="9227" width="14" style="1" customWidth="1"/>
    <col min="9228" max="9469" width="9.140625" style="1"/>
    <col min="9470" max="9470" width="25.7109375" style="1" customWidth="1"/>
    <col min="9471" max="9471" width="36.7109375" style="1" customWidth="1"/>
    <col min="9472" max="9472" width="20.140625" style="1" customWidth="1"/>
    <col min="9473" max="9473" width="20" style="1" customWidth="1"/>
    <col min="9474" max="9474" width="21.28515625" style="1" customWidth="1"/>
    <col min="9475" max="9477" width="19" style="1" bestFit="1" customWidth="1"/>
    <col min="9478" max="9480" width="20.7109375" style="1" bestFit="1" customWidth="1"/>
    <col min="9481" max="9482" width="14.42578125" style="1" customWidth="1"/>
    <col min="9483" max="9483" width="14" style="1" customWidth="1"/>
    <col min="9484" max="9725" width="9.140625" style="1"/>
    <col min="9726" max="9726" width="25.7109375" style="1" customWidth="1"/>
    <col min="9727" max="9727" width="36.7109375" style="1" customWidth="1"/>
    <col min="9728" max="9728" width="20.140625" style="1" customWidth="1"/>
    <col min="9729" max="9729" width="20" style="1" customWidth="1"/>
    <col min="9730" max="9730" width="21.28515625" style="1" customWidth="1"/>
    <col min="9731" max="9733" width="19" style="1" bestFit="1" customWidth="1"/>
    <col min="9734" max="9736" width="20.7109375" style="1" bestFit="1" customWidth="1"/>
    <col min="9737" max="9738" width="14.42578125" style="1" customWidth="1"/>
    <col min="9739" max="9739" width="14" style="1" customWidth="1"/>
    <col min="9740" max="9981" width="9.140625" style="1"/>
    <col min="9982" max="9982" width="25.7109375" style="1" customWidth="1"/>
    <col min="9983" max="9983" width="36.7109375" style="1" customWidth="1"/>
    <col min="9984" max="9984" width="20.140625" style="1" customWidth="1"/>
    <col min="9985" max="9985" width="20" style="1" customWidth="1"/>
    <col min="9986" max="9986" width="21.28515625" style="1" customWidth="1"/>
    <col min="9987" max="9989" width="19" style="1" bestFit="1" customWidth="1"/>
    <col min="9990" max="9992" width="20.7109375" style="1" bestFit="1" customWidth="1"/>
    <col min="9993" max="9994" width="14.42578125" style="1" customWidth="1"/>
    <col min="9995" max="9995" width="14" style="1" customWidth="1"/>
    <col min="9996" max="10237" width="9.140625" style="1"/>
    <col min="10238" max="10238" width="25.7109375" style="1" customWidth="1"/>
    <col min="10239" max="10239" width="36.7109375" style="1" customWidth="1"/>
    <col min="10240" max="10240" width="20.140625" style="1" customWidth="1"/>
    <col min="10241" max="10241" width="20" style="1" customWidth="1"/>
    <col min="10242" max="10242" width="21.28515625" style="1" customWidth="1"/>
    <col min="10243" max="10245" width="19" style="1" bestFit="1" customWidth="1"/>
    <col min="10246" max="10248" width="20.7109375" style="1" bestFit="1" customWidth="1"/>
    <col min="10249" max="10250" width="14.42578125" style="1" customWidth="1"/>
    <col min="10251" max="10251" width="14" style="1" customWidth="1"/>
    <col min="10252" max="10493" width="9.140625" style="1"/>
    <col min="10494" max="10494" width="25.7109375" style="1" customWidth="1"/>
    <col min="10495" max="10495" width="36.7109375" style="1" customWidth="1"/>
    <col min="10496" max="10496" width="20.140625" style="1" customWidth="1"/>
    <col min="10497" max="10497" width="20" style="1" customWidth="1"/>
    <col min="10498" max="10498" width="21.28515625" style="1" customWidth="1"/>
    <col min="10499" max="10501" width="19" style="1" bestFit="1" customWidth="1"/>
    <col min="10502" max="10504" width="20.7109375" style="1" bestFit="1" customWidth="1"/>
    <col min="10505" max="10506" width="14.42578125" style="1" customWidth="1"/>
    <col min="10507" max="10507" width="14" style="1" customWidth="1"/>
    <col min="10508" max="10749" width="9.140625" style="1"/>
    <col min="10750" max="10750" width="25.7109375" style="1" customWidth="1"/>
    <col min="10751" max="10751" width="36.7109375" style="1" customWidth="1"/>
    <col min="10752" max="10752" width="20.140625" style="1" customWidth="1"/>
    <col min="10753" max="10753" width="20" style="1" customWidth="1"/>
    <col min="10754" max="10754" width="21.28515625" style="1" customWidth="1"/>
    <col min="10755" max="10757" width="19" style="1" bestFit="1" customWidth="1"/>
    <col min="10758" max="10760" width="20.7109375" style="1" bestFit="1" customWidth="1"/>
    <col min="10761" max="10762" width="14.42578125" style="1" customWidth="1"/>
    <col min="10763" max="10763" width="14" style="1" customWidth="1"/>
    <col min="10764" max="11005" width="9.140625" style="1"/>
    <col min="11006" max="11006" width="25.7109375" style="1" customWidth="1"/>
    <col min="11007" max="11007" width="36.7109375" style="1" customWidth="1"/>
    <col min="11008" max="11008" width="20.140625" style="1" customWidth="1"/>
    <col min="11009" max="11009" width="20" style="1" customWidth="1"/>
    <col min="11010" max="11010" width="21.28515625" style="1" customWidth="1"/>
    <col min="11011" max="11013" width="19" style="1" bestFit="1" customWidth="1"/>
    <col min="11014" max="11016" width="20.7109375" style="1" bestFit="1" customWidth="1"/>
    <col min="11017" max="11018" width="14.42578125" style="1" customWidth="1"/>
    <col min="11019" max="11019" width="14" style="1" customWidth="1"/>
    <col min="11020" max="11261" width="9.140625" style="1"/>
    <col min="11262" max="11262" width="25.7109375" style="1" customWidth="1"/>
    <col min="11263" max="11263" width="36.7109375" style="1" customWidth="1"/>
    <col min="11264" max="11264" width="20.140625" style="1" customWidth="1"/>
    <col min="11265" max="11265" width="20" style="1" customWidth="1"/>
    <col min="11266" max="11266" width="21.28515625" style="1" customWidth="1"/>
    <col min="11267" max="11269" width="19" style="1" bestFit="1" customWidth="1"/>
    <col min="11270" max="11272" width="20.7109375" style="1" bestFit="1" customWidth="1"/>
    <col min="11273" max="11274" width="14.42578125" style="1" customWidth="1"/>
    <col min="11275" max="11275" width="14" style="1" customWidth="1"/>
    <col min="11276" max="11517" width="9.140625" style="1"/>
    <col min="11518" max="11518" width="25.7109375" style="1" customWidth="1"/>
    <col min="11519" max="11519" width="36.7109375" style="1" customWidth="1"/>
    <col min="11520" max="11520" width="20.140625" style="1" customWidth="1"/>
    <col min="11521" max="11521" width="20" style="1" customWidth="1"/>
    <col min="11522" max="11522" width="21.28515625" style="1" customWidth="1"/>
    <col min="11523" max="11525" width="19" style="1" bestFit="1" customWidth="1"/>
    <col min="11526" max="11528" width="20.7109375" style="1" bestFit="1" customWidth="1"/>
    <col min="11529" max="11530" width="14.42578125" style="1" customWidth="1"/>
    <col min="11531" max="11531" width="14" style="1" customWidth="1"/>
    <col min="11532" max="11773" width="9.140625" style="1"/>
    <col min="11774" max="11774" width="25.7109375" style="1" customWidth="1"/>
    <col min="11775" max="11775" width="36.7109375" style="1" customWidth="1"/>
    <col min="11776" max="11776" width="20.140625" style="1" customWidth="1"/>
    <col min="11777" max="11777" width="20" style="1" customWidth="1"/>
    <col min="11778" max="11778" width="21.28515625" style="1" customWidth="1"/>
    <col min="11779" max="11781" width="19" style="1" bestFit="1" customWidth="1"/>
    <col min="11782" max="11784" width="20.7109375" style="1" bestFit="1" customWidth="1"/>
    <col min="11785" max="11786" width="14.42578125" style="1" customWidth="1"/>
    <col min="11787" max="11787" width="14" style="1" customWidth="1"/>
    <col min="11788" max="12029" width="9.140625" style="1"/>
    <col min="12030" max="12030" width="25.7109375" style="1" customWidth="1"/>
    <col min="12031" max="12031" width="36.7109375" style="1" customWidth="1"/>
    <col min="12032" max="12032" width="20.140625" style="1" customWidth="1"/>
    <col min="12033" max="12033" width="20" style="1" customWidth="1"/>
    <col min="12034" max="12034" width="21.28515625" style="1" customWidth="1"/>
    <col min="12035" max="12037" width="19" style="1" bestFit="1" customWidth="1"/>
    <col min="12038" max="12040" width="20.7109375" style="1" bestFit="1" customWidth="1"/>
    <col min="12041" max="12042" width="14.42578125" style="1" customWidth="1"/>
    <col min="12043" max="12043" width="14" style="1" customWidth="1"/>
    <col min="12044" max="12285" width="9.140625" style="1"/>
    <col min="12286" max="12286" width="25.7109375" style="1" customWidth="1"/>
    <col min="12287" max="12287" width="36.7109375" style="1" customWidth="1"/>
    <col min="12288" max="12288" width="20.140625" style="1" customWidth="1"/>
    <col min="12289" max="12289" width="20" style="1" customWidth="1"/>
    <col min="12290" max="12290" width="21.28515625" style="1" customWidth="1"/>
    <col min="12291" max="12293" width="19" style="1" bestFit="1" customWidth="1"/>
    <col min="12294" max="12296" width="20.7109375" style="1" bestFit="1" customWidth="1"/>
    <col min="12297" max="12298" width="14.42578125" style="1" customWidth="1"/>
    <col min="12299" max="12299" width="14" style="1" customWidth="1"/>
    <col min="12300" max="12541" width="9.140625" style="1"/>
    <col min="12542" max="12542" width="25.7109375" style="1" customWidth="1"/>
    <col min="12543" max="12543" width="36.7109375" style="1" customWidth="1"/>
    <col min="12544" max="12544" width="20.140625" style="1" customWidth="1"/>
    <col min="12545" max="12545" width="20" style="1" customWidth="1"/>
    <col min="12546" max="12546" width="21.28515625" style="1" customWidth="1"/>
    <col min="12547" max="12549" width="19" style="1" bestFit="1" customWidth="1"/>
    <col min="12550" max="12552" width="20.7109375" style="1" bestFit="1" customWidth="1"/>
    <col min="12553" max="12554" width="14.42578125" style="1" customWidth="1"/>
    <col min="12555" max="12555" width="14" style="1" customWidth="1"/>
    <col min="12556" max="12797" width="9.140625" style="1"/>
    <col min="12798" max="12798" width="25.7109375" style="1" customWidth="1"/>
    <col min="12799" max="12799" width="36.7109375" style="1" customWidth="1"/>
    <col min="12800" max="12800" width="20.140625" style="1" customWidth="1"/>
    <col min="12801" max="12801" width="20" style="1" customWidth="1"/>
    <col min="12802" max="12802" width="21.28515625" style="1" customWidth="1"/>
    <col min="12803" max="12805" width="19" style="1" bestFit="1" customWidth="1"/>
    <col min="12806" max="12808" width="20.7109375" style="1" bestFit="1" customWidth="1"/>
    <col min="12809" max="12810" width="14.42578125" style="1" customWidth="1"/>
    <col min="12811" max="12811" width="14" style="1" customWidth="1"/>
    <col min="12812" max="13053" width="9.140625" style="1"/>
    <col min="13054" max="13054" width="25.7109375" style="1" customWidth="1"/>
    <col min="13055" max="13055" width="36.7109375" style="1" customWidth="1"/>
    <col min="13056" max="13056" width="20.140625" style="1" customWidth="1"/>
    <col min="13057" max="13057" width="20" style="1" customWidth="1"/>
    <col min="13058" max="13058" width="21.28515625" style="1" customWidth="1"/>
    <col min="13059" max="13061" width="19" style="1" bestFit="1" customWidth="1"/>
    <col min="13062" max="13064" width="20.7109375" style="1" bestFit="1" customWidth="1"/>
    <col min="13065" max="13066" width="14.42578125" style="1" customWidth="1"/>
    <col min="13067" max="13067" width="14" style="1" customWidth="1"/>
    <col min="13068" max="13309" width="9.140625" style="1"/>
    <col min="13310" max="13310" width="25.7109375" style="1" customWidth="1"/>
    <col min="13311" max="13311" width="36.7109375" style="1" customWidth="1"/>
    <col min="13312" max="13312" width="20.140625" style="1" customWidth="1"/>
    <col min="13313" max="13313" width="20" style="1" customWidth="1"/>
    <col min="13314" max="13314" width="21.28515625" style="1" customWidth="1"/>
    <col min="13315" max="13317" width="19" style="1" bestFit="1" customWidth="1"/>
    <col min="13318" max="13320" width="20.7109375" style="1" bestFit="1" customWidth="1"/>
    <col min="13321" max="13322" width="14.42578125" style="1" customWidth="1"/>
    <col min="13323" max="13323" width="14" style="1" customWidth="1"/>
    <col min="13324" max="13565" width="9.140625" style="1"/>
    <col min="13566" max="13566" width="25.7109375" style="1" customWidth="1"/>
    <col min="13567" max="13567" width="36.7109375" style="1" customWidth="1"/>
    <col min="13568" max="13568" width="20.140625" style="1" customWidth="1"/>
    <col min="13569" max="13569" width="20" style="1" customWidth="1"/>
    <col min="13570" max="13570" width="21.28515625" style="1" customWidth="1"/>
    <col min="13571" max="13573" width="19" style="1" bestFit="1" customWidth="1"/>
    <col min="13574" max="13576" width="20.7109375" style="1" bestFit="1" customWidth="1"/>
    <col min="13577" max="13578" width="14.42578125" style="1" customWidth="1"/>
    <col min="13579" max="13579" width="14" style="1" customWidth="1"/>
    <col min="13580" max="13821" width="9.140625" style="1"/>
    <col min="13822" max="13822" width="25.7109375" style="1" customWidth="1"/>
    <col min="13823" max="13823" width="36.7109375" style="1" customWidth="1"/>
    <col min="13824" max="13824" width="20.140625" style="1" customWidth="1"/>
    <col min="13825" max="13825" width="20" style="1" customWidth="1"/>
    <col min="13826" max="13826" width="21.28515625" style="1" customWidth="1"/>
    <col min="13827" max="13829" width="19" style="1" bestFit="1" customWidth="1"/>
    <col min="13830" max="13832" width="20.7109375" style="1" bestFit="1" customWidth="1"/>
    <col min="13833" max="13834" width="14.42578125" style="1" customWidth="1"/>
    <col min="13835" max="13835" width="14" style="1" customWidth="1"/>
    <col min="13836" max="14077" width="9.140625" style="1"/>
    <col min="14078" max="14078" width="25.7109375" style="1" customWidth="1"/>
    <col min="14079" max="14079" width="36.7109375" style="1" customWidth="1"/>
    <col min="14080" max="14080" width="20.140625" style="1" customWidth="1"/>
    <col min="14081" max="14081" width="20" style="1" customWidth="1"/>
    <col min="14082" max="14082" width="21.28515625" style="1" customWidth="1"/>
    <col min="14083" max="14085" width="19" style="1" bestFit="1" customWidth="1"/>
    <col min="14086" max="14088" width="20.7109375" style="1" bestFit="1" customWidth="1"/>
    <col min="14089" max="14090" width="14.42578125" style="1" customWidth="1"/>
    <col min="14091" max="14091" width="14" style="1" customWidth="1"/>
    <col min="14092" max="14333" width="9.140625" style="1"/>
    <col min="14334" max="14334" width="25.7109375" style="1" customWidth="1"/>
    <col min="14335" max="14335" width="36.7109375" style="1" customWidth="1"/>
    <col min="14336" max="14336" width="20.140625" style="1" customWidth="1"/>
    <col min="14337" max="14337" width="20" style="1" customWidth="1"/>
    <col min="14338" max="14338" width="21.28515625" style="1" customWidth="1"/>
    <col min="14339" max="14341" width="19" style="1" bestFit="1" customWidth="1"/>
    <col min="14342" max="14344" width="20.7109375" style="1" bestFit="1" customWidth="1"/>
    <col min="14345" max="14346" width="14.42578125" style="1" customWidth="1"/>
    <col min="14347" max="14347" width="14" style="1" customWidth="1"/>
    <col min="14348" max="14589" width="9.140625" style="1"/>
    <col min="14590" max="14590" width="25.7109375" style="1" customWidth="1"/>
    <col min="14591" max="14591" width="36.7109375" style="1" customWidth="1"/>
    <col min="14592" max="14592" width="20.140625" style="1" customWidth="1"/>
    <col min="14593" max="14593" width="20" style="1" customWidth="1"/>
    <col min="14594" max="14594" width="21.28515625" style="1" customWidth="1"/>
    <col min="14595" max="14597" width="19" style="1" bestFit="1" customWidth="1"/>
    <col min="14598" max="14600" width="20.7109375" style="1" bestFit="1" customWidth="1"/>
    <col min="14601" max="14602" width="14.42578125" style="1" customWidth="1"/>
    <col min="14603" max="14603" width="14" style="1" customWidth="1"/>
    <col min="14604" max="14845" width="9.140625" style="1"/>
    <col min="14846" max="14846" width="25.7109375" style="1" customWidth="1"/>
    <col min="14847" max="14847" width="36.7109375" style="1" customWidth="1"/>
    <col min="14848" max="14848" width="20.140625" style="1" customWidth="1"/>
    <col min="14849" max="14849" width="20" style="1" customWidth="1"/>
    <col min="14850" max="14850" width="21.28515625" style="1" customWidth="1"/>
    <col min="14851" max="14853" width="19" style="1" bestFit="1" customWidth="1"/>
    <col min="14854" max="14856" width="20.7109375" style="1" bestFit="1" customWidth="1"/>
    <col min="14857" max="14858" width="14.42578125" style="1" customWidth="1"/>
    <col min="14859" max="14859" width="14" style="1" customWidth="1"/>
    <col min="14860" max="15101" width="9.140625" style="1"/>
    <col min="15102" max="15102" width="25.7109375" style="1" customWidth="1"/>
    <col min="15103" max="15103" width="36.7109375" style="1" customWidth="1"/>
    <col min="15104" max="15104" width="20.140625" style="1" customWidth="1"/>
    <col min="15105" max="15105" width="20" style="1" customWidth="1"/>
    <col min="15106" max="15106" width="21.28515625" style="1" customWidth="1"/>
    <col min="15107" max="15109" width="19" style="1" bestFit="1" customWidth="1"/>
    <col min="15110" max="15112" width="20.7109375" style="1" bestFit="1" customWidth="1"/>
    <col min="15113" max="15114" width="14.42578125" style="1" customWidth="1"/>
    <col min="15115" max="15115" width="14" style="1" customWidth="1"/>
    <col min="15116" max="15357" width="9.140625" style="1"/>
    <col min="15358" max="15358" width="25.7109375" style="1" customWidth="1"/>
    <col min="15359" max="15359" width="36.7109375" style="1" customWidth="1"/>
    <col min="15360" max="15360" width="20.140625" style="1" customWidth="1"/>
    <col min="15361" max="15361" width="20" style="1" customWidth="1"/>
    <col min="15362" max="15362" width="21.28515625" style="1" customWidth="1"/>
    <col min="15363" max="15365" width="19" style="1" bestFit="1" customWidth="1"/>
    <col min="15366" max="15368" width="20.7109375" style="1" bestFit="1" customWidth="1"/>
    <col min="15369" max="15370" width="14.42578125" style="1" customWidth="1"/>
    <col min="15371" max="15371" width="14" style="1" customWidth="1"/>
    <col min="15372" max="15613" width="9.140625" style="1"/>
    <col min="15614" max="15614" width="25.7109375" style="1" customWidth="1"/>
    <col min="15615" max="15615" width="36.7109375" style="1" customWidth="1"/>
    <col min="15616" max="15616" width="20.140625" style="1" customWidth="1"/>
    <col min="15617" max="15617" width="20" style="1" customWidth="1"/>
    <col min="15618" max="15618" width="21.28515625" style="1" customWidth="1"/>
    <col min="15619" max="15621" width="19" style="1" bestFit="1" customWidth="1"/>
    <col min="15622" max="15624" width="20.7109375" style="1" bestFit="1" customWidth="1"/>
    <col min="15625" max="15626" width="14.42578125" style="1" customWidth="1"/>
    <col min="15627" max="15627" width="14" style="1" customWidth="1"/>
    <col min="15628" max="15869" width="9.140625" style="1"/>
    <col min="15870" max="15870" width="25.7109375" style="1" customWidth="1"/>
    <col min="15871" max="15871" width="36.7109375" style="1" customWidth="1"/>
    <col min="15872" max="15872" width="20.140625" style="1" customWidth="1"/>
    <col min="15873" max="15873" width="20" style="1" customWidth="1"/>
    <col min="15874" max="15874" width="21.28515625" style="1" customWidth="1"/>
    <col min="15875" max="15877" width="19" style="1" bestFit="1" customWidth="1"/>
    <col min="15878" max="15880" width="20.7109375" style="1" bestFit="1" customWidth="1"/>
    <col min="15881" max="15882" width="14.42578125" style="1" customWidth="1"/>
    <col min="15883" max="15883" width="14" style="1" customWidth="1"/>
    <col min="15884" max="16125" width="9.140625" style="1"/>
    <col min="16126" max="16126" width="25.7109375" style="1" customWidth="1"/>
    <col min="16127" max="16127" width="36.7109375" style="1" customWidth="1"/>
    <col min="16128" max="16128" width="20.140625" style="1" customWidth="1"/>
    <col min="16129" max="16129" width="20" style="1" customWidth="1"/>
    <col min="16130" max="16130" width="21.28515625" style="1" customWidth="1"/>
    <col min="16131" max="16133" width="19" style="1" bestFit="1" customWidth="1"/>
    <col min="16134" max="16136" width="20.7109375" style="1" bestFit="1" customWidth="1"/>
    <col min="16137" max="16138" width="14.42578125" style="1" customWidth="1"/>
    <col min="16139" max="16139" width="14" style="1" customWidth="1"/>
    <col min="16140" max="16384" width="9.140625" style="1"/>
  </cols>
  <sheetData>
    <row r="1" spans="1:13" x14ac:dyDescent="0.25">
      <c r="A1" s="78" t="s">
        <v>70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3" ht="2.25" customHeight="1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3" ht="9.75" customHeight="1" x14ac:dyDescent="0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3" ht="16.5" customHeight="1" x14ac:dyDescent="0.25">
      <c r="B4" s="2"/>
      <c r="C4" s="3"/>
      <c r="D4" s="3"/>
      <c r="E4" s="3"/>
      <c r="I4" s="4"/>
      <c r="J4" s="79" t="s">
        <v>66</v>
      </c>
      <c r="K4" s="80"/>
    </row>
    <row r="5" spans="1:13" ht="25.5" customHeight="1" x14ac:dyDescent="0.25">
      <c r="A5" s="81" t="s">
        <v>0</v>
      </c>
      <c r="B5" s="81" t="s">
        <v>1</v>
      </c>
      <c r="C5" s="81" t="s">
        <v>62</v>
      </c>
      <c r="D5" s="81"/>
      <c r="E5" s="81"/>
      <c r="F5" s="82" t="s">
        <v>63</v>
      </c>
      <c r="G5" s="82"/>
      <c r="H5" s="82"/>
      <c r="I5" s="81" t="s">
        <v>64</v>
      </c>
      <c r="J5" s="81"/>
      <c r="K5" s="81"/>
    </row>
    <row r="6" spans="1:13" ht="16.5" customHeight="1" x14ac:dyDescent="0.25">
      <c r="A6" s="81"/>
      <c r="B6" s="81"/>
      <c r="C6" s="5" t="s">
        <v>65</v>
      </c>
      <c r="D6" s="5" t="s">
        <v>69</v>
      </c>
      <c r="E6" s="5" t="s">
        <v>71</v>
      </c>
      <c r="F6" s="5" t="s">
        <v>65</v>
      </c>
      <c r="G6" s="5" t="s">
        <v>69</v>
      </c>
      <c r="H6" s="5" t="s">
        <v>71</v>
      </c>
      <c r="I6" s="5" t="s">
        <v>65</v>
      </c>
      <c r="J6" s="5" t="s">
        <v>69</v>
      </c>
      <c r="K6" s="5" t="s">
        <v>71</v>
      </c>
    </row>
    <row r="7" spans="1:13" ht="15.75" customHeight="1" x14ac:dyDescent="0.25">
      <c r="A7" s="6">
        <v>1</v>
      </c>
      <c r="B7" s="6">
        <v>2</v>
      </c>
      <c r="C7" s="7">
        <v>3</v>
      </c>
      <c r="D7" s="6">
        <v>4</v>
      </c>
      <c r="E7" s="7">
        <v>5</v>
      </c>
      <c r="F7" s="6">
        <v>6</v>
      </c>
      <c r="G7" s="7">
        <v>7</v>
      </c>
      <c r="H7" s="6">
        <v>8</v>
      </c>
      <c r="I7" s="7">
        <v>9</v>
      </c>
      <c r="J7" s="6">
        <v>10</v>
      </c>
      <c r="K7" s="7">
        <v>11</v>
      </c>
    </row>
    <row r="8" spans="1:13" s="2" customFormat="1" ht="33" customHeight="1" x14ac:dyDescent="0.25">
      <c r="A8" s="29" t="s">
        <v>2</v>
      </c>
      <c r="B8" s="8" t="s">
        <v>3</v>
      </c>
      <c r="C8" s="24">
        <f>SUM(C9:C20)</f>
        <v>60384000</v>
      </c>
      <c r="D8" s="24">
        <f t="shared" ref="D8:K8" si="0">SUM(D9:D20)</f>
        <v>64033600</v>
      </c>
      <c r="E8" s="24">
        <f t="shared" si="0"/>
        <v>66074500</v>
      </c>
      <c r="F8" s="24">
        <f t="shared" si="0"/>
        <v>36143400</v>
      </c>
      <c r="G8" s="24">
        <f t="shared" si="0"/>
        <v>34044300</v>
      </c>
      <c r="H8" s="24">
        <f t="shared" si="0"/>
        <v>34931900</v>
      </c>
      <c r="I8" s="24">
        <f t="shared" si="0"/>
        <v>96527400</v>
      </c>
      <c r="J8" s="24">
        <f t="shared" si="0"/>
        <v>98077900</v>
      </c>
      <c r="K8" s="24">
        <f t="shared" si="0"/>
        <v>101006400</v>
      </c>
      <c r="M8" s="34"/>
    </row>
    <row r="9" spans="1:13" ht="45.75" customHeight="1" x14ac:dyDescent="0.25">
      <c r="A9" s="22" t="s">
        <v>4</v>
      </c>
      <c r="B9" s="9" t="s">
        <v>5</v>
      </c>
      <c r="C9" s="25">
        <v>46148000</v>
      </c>
      <c r="D9" s="25">
        <v>48391400</v>
      </c>
      <c r="E9" s="25">
        <v>50824300</v>
      </c>
      <c r="F9" s="25">
        <v>6680400</v>
      </c>
      <c r="G9" s="25">
        <v>7014200</v>
      </c>
      <c r="H9" s="25">
        <v>7364900</v>
      </c>
      <c r="I9" s="26">
        <f>C9+F9</f>
        <v>52828400</v>
      </c>
      <c r="J9" s="26">
        <f t="shared" ref="J9:K9" si="1">D9+G9</f>
        <v>55405600</v>
      </c>
      <c r="K9" s="26">
        <f t="shared" si="1"/>
        <v>58189200</v>
      </c>
      <c r="L9" s="33"/>
      <c r="M9" s="34"/>
    </row>
    <row r="10" spans="1:13" ht="64.5" customHeight="1" x14ac:dyDescent="0.25">
      <c r="A10" s="22" t="s">
        <v>6</v>
      </c>
      <c r="B10" s="9" t="s">
        <v>7</v>
      </c>
      <c r="C10" s="25">
        <f>4258000+3059800</f>
        <v>7317800</v>
      </c>
      <c r="D10" s="25">
        <f>4480000+3220000</f>
        <v>7700000</v>
      </c>
      <c r="E10" s="25">
        <f>4755000+3416500</f>
        <v>8171500</v>
      </c>
      <c r="F10" s="25">
        <f>2915800+2094100-1800</f>
        <v>5008100</v>
      </c>
      <c r="G10" s="25">
        <f>3067900+2203700-1900</f>
        <v>5269700</v>
      </c>
      <c r="H10" s="25">
        <f>3256000+2338400-2000</f>
        <v>5592400</v>
      </c>
      <c r="I10" s="26">
        <f t="shared" ref="I10:I20" si="2">C10+F10</f>
        <v>12325900</v>
      </c>
      <c r="J10" s="26">
        <f t="shared" ref="J10:J20" si="3">D10+G10</f>
        <v>12969700</v>
      </c>
      <c r="K10" s="26">
        <f t="shared" ref="K10:K20" si="4">E10+H10</f>
        <v>13763900</v>
      </c>
      <c r="L10" s="33"/>
      <c r="M10" s="34"/>
    </row>
    <row r="11" spans="1:13" s="11" customFormat="1" ht="39" customHeight="1" x14ac:dyDescent="0.25">
      <c r="A11" s="22" t="s">
        <v>8</v>
      </c>
      <c r="B11" s="9" t="s">
        <v>9</v>
      </c>
      <c r="C11" s="25">
        <v>3665700</v>
      </c>
      <c r="D11" s="25">
        <v>4579800</v>
      </c>
      <c r="E11" s="25">
        <v>3698000</v>
      </c>
      <c r="F11" s="25">
        <f>12800+1800</f>
        <v>14600</v>
      </c>
      <c r="G11" s="25">
        <f>13700+1900</f>
        <v>15600</v>
      </c>
      <c r="H11" s="25">
        <f>14700+2000</f>
        <v>16700</v>
      </c>
      <c r="I11" s="26">
        <f t="shared" si="2"/>
        <v>3680300</v>
      </c>
      <c r="J11" s="26">
        <f t="shared" si="3"/>
        <v>4595400</v>
      </c>
      <c r="K11" s="26">
        <f t="shared" si="4"/>
        <v>3714700</v>
      </c>
      <c r="L11" s="33"/>
      <c r="M11" s="34"/>
    </row>
    <row r="12" spans="1:13" ht="27" customHeight="1" x14ac:dyDescent="0.25">
      <c r="A12" s="22" t="s">
        <v>10</v>
      </c>
      <c r="B12" s="9" t="s">
        <v>11</v>
      </c>
      <c r="C12" s="25"/>
      <c r="D12" s="25"/>
      <c r="E12" s="25"/>
      <c r="F12" s="25">
        <v>19414000</v>
      </c>
      <c r="G12" s="25">
        <v>19656000</v>
      </c>
      <c r="H12" s="25">
        <v>19869000</v>
      </c>
      <c r="I12" s="26">
        <f t="shared" si="2"/>
        <v>19414000</v>
      </c>
      <c r="J12" s="26">
        <f t="shared" si="3"/>
        <v>19656000</v>
      </c>
      <c r="K12" s="26">
        <f t="shared" si="4"/>
        <v>19869000</v>
      </c>
      <c r="L12" s="33"/>
      <c r="M12" s="34"/>
    </row>
    <row r="13" spans="1:13" ht="52.5" customHeight="1" x14ac:dyDescent="0.25">
      <c r="A13" s="22" t="s">
        <v>12</v>
      </c>
      <c r="B13" s="9" t="s">
        <v>13</v>
      </c>
      <c r="C13" s="25"/>
      <c r="D13" s="25"/>
      <c r="E13" s="25"/>
      <c r="F13" s="25"/>
      <c r="G13" s="25"/>
      <c r="H13" s="25"/>
      <c r="I13" s="26">
        <f t="shared" si="2"/>
        <v>0</v>
      </c>
      <c r="J13" s="26">
        <f t="shared" si="3"/>
        <v>0</v>
      </c>
      <c r="K13" s="26">
        <f t="shared" si="4"/>
        <v>0</v>
      </c>
      <c r="L13" s="33"/>
      <c r="M13" s="34"/>
    </row>
    <row r="14" spans="1:13" ht="22.5" customHeight="1" x14ac:dyDescent="0.25">
      <c r="A14" s="22" t="s">
        <v>14</v>
      </c>
      <c r="B14" s="9" t="s">
        <v>15</v>
      </c>
      <c r="C14" s="25">
        <v>1100000</v>
      </c>
      <c r="D14" s="25">
        <v>1100000</v>
      </c>
      <c r="E14" s="25">
        <v>1100000</v>
      </c>
      <c r="F14" s="25"/>
      <c r="G14" s="25"/>
      <c r="H14" s="25"/>
      <c r="I14" s="26">
        <f t="shared" si="2"/>
        <v>1100000</v>
      </c>
      <c r="J14" s="26">
        <f t="shared" si="3"/>
        <v>1100000</v>
      </c>
      <c r="K14" s="26">
        <f t="shared" si="4"/>
        <v>1100000</v>
      </c>
      <c r="L14" s="33"/>
      <c r="M14" s="34"/>
    </row>
    <row r="15" spans="1:13" ht="85.5" customHeight="1" x14ac:dyDescent="0.25">
      <c r="A15" s="22" t="s">
        <v>16</v>
      </c>
      <c r="B15" s="9" t="s">
        <v>17</v>
      </c>
      <c r="C15" s="25">
        <v>1477100</v>
      </c>
      <c r="D15" s="25">
        <v>1572400</v>
      </c>
      <c r="E15" s="25">
        <v>1575400</v>
      </c>
      <c r="F15" s="25">
        <v>1850300</v>
      </c>
      <c r="G15" s="25">
        <v>1912800</v>
      </c>
      <c r="H15" s="25">
        <v>1912900</v>
      </c>
      <c r="I15" s="26">
        <f t="shared" si="2"/>
        <v>3327400</v>
      </c>
      <c r="J15" s="26">
        <f t="shared" si="3"/>
        <v>3485200</v>
      </c>
      <c r="K15" s="26">
        <f t="shared" si="4"/>
        <v>3488300</v>
      </c>
      <c r="L15" s="33"/>
      <c r="M15" s="34"/>
    </row>
    <row r="16" spans="1:13" ht="36" customHeight="1" x14ac:dyDescent="0.25">
      <c r="A16" s="22" t="s">
        <v>18</v>
      </c>
      <c r="B16" s="9" t="s">
        <v>19</v>
      </c>
      <c r="C16" s="25">
        <v>103400</v>
      </c>
      <c r="D16" s="25">
        <v>103400</v>
      </c>
      <c r="E16" s="25">
        <v>103400</v>
      </c>
      <c r="F16" s="25"/>
      <c r="G16" s="25"/>
      <c r="H16" s="25"/>
      <c r="I16" s="26">
        <f t="shared" si="2"/>
        <v>103400</v>
      </c>
      <c r="J16" s="26">
        <f t="shared" si="3"/>
        <v>103400</v>
      </c>
      <c r="K16" s="26">
        <f t="shared" si="4"/>
        <v>103400</v>
      </c>
      <c r="L16" s="33"/>
      <c r="M16" s="34"/>
    </row>
    <row r="17" spans="1:15" s="11" customFormat="1" ht="66.75" customHeight="1" x14ac:dyDescent="0.25">
      <c r="A17" s="22" t="s">
        <v>20</v>
      </c>
      <c r="B17" s="9" t="s">
        <v>21</v>
      </c>
      <c r="C17" s="25">
        <v>332000</v>
      </c>
      <c r="D17" s="25">
        <v>346600</v>
      </c>
      <c r="E17" s="25">
        <v>361900</v>
      </c>
      <c r="F17" s="25">
        <v>26000</v>
      </c>
      <c r="G17" s="25">
        <v>26000</v>
      </c>
      <c r="H17" s="25">
        <v>26000</v>
      </c>
      <c r="I17" s="26">
        <f t="shared" si="2"/>
        <v>358000</v>
      </c>
      <c r="J17" s="26">
        <f t="shared" si="3"/>
        <v>372600</v>
      </c>
      <c r="K17" s="26">
        <f t="shared" si="4"/>
        <v>387900</v>
      </c>
      <c r="L17" s="33"/>
      <c r="M17" s="34"/>
    </row>
    <row r="18" spans="1:15" s="11" customFormat="1" ht="54.75" customHeight="1" x14ac:dyDescent="0.25">
      <c r="A18" s="22" t="s">
        <v>22</v>
      </c>
      <c r="B18" s="9" t="s">
        <v>23</v>
      </c>
      <c r="C18" s="25">
        <v>200000</v>
      </c>
      <c r="D18" s="25">
        <v>200000</v>
      </c>
      <c r="E18" s="25">
        <v>200000</v>
      </c>
      <c r="F18" s="25">
        <v>3150000</v>
      </c>
      <c r="G18" s="25">
        <v>150000</v>
      </c>
      <c r="H18" s="25">
        <v>150000</v>
      </c>
      <c r="I18" s="26">
        <f t="shared" si="2"/>
        <v>3350000</v>
      </c>
      <c r="J18" s="26">
        <f t="shared" si="3"/>
        <v>350000</v>
      </c>
      <c r="K18" s="26">
        <f t="shared" si="4"/>
        <v>350000</v>
      </c>
      <c r="L18" s="33"/>
      <c r="M18" s="34"/>
    </row>
    <row r="19" spans="1:15" ht="31.5" x14ac:dyDescent="0.25">
      <c r="A19" s="22" t="s">
        <v>24</v>
      </c>
      <c r="B19" s="9" t="s">
        <v>25</v>
      </c>
      <c r="C19" s="25"/>
      <c r="D19" s="25"/>
      <c r="E19" s="25"/>
      <c r="F19" s="25"/>
      <c r="G19" s="25"/>
      <c r="H19" s="25"/>
      <c r="I19" s="26">
        <f t="shared" si="2"/>
        <v>0</v>
      </c>
      <c r="J19" s="26">
        <f t="shared" si="3"/>
        <v>0</v>
      </c>
      <c r="K19" s="26">
        <f t="shared" si="4"/>
        <v>0</v>
      </c>
      <c r="L19" s="33"/>
      <c r="M19" s="34"/>
    </row>
    <row r="20" spans="1:15" ht="32.25" thickBot="1" x14ac:dyDescent="0.3">
      <c r="A20" s="23" t="s">
        <v>26</v>
      </c>
      <c r="B20" s="12" t="s">
        <v>27</v>
      </c>
      <c r="C20" s="25">
        <v>40000</v>
      </c>
      <c r="D20" s="25">
        <v>40000</v>
      </c>
      <c r="E20" s="25">
        <v>40000</v>
      </c>
      <c r="F20" s="25"/>
      <c r="G20" s="25"/>
      <c r="H20" s="25"/>
      <c r="I20" s="26">
        <f t="shared" si="2"/>
        <v>40000</v>
      </c>
      <c r="J20" s="26">
        <f t="shared" si="3"/>
        <v>40000</v>
      </c>
      <c r="K20" s="26">
        <f t="shared" si="4"/>
        <v>40000</v>
      </c>
      <c r="L20" s="33"/>
      <c r="M20" s="34"/>
    </row>
    <row r="21" spans="1:15" s="11" customFormat="1" ht="31.5" x14ac:dyDescent="0.25">
      <c r="A21" s="28" t="s">
        <v>28</v>
      </c>
      <c r="B21" s="29" t="s">
        <v>29</v>
      </c>
      <c r="C21" s="30">
        <v>203594145.97999999</v>
      </c>
      <c r="D21" s="30">
        <v>214980397.69999999</v>
      </c>
      <c r="E21" s="30">
        <v>199082538.59999999</v>
      </c>
      <c r="F21" s="30">
        <f>73004713.26+3059800</f>
        <v>76064513.260000005</v>
      </c>
      <c r="G21" s="30">
        <f>22693620.18+3220000</f>
        <v>25913620.18</v>
      </c>
      <c r="H21" s="30">
        <f>30248872.34+3416500</f>
        <v>33665372.340000004</v>
      </c>
      <c r="I21" s="31">
        <f>C21+19890042.26+45000000-6497492</f>
        <v>261986696.24000001</v>
      </c>
      <c r="J21" s="31">
        <f>D21+14347972.18-6502879</f>
        <v>222825490.88</v>
      </c>
      <c r="K21" s="31">
        <f>E21+21514445.74-6526524+74368.6</f>
        <v>214144828.94</v>
      </c>
      <c r="L21" s="33"/>
      <c r="M21" s="34"/>
    </row>
    <row r="22" spans="1:15" s="11" customFormat="1" ht="24" customHeight="1" x14ac:dyDescent="0.25">
      <c r="A22" s="75" t="s">
        <v>30</v>
      </c>
      <c r="B22" s="75"/>
      <c r="C22" s="27">
        <f t="shared" ref="C22:J22" si="5">C8+C21</f>
        <v>263978145.97999999</v>
      </c>
      <c r="D22" s="27">
        <f t="shared" si="5"/>
        <v>279013997.69999999</v>
      </c>
      <c r="E22" s="27">
        <f t="shared" si="5"/>
        <v>265157038.59999999</v>
      </c>
      <c r="F22" s="27">
        <f t="shared" si="5"/>
        <v>112207913.26000001</v>
      </c>
      <c r="G22" s="27">
        <f t="shared" si="5"/>
        <v>59957920.18</v>
      </c>
      <c r="H22" s="27">
        <f t="shared" si="5"/>
        <v>68597272.340000004</v>
      </c>
      <c r="I22" s="27">
        <f>I8+I21</f>
        <v>358514096.24000001</v>
      </c>
      <c r="J22" s="27">
        <f t="shared" si="5"/>
        <v>320903390.88</v>
      </c>
      <c r="K22" s="27">
        <f>K8+K21</f>
        <v>315151228.94</v>
      </c>
      <c r="L22" s="33"/>
      <c r="M22" s="34"/>
    </row>
    <row r="23" spans="1:15" s="11" customFormat="1" ht="30" customHeight="1" x14ac:dyDescent="0.25">
      <c r="A23" s="76" t="s">
        <v>31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33"/>
    </row>
    <row r="24" spans="1:15" s="2" customFormat="1" ht="36" customHeight="1" x14ac:dyDescent="0.25">
      <c r="A24" s="21" t="s">
        <v>32</v>
      </c>
      <c r="B24" s="13" t="s">
        <v>33</v>
      </c>
      <c r="C24" s="19">
        <v>31358192</v>
      </c>
      <c r="D24" s="19">
        <f>31164892+175000+3497300</f>
        <v>34837192</v>
      </c>
      <c r="E24" s="19">
        <f>31197466+6800000</f>
        <v>37997466</v>
      </c>
      <c r="F24" s="10">
        <v>7854150</v>
      </c>
      <c r="G24" s="10">
        <v>8171846</v>
      </c>
      <c r="H24" s="10">
        <v>9130711</v>
      </c>
      <c r="I24" s="10">
        <f>C24+F24-200-20400-2500</f>
        <v>39189242</v>
      </c>
      <c r="J24" s="10">
        <f t="shared" ref="J24:K24" si="6">D24+G24-200-20400-2500</f>
        <v>42985938</v>
      </c>
      <c r="K24" s="10">
        <f t="shared" si="6"/>
        <v>47105077</v>
      </c>
      <c r="L24" s="33"/>
      <c r="M24" s="34"/>
      <c r="N24" s="11"/>
      <c r="O24" s="11"/>
    </row>
    <row r="25" spans="1:15" s="11" customFormat="1" ht="19.5" customHeight="1" x14ac:dyDescent="0.25">
      <c r="A25" s="21" t="s">
        <v>34</v>
      </c>
      <c r="B25" s="13" t="s">
        <v>35</v>
      </c>
      <c r="C25" s="19">
        <v>1617579</v>
      </c>
      <c r="D25" s="19">
        <v>1631943</v>
      </c>
      <c r="E25" s="19">
        <v>1694998</v>
      </c>
      <c r="F25" s="10">
        <v>1010987</v>
      </c>
      <c r="G25" s="10">
        <v>1019964</v>
      </c>
      <c r="H25" s="10">
        <v>1059374</v>
      </c>
      <c r="I25" s="10">
        <f>C25+F25-606592-1010987</f>
        <v>1010987</v>
      </c>
      <c r="J25" s="10">
        <f>D25+G25-611979-1019964</f>
        <v>1019964</v>
      </c>
      <c r="K25" s="10">
        <f>E25+H25-1059374-635624</f>
        <v>1059374</v>
      </c>
      <c r="L25" s="33"/>
      <c r="M25" s="34"/>
    </row>
    <row r="26" spans="1:15" ht="71.25" customHeight="1" x14ac:dyDescent="0.25">
      <c r="A26" s="21" t="s">
        <v>36</v>
      </c>
      <c r="B26" s="13" t="s">
        <v>37</v>
      </c>
      <c r="C26" s="19">
        <v>3159400</v>
      </c>
      <c r="D26" s="19">
        <v>3159400</v>
      </c>
      <c r="E26" s="19">
        <v>3159400</v>
      </c>
      <c r="F26" s="10">
        <f>378280+182940</f>
        <v>561220</v>
      </c>
      <c r="G26" s="10">
        <v>315280</v>
      </c>
      <c r="H26" s="10">
        <v>315280</v>
      </c>
      <c r="I26" s="10">
        <f t="shared" ref="I26:I36" si="7">C26+F26</f>
        <v>3720620</v>
      </c>
      <c r="J26" s="10">
        <f t="shared" ref="J26:J36" si="8">D26+G26</f>
        <v>3474680</v>
      </c>
      <c r="K26" s="10">
        <f t="shared" ref="K26:K36" si="9">E26+H26</f>
        <v>3474680</v>
      </c>
      <c r="L26" s="33"/>
      <c r="M26" s="35"/>
      <c r="N26" s="11"/>
      <c r="O26" s="11"/>
    </row>
    <row r="27" spans="1:15" s="11" customFormat="1" ht="21" customHeight="1" x14ac:dyDescent="0.25">
      <c r="A27" s="21" t="s">
        <v>38</v>
      </c>
      <c r="B27" s="13" t="s">
        <v>39</v>
      </c>
      <c r="C27" s="19">
        <f>6118270.2+3059800</f>
        <v>9178070.1999999993</v>
      </c>
      <c r="D27" s="19">
        <f>6340270.2+3220000</f>
        <v>9560270.1999999993</v>
      </c>
      <c r="E27" s="19">
        <f>6615270.2+3416500</f>
        <v>10031770.199999999</v>
      </c>
      <c r="F27" s="10">
        <f>23613310+41760+3059800+2094100</f>
        <v>28808970</v>
      </c>
      <c r="G27" s="10">
        <f>18512909+3220000+2203700</f>
        <v>23936609</v>
      </c>
      <c r="H27" s="10">
        <f>20860272+3416500+2338400</f>
        <v>26615172</v>
      </c>
      <c r="I27" s="10">
        <f>C27+F27-4258000-3059800</f>
        <v>30669240.200000003</v>
      </c>
      <c r="J27" s="10">
        <f>D27+G27-4480000-3220000</f>
        <v>25796879.199999999</v>
      </c>
      <c r="K27" s="10">
        <f>E27+H27-4755000-3416500</f>
        <v>28475442.200000003</v>
      </c>
      <c r="L27" s="33"/>
      <c r="M27" s="34"/>
    </row>
    <row r="28" spans="1:15" s="14" customFormat="1" ht="37.5" customHeight="1" x14ac:dyDescent="0.25">
      <c r="A28" s="21" t="s">
        <v>40</v>
      </c>
      <c r="B28" s="13" t="s">
        <v>41</v>
      </c>
      <c r="C28" s="19">
        <v>2070691.18</v>
      </c>
      <c r="D28" s="19">
        <v>30923809.440000001</v>
      </c>
      <c r="E28" s="19">
        <v>16725833.65</v>
      </c>
      <c r="F28" s="10">
        <f>67450337.35-600</f>
        <v>67449737.349999994</v>
      </c>
      <c r="G28" s="10">
        <f>19985827.22-600</f>
        <v>19985227.219999999</v>
      </c>
      <c r="H28" s="10">
        <f>24914751.84-600</f>
        <v>24914151.84</v>
      </c>
      <c r="I28" s="10">
        <f>C28+F28-82484</f>
        <v>69437944.530000001</v>
      </c>
      <c r="J28" s="10">
        <f>D28+G28-82484</f>
        <v>50826552.659999996</v>
      </c>
      <c r="K28" s="10">
        <f>E28+H28-82484</f>
        <v>41557501.490000002</v>
      </c>
      <c r="L28" s="33"/>
      <c r="M28" s="35"/>
      <c r="N28" s="11"/>
      <c r="O28" s="11"/>
    </row>
    <row r="29" spans="1:15" s="11" customFormat="1" ht="31.5" x14ac:dyDescent="0.25">
      <c r="A29" s="21" t="s">
        <v>42</v>
      </c>
      <c r="B29" s="13" t="s">
        <v>43</v>
      </c>
      <c r="C29" s="10"/>
      <c r="D29" s="10"/>
      <c r="E29" s="10"/>
      <c r="F29" s="10"/>
      <c r="G29" s="10"/>
      <c r="H29" s="10"/>
      <c r="I29" s="10">
        <f t="shared" si="7"/>
        <v>0</v>
      </c>
      <c r="J29" s="10">
        <f t="shared" si="8"/>
        <v>0</v>
      </c>
      <c r="K29" s="10">
        <f t="shared" si="9"/>
        <v>0</v>
      </c>
      <c r="L29" s="33"/>
      <c r="M29" s="35"/>
    </row>
    <row r="30" spans="1:15" ht="23.25" customHeight="1" x14ac:dyDescent="0.25">
      <c r="A30" s="21" t="s">
        <v>44</v>
      </c>
      <c r="B30" s="13" t="s">
        <v>45</v>
      </c>
      <c r="C30" s="19">
        <f>164020963+1458464</f>
        <v>165479427</v>
      </c>
      <c r="D30" s="19">
        <f>152653918+1458464</f>
        <v>154112382</v>
      </c>
      <c r="E30" s="19">
        <f>152478817+1634210</f>
        <v>154113027</v>
      </c>
      <c r="F30" s="10"/>
      <c r="G30" s="10"/>
      <c r="H30" s="10"/>
      <c r="I30" s="10">
        <f t="shared" si="7"/>
        <v>165479427</v>
      </c>
      <c r="J30" s="10">
        <f t="shared" si="8"/>
        <v>154112382</v>
      </c>
      <c r="K30" s="10">
        <f t="shared" si="9"/>
        <v>154113027</v>
      </c>
      <c r="L30" s="33"/>
      <c r="M30" s="35"/>
      <c r="N30" s="11"/>
      <c r="O30" s="11"/>
    </row>
    <row r="31" spans="1:15" ht="36" customHeight="1" x14ac:dyDescent="0.25">
      <c r="A31" s="21" t="s">
        <v>46</v>
      </c>
      <c r="B31" s="13" t="s">
        <v>47</v>
      </c>
      <c r="C31" s="19">
        <v>21382668.420000002</v>
      </c>
      <c r="D31" s="19">
        <v>19461690.16</v>
      </c>
      <c r="E31" s="19">
        <v>20530985.949999999</v>
      </c>
      <c r="F31" s="10">
        <v>5603500</v>
      </c>
      <c r="G31" s="10">
        <v>5603500</v>
      </c>
      <c r="H31" s="10">
        <v>5603500</v>
      </c>
      <c r="I31" s="10">
        <f>C31+F31-5600000</f>
        <v>21386168.420000002</v>
      </c>
      <c r="J31" s="10">
        <f>D31+G31-5600000</f>
        <v>19465190.16</v>
      </c>
      <c r="K31" s="10">
        <f>E31+H31-5600000</f>
        <v>20534485.949999999</v>
      </c>
      <c r="L31" s="33"/>
      <c r="M31" s="35"/>
      <c r="N31" s="11"/>
      <c r="O31" s="11"/>
    </row>
    <row r="32" spans="1:15" ht="18.75" customHeight="1" x14ac:dyDescent="0.25">
      <c r="A32" s="21" t="s">
        <v>48</v>
      </c>
      <c r="B32" s="13" t="s">
        <v>49</v>
      </c>
      <c r="C32" s="10"/>
      <c r="D32" s="10"/>
      <c r="E32" s="10"/>
      <c r="F32" s="10"/>
      <c r="G32" s="10"/>
      <c r="H32" s="10"/>
      <c r="I32" s="10">
        <f t="shared" si="7"/>
        <v>0</v>
      </c>
      <c r="J32" s="10">
        <f t="shared" si="8"/>
        <v>0</v>
      </c>
      <c r="K32" s="10">
        <f t="shared" si="9"/>
        <v>0</v>
      </c>
      <c r="L32" s="33"/>
      <c r="M32" s="35"/>
      <c r="N32" s="11"/>
      <c r="O32" s="11"/>
    </row>
    <row r="33" spans="1:15" ht="18.75" customHeight="1" x14ac:dyDescent="0.25">
      <c r="A33" s="21" t="s">
        <v>50</v>
      </c>
      <c r="B33" s="13" t="s">
        <v>51</v>
      </c>
      <c r="C33" s="19">
        <v>25337592.18</v>
      </c>
      <c r="D33" s="19">
        <v>18840012.899999999</v>
      </c>
      <c r="E33" s="19">
        <v>17352057.800000001</v>
      </c>
      <c r="F33" s="10">
        <v>651348.91</v>
      </c>
      <c r="G33" s="10">
        <v>657493.96</v>
      </c>
      <c r="H33" s="10">
        <v>691083.5</v>
      </c>
      <c r="I33" s="10">
        <f t="shared" si="7"/>
        <v>25988941.09</v>
      </c>
      <c r="J33" s="10">
        <f t="shared" si="8"/>
        <v>19497506.859999999</v>
      </c>
      <c r="K33" s="10">
        <f t="shared" si="9"/>
        <v>18043141.300000001</v>
      </c>
      <c r="L33" s="33"/>
      <c r="M33" s="35"/>
      <c r="N33" s="11"/>
      <c r="O33" s="11"/>
    </row>
    <row r="34" spans="1:15" ht="36" customHeight="1" x14ac:dyDescent="0.25">
      <c r="A34" s="21" t="s">
        <v>52</v>
      </c>
      <c r="B34" s="13" t="s">
        <v>53</v>
      </c>
      <c r="C34" s="19">
        <v>1631526</v>
      </c>
      <c r="D34" s="19">
        <v>3724298</v>
      </c>
      <c r="E34" s="19">
        <v>788500</v>
      </c>
      <c r="F34" s="10">
        <v>268000</v>
      </c>
      <c r="G34" s="10">
        <v>268000</v>
      </c>
      <c r="H34" s="10">
        <v>268000</v>
      </c>
      <c r="I34" s="10">
        <f>C34+F34-268000</f>
        <v>1631526</v>
      </c>
      <c r="J34" s="10">
        <f t="shared" ref="J34:K34" si="10">D34+G34-268000</f>
        <v>3724298</v>
      </c>
      <c r="K34" s="10">
        <f t="shared" si="10"/>
        <v>788500</v>
      </c>
      <c r="L34" s="33"/>
      <c r="M34" s="35"/>
      <c r="N34" s="11"/>
      <c r="O34" s="11"/>
    </row>
    <row r="35" spans="1:15" ht="35.25" customHeight="1" x14ac:dyDescent="0.25">
      <c r="A35" s="21" t="s">
        <v>54</v>
      </c>
      <c r="B35" s="13" t="s">
        <v>55</v>
      </c>
      <c r="C35" s="10"/>
      <c r="D35" s="10"/>
      <c r="E35" s="10"/>
      <c r="F35" s="10"/>
      <c r="G35" s="10"/>
      <c r="H35" s="10"/>
      <c r="I35" s="10">
        <f t="shared" si="7"/>
        <v>0</v>
      </c>
      <c r="J35" s="10">
        <f t="shared" si="8"/>
        <v>0</v>
      </c>
      <c r="K35" s="10">
        <f t="shared" si="9"/>
        <v>0</v>
      </c>
      <c r="L35" s="33"/>
      <c r="M35" s="35"/>
    </row>
    <row r="36" spans="1:15" ht="52.5" customHeight="1" x14ac:dyDescent="0.25">
      <c r="A36" s="21" t="s">
        <v>56</v>
      </c>
      <c r="B36" s="13" t="s">
        <v>57</v>
      </c>
      <c r="C36" s="10"/>
      <c r="D36" s="10"/>
      <c r="E36" s="10"/>
      <c r="F36" s="10"/>
      <c r="G36" s="10"/>
      <c r="H36" s="10"/>
      <c r="I36" s="10">
        <f t="shared" si="7"/>
        <v>0</v>
      </c>
      <c r="J36" s="10">
        <f t="shared" si="8"/>
        <v>0</v>
      </c>
      <c r="K36" s="10">
        <f t="shared" si="9"/>
        <v>0</v>
      </c>
      <c r="L36" s="33"/>
      <c r="M36" s="35"/>
    </row>
    <row r="37" spans="1:15" ht="115.5" customHeight="1" x14ac:dyDescent="0.25">
      <c r="A37" s="21" t="s">
        <v>58</v>
      </c>
      <c r="B37" s="13" t="s">
        <v>59</v>
      </c>
      <c r="C37" s="19">
        <v>2763000</v>
      </c>
      <c r="D37" s="19">
        <v>2763000</v>
      </c>
      <c r="E37" s="19">
        <v>2763000</v>
      </c>
      <c r="F37" s="10"/>
      <c r="G37" s="10"/>
      <c r="H37" s="10"/>
      <c r="I37" s="10">
        <v>0</v>
      </c>
      <c r="J37" s="10">
        <v>0</v>
      </c>
      <c r="K37" s="10">
        <v>0</v>
      </c>
      <c r="L37" s="33"/>
      <c r="M37" s="35"/>
    </row>
    <row r="38" spans="1:15" ht="36.75" customHeight="1" x14ac:dyDescent="0.25">
      <c r="A38" s="21" t="s">
        <v>67</v>
      </c>
      <c r="B38" s="13" t="s">
        <v>68</v>
      </c>
      <c r="C38" s="19"/>
      <c r="D38" s="19"/>
      <c r="E38" s="19"/>
      <c r="F38" s="10"/>
      <c r="G38" s="10"/>
      <c r="H38" s="10"/>
      <c r="I38" s="10">
        <f>C38+F38</f>
        <v>0</v>
      </c>
      <c r="J38" s="10">
        <f t="shared" ref="J38:K38" si="11">D38+G38</f>
        <v>0</v>
      </c>
      <c r="K38" s="10">
        <f t="shared" si="11"/>
        <v>0</v>
      </c>
      <c r="L38" s="33"/>
      <c r="M38" s="35"/>
    </row>
    <row r="39" spans="1:15" ht="20.25" customHeight="1" x14ac:dyDescent="0.25">
      <c r="A39" s="75" t="s">
        <v>60</v>
      </c>
      <c r="B39" s="75"/>
      <c r="C39" s="18">
        <f>SUM(C24:C38)</f>
        <v>263978145.98000002</v>
      </c>
      <c r="D39" s="18">
        <f t="shared" ref="D39:K39" si="12">SUM(D24:D38)</f>
        <v>279013997.69999999</v>
      </c>
      <c r="E39" s="18">
        <f t="shared" si="12"/>
        <v>265157038.60000002</v>
      </c>
      <c r="F39" s="18">
        <f t="shared" si="12"/>
        <v>112207913.25999999</v>
      </c>
      <c r="G39" s="18">
        <f t="shared" si="12"/>
        <v>59957920.18</v>
      </c>
      <c r="H39" s="18">
        <f t="shared" si="12"/>
        <v>68597272.340000004</v>
      </c>
      <c r="I39" s="18">
        <f>SUM(I24:I38)</f>
        <v>358514096.24000001</v>
      </c>
      <c r="J39" s="18">
        <f t="shared" si="12"/>
        <v>320903390.88000005</v>
      </c>
      <c r="K39" s="18">
        <f t="shared" si="12"/>
        <v>315151228.94</v>
      </c>
      <c r="L39" s="33"/>
      <c r="M39" s="35"/>
    </row>
    <row r="40" spans="1:15" ht="25.5" customHeight="1" x14ac:dyDescent="0.25">
      <c r="A40" s="77" t="s">
        <v>61</v>
      </c>
      <c r="B40" s="77"/>
      <c r="C40" s="15">
        <f>C22-C39</f>
        <v>0</v>
      </c>
      <c r="D40" s="15">
        <f t="shared" ref="D40:K40" si="13">D22-D39</f>
        <v>0</v>
      </c>
      <c r="E40" s="15">
        <f t="shared" si="13"/>
        <v>0</v>
      </c>
      <c r="F40" s="15">
        <f t="shared" si="13"/>
        <v>0</v>
      </c>
      <c r="G40" s="15">
        <f t="shared" si="13"/>
        <v>0</v>
      </c>
      <c r="H40" s="15">
        <f t="shared" si="13"/>
        <v>0</v>
      </c>
      <c r="I40" s="15">
        <f t="shared" si="13"/>
        <v>0</v>
      </c>
      <c r="J40" s="15">
        <f t="shared" si="13"/>
        <v>0</v>
      </c>
      <c r="K40" s="15">
        <f t="shared" si="13"/>
        <v>0</v>
      </c>
      <c r="L40" s="33"/>
    </row>
    <row r="41" spans="1:15" x14ac:dyDescent="0.25">
      <c r="J41" s="17"/>
    </row>
    <row r="42" spans="1:15" hidden="1" x14ac:dyDescent="0.25">
      <c r="C42" s="20">
        <f>C39-C43</f>
        <v>20764009.310000032</v>
      </c>
      <c r="D42" s="20">
        <f t="shared" ref="D42:H42" si="14">D39-D43</f>
        <v>44293320.159999996</v>
      </c>
      <c r="E42" s="20">
        <f t="shared" si="14"/>
        <v>29999635.360000014</v>
      </c>
      <c r="F42" s="20">
        <f t="shared" si="14"/>
        <v>71722098.25999999</v>
      </c>
      <c r="G42" s="20">
        <f t="shared" si="14"/>
        <v>19136805.18</v>
      </c>
      <c r="H42" s="20">
        <f t="shared" si="14"/>
        <v>25236957.340000004</v>
      </c>
      <c r="I42" s="20">
        <f>I43+I44+I45</f>
        <v>-15366404</v>
      </c>
      <c r="J42" s="20">
        <f t="shared" ref="J42:K42" si="15">J43+J44+J45</f>
        <v>-13122204</v>
      </c>
      <c r="K42" s="20">
        <f t="shared" si="15"/>
        <v>-13660104</v>
      </c>
    </row>
    <row r="43" spans="1:15" hidden="1" x14ac:dyDescent="0.25">
      <c r="C43" s="1">
        <v>243214136.66999999</v>
      </c>
      <c r="D43" s="1">
        <v>234720677.53999999</v>
      </c>
      <c r="E43" s="1">
        <v>235157403.24000001</v>
      </c>
      <c r="F43" s="1">
        <f t="shared" ref="F43:G43" si="16">SUM(F44:F49)</f>
        <v>40485815</v>
      </c>
      <c r="G43" s="1">
        <f t="shared" si="16"/>
        <v>40821115</v>
      </c>
      <c r="H43" s="1">
        <f>SUM(H44:H49)</f>
        <v>43360315</v>
      </c>
      <c r="I43" s="1">
        <f>-991314-200-6375000-85601-600</f>
        <v>-7452715</v>
      </c>
      <c r="J43" s="1">
        <f>-991314-200-4130800-85601-600</f>
        <v>-5208515</v>
      </c>
      <c r="K43" s="1">
        <f>-991314-200-4668700-85601-600</f>
        <v>-5746415</v>
      </c>
    </row>
    <row r="44" spans="1:15" hidden="1" x14ac:dyDescent="0.25">
      <c r="C44" s="1"/>
      <c r="D44" s="1"/>
      <c r="E44" s="1"/>
      <c r="F44" s="1">
        <v>25488689</v>
      </c>
      <c r="G44" s="1">
        <v>24969589</v>
      </c>
      <c r="H44" s="1">
        <v>26438089</v>
      </c>
      <c r="I44" s="1">
        <f>-4090900-594789</f>
        <v>-4685689</v>
      </c>
      <c r="J44" s="1">
        <f t="shared" ref="J44:K44" si="17">-4090900-594789</f>
        <v>-4685689</v>
      </c>
      <c r="K44" s="1">
        <f t="shared" si="17"/>
        <v>-4685689</v>
      </c>
    </row>
    <row r="45" spans="1:15" hidden="1" x14ac:dyDescent="0.25">
      <c r="C45" s="1"/>
      <c r="D45" s="1"/>
      <c r="E45" s="1"/>
      <c r="F45" s="1">
        <v>2338267</v>
      </c>
      <c r="G45" s="1">
        <v>2457390</v>
      </c>
      <c r="H45" s="1">
        <v>2602762</v>
      </c>
      <c r="I45" s="1">
        <v>-3228000</v>
      </c>
      <c r="J45" s="1">
        <v>-3228000</v>
      </c>
      <c r="K45" s="1">
        <v>-3228000</v>
      </c>
    </row>
    <row r="46" spans="1:15" hidden="1" x14ac:dyDescent="0.25">
      <c r="C46" s="1"/>
      <c r="D46" s="1"/>
      <c r="E46" s="1"/>
      <c r="F46" s="1">
        <v>3161219</v>
      </c>
      <c r="G46" s="1">
        <v>3362350</v>
      </c>
      <c r="H46" s="1">
        <v>3586382</v>
      </c>
      <c r="K46" s="20"/>
    </row>
    <row r="47" spans="1:15" hidden="1" x14ac:dyDescent="0.25">
      <c r="C47" s="1"/>
      <c r="D47" s="1"/>
      <c r="E47" s="1"/>
      <c r="F47" s="1">
        <v>3799193</v>
      </c>
      <c r="G47" s="1">
        <v>3994755</v>
      </c>
      <c r="H47" s="1">
        <v>4208223</v>
      </c>
    </row>
    <row r="48" spans="1:15" hidden="1" x14ac:dyDescent="0.25">
      <c r="C48" s="1"/>
      <c r="D48" s="1"/>
      <c r="E48" s="1"/>
      <c r="F48" s="1">
        <v>2731348</v>
      </c>
      <c r="G48" s="1">
        <v>2868090</v>
      </c>
      <c r="H48" s="1">
        <v>3088270</v>
      </c>
    </row>
    <row r="49" spans="3:11" hidden="1" x14ac:dyDescent="0.25">
      <c r="C49" s="1"/>
      <c r="D49" s="1"/>
      <c r="E49" s="1"/>
      <c r="F49" s="1">
        <v>2967099</v>
      </c>
      <c r="G49" s="1">
        <v>3168941</v>
      </c>
      <c r="H49" s="1">
        <v>3436589</v>
      </c>
    </row>
    <row r="50" spans="3:11" hidden="1" x14ac:dyDescent="0.25">
      <c r="C50" s="1"/>
      <c r="D50" s="1"/>
      <c r="E50" s="1"/>
    </row>
    <row r="51" spans="3:11" hidden="1" x14ac:dyDescent="0.25">
      <c r="C51" s="1"/>
      <c r="D51" s="1"/>
      <c r="E51" s="1"/>
    </row>
    <row r="52" spans="3:11" hidden="1" x14ac:dyDescent="0.25">
      <c r="C52" s="1"/>
      <c r="D52" s="1"/>
      <c r="E52" s="1"/>
    </row>
    <row r="53" spans="3:11" hidden="1" x14ac:dyDescent="0.25">
      <c r="I53" s="20">
        <f>C43+F43+I42</f>
        <v>268333547.66999996</v>
      </c>
      <c r="J53" s="20">
        <f t="shared" ref="J53:K53" si="18">D43+G43+J42</f>
        <v>262419588.53999996</v>
      </c>
      <c r="K53" s="20">
        <f t="shared" si="18"/>
        <v>264857614.24000001</v>
      </c>
    </row>
    <row r="54" spans="3:11" hidden="1" x14ac:dyDescent="0.25"/>
    <row r="55" spans="3:11" hidden="1" x14ac:dyDescent="0.25"/>
    <row r="56" spans="3:11" hidden="1" x14ac:dyDescent="0.25">
      <c r="I56" s="20">
        <f>I39-I53</f>
        <v>90180548.570000052</v>
      </c>
      <c r="J56" s="20">
        <f t="shared" ref="J56:K56" si="19">J39-J53</f>
        <v>58483802.340000093</v>
      </c>
      <c r="K56" s="20">
        <f t="shared" si="19"/>
        <v>50293614.699999988</v>
      </c>
    </row>
    <row r="57" spans="3:11" hidden="1" x14ac:dyDescent="0.25"/>
    <row r="58" spans="3:11" hidden="1" x14ac:dyDescent="0.25"/>
  </sheetData>
  <mergeCells count="11">
    <mergeCell ref="A22:B22"/>
    <mergeCell ref="A23:K23"/>
    <mergeCell ref="A39:B39"/>
    <mergeCell ref="A40:B40"/>
    <mergeCell ref="A1:K3"/>
    <mergeCell ref="J4:K4"/>
    <mergeCell ref="A5:A6"/>
    <mergeCell ref="B5:B6"/>
    <mergeCell ref="C5:E5"/>
    <mergeCell ref="F5:H5"/>
    <mergeCell ref="I5:K5"/>
  </mergeCells>
  <pageMargins left="0.11811023622047245" right="0.11811023622047245" top="0.74803149606299213" bottom="0.35433070866141736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3"/>
  <sheetViews>
    <sheetView topLeftCell="A4" zoomScale="75" zoomScaleNormal="75" workbookViewId="0">
      <pane xSplit="2" ySplit="5" topLeftCell="L24" activePane="bottomRight" state="frozen"/>
      <selection activeCell="A4" sqref="A4"/>
      <selection pane="topRight" activeCell="C4" sqref="C4"/>
      <selection pane="bottomLeft" activeCell="A9" sqref="A9"/>
      <selection pane="bottomRight" activeCell="L36" sqref="L36"/>
    </sheetView>
  </sheetViews>
  <sheetFormatPr defaultRowHeight="15.75" x14ac:dyDescent="0.25"/>
  <cols>
    <col min="1" max="1" width="22.7109375" style="1" customWidth="1"/>
    <col min="2" max="2" width="36.7109375" style="1" customWidth="1"/>
    <col min="3" max="3" width="18.5703125" style="16" customWidth="1"/>
    <col min="4" max="4" width="16.7109375" style="16" customWidth="1"/>
    <col min="5" max="5" width="16.140625" style="16" customWidth="1"/>
    <col min="6" max="11" width="14.5703125" style="16" customWidth="1"/>
    <col min="12" max="32" width="16.7109375" style="16" customWidth="1"/>
    <col min="33" max="262" width="9.140625" style="1"/>
    <col min="263" max="263" width="25.7109375" style="1" customWidth="1"/>
    <col min="264" max="264" width="36.7109375" style="1" customWidth="1"/>
    <col min="265" max="265" width="20.140625" style="1" customWidth="1"/>
    <col min="266" max="266" width="20" style="1" customWidth="1"/>
    <col min="267" max="267" width="21.28515625" style="1" customWidth="1"/>
    <col min="268" max="270" width="19" style="1" bestFit="1" customWidth="1"/>
    <col min="271" max="273" width="20.7109375" style="1" bestFit="1" customWidth="1"/>
    <col min="274" max="275" width="14.42578125" style="1" customWidth="1"/>
    <col min="276" max="276" width="14" style="1" customWidth="1"/>
    <col min="277" max="518" width="9.140625" style="1"/>
    <col min="519" max="519" width="25.7109375" style="1" customWidth="1"/>
    <col min="520" max="520" width="36.7109375" style="1" customWidth="1"/>
    <col min="521" max="521" width="20.140625" style="1" customWidth="1"/>
    <col min="522" max="522" width="20" style="1" customWidth="1"/>
    <col min="523" max="523" width="21.28515625" style="1" customWidth="1"/>
    <col min="524" max="526" width="19" style="1" bestFit="1" customWidth="1"/>
    <col min="527" max="529" width="20.7109375" style="1" bestFit="1" customWidth="1"/>
    <col min="530" max="531" width="14.42578125" style="1" customWidth="1"/>
    <col min="532" max="532" width="14" style="1" customWidth="1"/>
    <col min="533" max="774" width="9.140625" style="1"/>
    <col min="775" max="775" width="25.7109375" style="1" customWidth="1"/>
    <col min="776" max="776" width="36.7109375" style="1" customWidth="1"/>
    <col min="777" max="777" width="20.140625" style="1" customWidth="1"/>
    <col min="778" max="778" width="20" style="1" customWidth="1"/>
    <col min="779" max="779" width="21.28515625" style="1" customWidth="1"/>
    <col min="780" max="782" width="19" style="1" bestFit="1" customWidth="1"/>
    <col min="783" max="785" width="20.7109375" style="1" bestFit="1" customWidth="1"/>
    <col min="786" max="787" width="14.42578125" style="1" customWidth="1"/>
    <col min="788" max="788" width="14" style="1" customWidth="1"/>
    <col min="789" max="1030" width="9.140625" style="1"/>
    <col min="1031" max="1031" width="25.7109375" style="1" customWidth="1"/>
    <col min="1032" max="1032" width="36.7109375" style="1" customWidth="1"/>
    <col min="1033" max="1033" width="20.140625" style="1" customWidth="1"/>
    <col min="1034" max="1034" width="20" style="1" customWidth="1"/>
    <col min="1035" max="1035" width="21.28515625" style="1" customWidth="1"/>
    <col min="1036" max="1038" width="19" style="1" bestFit="1" customWidth="1"/>
    <col min="1039" max="1041" width="20.7109375" style="1" bestFit="1" customWidth="1"/>
    <col min="1042" max="1043" width="14.42578125" style="1" customWidth="1"/>
    <col min="1044" max="1044" width="14" style="1" customWidth="1"/>
    <col min="1045" max="1286" width="9.140625" style="1"/>
    <col min="1287" max="1287" width="25.7109375" style="1" customWidth="1"/>
    <col min="1288" max="1288" width="36.7109375" style="1" customWidth="1"/>
    <col min="1289" max="1289" width="20.140625" style="1" customWidth="1"/>
    <col min="1290" max="1290" width="20" style="1" customWidth="1"/>
    <col min="1291" max="1291" width="21.28515625" style="1" customWidth="1"/>
    <col min="1292" max="1294" width="19" style="1" bestFit="1" customWidth="1"/>
    <col min="1295" max="1297" width="20.7109375" style="1" bestFit="1" customWidth="1"/>
    <col min="1298" max="1299" width="14.42578125" style="1" customWidth="1"/>
    <col min="1300" max="1300" width="14" style="1" customWidth="1"/>
    <col min="1301" max="1542" width="9.140625" style="1"/>
    <col min="1543" max="1543" width="25.7109375" style="1" customWidth="1"/>
    <col min="1544" max="1544" width="36.7109375" style="1" customWidth="1"/>
    <col min="1545" max="1545" width="20.140625" style="1" customWidth="1"/>
    <col min="1546" max="1546" width="20" style="1" customWidth="1"/>
    <col min="1547" max="1547" width="21.28515625" style="1" customWidth="1"/>
    <col min="1548" max="1550" width="19" style="1" bestFit="1" customWidth="1"/>
    <col min="1551" max="1553" width="20.7109375" style="1" bestFit="1" customWidth="1"/>
    <col min="1554" max="1555" width="14.42578125" style="1" customWidth="1"/>
    <col min="1556" max="1556" width="14" style="1" customWidth="1"/>
    <col min="1557" max="1798" width="9.140625" style="1"/>
    <col min="1799" max="1799" width="25.7109375" style="1" customWidth="1"/>
    <col min="1800" max="1800" width="36.7109375" style="1" customWidth="1"/>
    <col min="1801" max="1801" width="20.140625" style="1" customWidth="1"/>
    <col min="1802" max="1802" width="20" style="1" customWidth="1"/>
    <col min="1803" max="1803" width="21.28515625" style="1" customWidth="1"/>
    <col min="1804" max="1806" width="19" style="1" bestFit="1" customWidth="1"/>
    <col min="1807" max="1809" width="20.7109375" style="1" bestFit="1" customWidth="1"/>
    <col min="1810" max="1811" width="14.42578125" style="1" customWidth="1"/>
    <col min="1812" max="1812" width="14" style="1" customWidth="1"/>
    <col min="1813" max="2054" width="9.140625" style="1"/>
    <col min="2055" max="2055" width="25.7109375" style="1" customWidth="1"/>
    <col min="2056" max="2056" width="36.7109375" style="1" customWidth="1"/>
    <col min="2057" max="2057" width="20.140625" style="1" customWidth="1"/>
    <col min="2058" max="2058" width="20" style="1" customWidth="1"/>
    <col min="2059" max="2059" width="21.28515625" style="1" customWidth="1"/>
    <col min="2060" max="2062" width="19" style="1" bestFit="1" customWidth="1"/>
    <col min="2063" max="2065" width="20.7109375" style="1" bestFit="1" customWidth="1"/>
    <col min="2066" max="2067" width="14.42578125" style="1" customWidth="1"/>
    <col min="2068" max="2068" width="14" style="1" customWidth="1"/>
    <col min="2069" max="2310" width="9.140625" style="1"/>
    <col min="2311" max="2311" width="25.7109375" style="1" customWidth="1"/>
    <col min="2312" max="2312" width="36.7109375" style="1" customWidth="1"/>
    <col min="2313" max="2313" width="20.140625" style="1" customWidth="1"/>
    <col min="2314" max="2314" width="20" style="1" customWidth="1"/>
    <col min="2315" max="2315" width="21.28515625" style="1" customWidth="1"/>
    <col min="2316" max="2318" width="19" style="1" bestFit="1" customWidth="1"/>
    <col min="2319" max="2321" width="20.7109375" style="1" bestFit="1" customWidth="1"/>
    <col min="2322" max="2323" width="14.42578125" style="1" customWidth="1"/>
    <col min="2324" max="2324" width="14" style="1" customWidth="1"/>
    <col min="2325" max="2566" width="9.140625" style="1"/>
    <col min="2567" max="2567" width="25.7109375" style="1" customWidth="1"/>
    <col min="2568" max="2568" width="36.7109375" style="1" customWidth="1"/>
    <col min="2569" max="2569" width="20.140625" style="1" customWidth="1"/>
    <col min="2570" max="2570" width="20" style="1" customWidth="1"/>
    <col min="2571" max="2571" width="21.28515625" style="1" customWidth="1"/>
    <col min="2572" max="2574" width="19" style="1" bestFit="1" customWidth="1"/>
    <col min="2575" max="2577" width="20.7109375" style="1" bestFit="1" customWidth="1"/>
    <col min="2578" max="2579" width="14.42578125" style="1" customWidth="1"/>
    <col min="2580" max="2580" width="14" style="1" customWidth="1"/>
    <col min="2581" max="2822" width="9.140625" style="1"/>
    <col min="2823" max="2823" width="25.7109375" style="1" customWidth="1"/>
    <col min="2824" max="2824" width="36.7109375" style="1" customWidth="1"/>
    <col min="2825" max="2825" width="20.140625" style="1" customWidth="1"/>
    <col min="2826" max="2826" width="20" style="1" customWidth="1"/>
    <col min="2827" max="2827" width="21.28515625" style="1" customWidth="1"/>
    <col min="2828" max="2830" width="19" style="1" bestFit="1" customWidth="1"/>
    <col min="2831" max="2833" width="20.7109375" style="1" bestFit="1" customWidth="1"/>
    <col min="2834" max="2835" width="14.42578125" style="1" customWidth="1"/>
    <col min="2836" max="2836" width="14" style="1" customWidth="1"/>
    <col min="2837" max="3078" width="9.140625" style="1"/>
    <col min="3079" max="3079" width="25.7109375" style="1" customWidth="1"/>
    <col min="3080" max="3080" width="36.7109375" style="1" customWidth="1"/>
    <col min="3081" max="3081" width="20.140625" style="1" customWidth="1"/>
    <col min="3082" max="3082" width="20" style="1" customWidth="1"/>
    <col min="3083" max="3083" width="21.28515625" style="1" customWidth="1"/>
    <col min="3084" max="3086" width="19" style="1" bestFit="1" customWidth="1"/>
    <col min="3087" max="3089" width="20.7109375" style="1" bestFit="1" customWidth="1"/>
    <col min="3090" max="3091" width="14.42578125" style="1" customWidth="1"/>
    <col min="3092" max="3092" width="14" style="1" customWidth="1"/>
    <col min="3093" max="3334" width="9.140625" style="1"/>
    <col min="3335" max="3335" width="25.7109375" style="1" customWidth="1"/>
    <col min="3336" max="3336" width="36.7109375" style="1" customWidth="1"/>
    <col min="3337" max="3337" width="20.140625" style="1" customWidth="1"/>
    <col min="3338" max="3338" width="20" style="1" customWidth="1"/>
    <col min="3339" max="3339" width="21.28515625" style="1" customWidth="1"/>
    <col min="3340" max="3342" width="19" style="1" bestFit="1" customWidth="1"/>
    <col min="3343" max="3345" width="20.7109375" style="1" bestFit="1" customWidth="1"/>
    <col min="3346" max="3347" width="14.42578125" style="1" customWidth="1"/>
    <col min="3348" max="3348" width="14" style="1" customWidth="1"/>
    <col min="3349" max="3590" width="9.140625" style="1"/>
    <col min="3591" max="3591" width="25.7109375" style="1" customWidth="1"/>
    <col min="3592" max="3592" width="36.7109375" style="1" customWidth="1"/>
    <col min="3593" max="3593" width="20.140625" style="1" customWidth="1"/>
    <col min="3594" max="3594" width="20" style="1" customWidth="1"/>
    <col min="3595" max="3595" width="21.28515625" style="1" customWidth="1"/>
    <col min="3596" max="3598" width="19" style="1" bestFit="1" customWidth="1"/>
    <col min="3599" max="3601" width="20.7109375" style="1" bestFit="1" customWidth="1"/>
    <col min="3602" max="3603" width="14.42578125" style="1" customWidth="1"/>
    <col min="3604" max="3604" width="14" style="1" customWidth="1"/>
    <col min="3605" max="3846" width="9.140625" style="1"/>
    <col min="3847" max="3847" width="25.7109375" style="1" customWidth="1"/>
    <col min="3848" max="3848" width="36.7109375" style="1" customWidth="1"/>
    <col min="3849" max="3849" width="20.140625" style="1" customWidth="1"/>
    <col min="3850" max="3850" width="20" style="1" customWidth="1"/>
    <col min="3851" max="3851" width="21.28515625" style="1" customWidth="1"/>
    <col min="3852" max="3854" width="19" style="1" bestFit="1" customWidth="1"/>
    <col min="3855" max="3857" width="20.7109375" style="1" bestFit="1" customWidth="1"/>
    <col min="3858" max="3859" width="14.42578125" style="1" customWidth="1"/>
    <col min="3860" max="3860" width="14" style="1" customWidth="1"/>
    <col min="3861" max="4102" width="9.140625" style="1"/>
    <col min="4103" max="4103" width="25.7109375" style="1" customWidth="1"/>
    <col min="4104" max="4104" width="36.7109375" style="1" customWidth="1"/>
    <col min="4105" max="4105" width="20.140625" style="1" customWidth="1"/>
    <col min="4106" max="4106" width="20" style="1" customWidth="1"/>
    <col min="4107" max="4107" width="21.28515625" style="1" customWidth="1"/>
    <col min="4108" max="4110" width="19" style="1" bestFit="1" customWidth="1"/>
    <col min="4111" max="4113" width="20.7109375" style="1" bestFit="1" customWidth="1"/>
    <col min="4114" max="4115" width="14.42578125" style="1" customWidth="1"/>
    <col min="4116" max="4116" width="14" style="1" customWidth="1"/>
    <col min="4117" max="4358" width="9.140625" style="1"/>
    <col min="4359" max="4359" width="25.7109375" style="1" customWidth="1"/>
    <col min="4360" max="4360" width="36.7109375" style="1" customWidth="1"/>
    <col min="4361" max="4361" width="20.140625" style="1" customWidth="1"/>
    <col min="4362" max="4362" width="20" style="1" customWidth="1"/>
    <col min="4363" max="4363" width="21.28515625" style="1" customWidth="1"/>
    <col min="4364" max="4366" width="19" style="1" bestFit="1" customWidth="1"/>
    <col min="4367" max="4369" width="20.7109375" style="1" bestFit="1" customWidth="1"/>
    <col min="4370" max="4371" width="14.42578125" style="1" customWidth="1"/>
    <col min="4372" max="4372" width="14" style="1" customWidth="1"/>
    <col min="4373" max="4614" width="9.140625" style="1"/>
    <col min="4615" max="4615" width="25.7109375" style="1" customWidth="1"/>
    <col min="4616" max="4616" width="36.7109375" style="1" customWidth="1"/>
    <col min="4617" max="4617" width="20.140625" style="1" customWidth="1"/>
    <col min="4618" max="4618" width="20" style="1" customWidth="1"/>
    <col min="4619" max="4619" width="21.28515625" style="1" customWidth="1"/>
    <col min="4620" max="4622" width="19" style="1" bestFit="1" customWidth="1"/>
    <col min="4623" max="4625" width="20.7109375" style="1" bestFit="1" customWidth="1"/>
    <col min="4626" max="4627" width="14.42578125" style="1" customWidth="1"/>
    <col min="4628" max="4628" width="14" style="1" customWidth="1"/>
    <col min="4629" max="4870" width="9.140625" style="1"/>
    <col min="4871" max="4871" width="25.7109375" style="1" customWidth="1"/>
    <col min="4872" max="4872" width="36.7109375" style="1" customWidth="1"/>
    <col min="4873" max="4873" width="20.140625" style="1" customWidth="1"/>
    <col min="4874" max="4874" width="20" style="1" customWidth="1"/>
    <col min="4875" max="4875" width="21.28515625" style="1" customWidth="1"/>
    <col min="4876" max="4878" width="19" style="1" bestFit="1" customWidth="1"/>
    <col min="4879" max="4881" width="20.7109375" style="1" bestFit="1" customWidth="1"/>
    <col min="4882" max="4883" width="14.42578125" style="1" customWidth="1"/>
    <col min="4884" max="4884" width="14" style="1" customWidth="1"/>
    <col min="4885" max="5126" width="9.140625" style="1"/>
    <col min="5127" max="5127" width="25.7109375" style="1" customWidth="1"/>
    <col min="5128" max="5128" width="36.7109375" style="1" customWidth="1"/>
    <col min="5129" max="5129" width="20.140625" style="1" customWidth="1"/>
    <col min="5130" max="5130" width="20" style="1" customWidth="1"/>
    <col min="5131" max="5131" width="21.28515625" style="1" customWidth="1"/>
    <col min="5132" max="5134" width="19" style="1" bestFit="1" customWidth="1"/>
    <col min="5135" max="5137" width="20.7109375" style="1" bestFit="1" customWidth="1"/>
    <col min="5138" max="5139" width="14.42578125" style="1" customWidth="1"/>
    <col min="5140" max="5140" width="14" style="1" customWidth="1"/>
    <col min="5141" max="5382" width="9.140625" style="1"/>
    <col min="5383" max="5383" width="25.7109375" style="1" customWidth="1"/>
    <col min="5384" max="5384" width="36.7109375" style="1" customWidth="1"/>
    <col min="5385" max="5385" width="20.140625" style="1" customWidth="1"/>
    <col min="5386" max="5386" width="20" style="1" customWidth="1"/>
    <col min="5387" max="5387" width="21.28515625" style="1" customWidth="1"/>
    <col min="5388" max="5390" width="19" style="1" bestFit="1" customWidth="1"/>
    <col min="5391" max="5393" width="20.7109375" style="1" bestFit="1" customWidth="1"/>
    <col min="5394" max="5395" width="14.42578125" style="1" customWidth="1"/>
    <col min="5396" max="5396" width="14" style="1" customWidth="1"/>
    <col min="5397" max="5638" width="9.140625" style="1"/>
    <col min="5639" max="5639" width="25.7109375" style="1" customWidth="1"/>
    <col min="5640" max="5640" width="36.7109375" style="1" customWidth="1"/>
    <col min="5641" max="5641" width="20.140625" style="1" customWidth="1"/>
    <col min="5642" max="5642" width="20" style="1" customWidth="1"/>
    <col min="5643" max="5643" width="21.28515625" style="1" customWidth="1"/>
    <col min="5644" max="5646" width="19" style="1" bestFit="1" customWidth="1"/>
    <col min="5647" max="5649" width="20.7109375" style="1" bestFit="1" customWidth="1"/>
    <col min="5650" max="5651" width="14.42578125" style="1" customWidth="1"/>
    <col min="5652" max="5652" width="14" style="1" customWidth="1"/>
    <col min="5653" max="5894" width="9.140625" style="1"/>
    <col min="5895" max="5895" width="25.7109375" style="1" customWidth="1"/>
    <col min="5896" max="5896" width="36.7109375" style="1" customWidth="1"/>
    <col min="5897" max="5897" width="20.140625" style="1" customWidth="1"/>
    <col min="5898" max="5898" width="20" style="1" customWidth="1"/>
    <col min="5899" max="5899" width="21.28515625" style="1" customWidth="1"/>
    <col min="5900" max="5902" width="19" style="1" bestFit="1" customWidth="1"/>
    <col min="5903" max="5905" width="20.7109375" style="1" bestFit="1" customWidth="1"/>
    <col min="5906" max="5907" width="14.42578125" style="1" customWidth="1"/>
    <col min="5908" max="5908" width="14" style="1" customWidth="1"/>
    <col min="5909" max="6150" width="9.140625" style="1"/>
    <col min="6151" max="6151" width="25.7109375" style="1" customWidth="1"/>
    <col min="6152" max="6152" width="36.7109375" style="1" customWidth="1"/>
    <col min="6153" max="6153" width="20.140625" style="1" customWidth="1"/>
    <col min="6154" max="6154" width="20" style="1" customWidth="1"/>
    <col min="6155" max="6155" width="21.28515625" style="1" customWidth="1"/>
    <col min="6156" max="6158" width="19" style="1" bestFit="1" customWidth="1"/>
    <col min="6159" max="6161" width="20.7109375" style="1" bestFit="1" customWidth="1"/>
    <col min="6162" max="6163" width="14.42578125" style="1" customWidth="1"/>
    <col min="6164" max="6164" width="14" style="1" customWidth="1"/>
    <col min="6165" max="6406" width="9.140625" style="1"/>
    <col min="6407" max="6407" width="25.7109375" style="1" customWidth="1"/>
    <col min="6408" max="6408" width="36.7109375" style="1" customWidth="1"/>
    <col min="6409" max="6409" width="20.140625" style="1" customWidth="1"/>
    <col min="6410" max="6410" width="20" style="1" customWidth="1"/>
    <col min="6411" max="6411" width="21.28515625" style="1" customWidth="1"/>
    <col min="6412" max="6414" width="19" style="1" bestFit="1" customWidth="1"/>
    <col min="6415" max="6417" width="20.7109375" style="1" bestFit="1" customWidth="1"/>
    <col min="6418" max="6419" width="14.42578125" style="1" customWidth="1"/>
    <col min="6420" max="6420" width="14" style="1" customWidth="1"/>
    <col min="6421" max="6662" width="9.140625" style="1"/>
    <col min="6663" max="6663" width="25.7109375" style="1" customWidth="1"/>
    <col min="6664" max="6664" width="36.7109375" style="1" customWidth="1"/>
    <col min="6665" max="6665" width="20.140625" style="1" customWidth="1"/>
    <col min="6666" max="6666" width="20" style="1" customWidth="1"/>
    <col min="6667" max="6667" width="21.28515625" style="1" customWidth="1"/>
    <col min="6668" max="6670" width="19" style="1" bestFit="1" customWidth="1"/>
    <col min="6671" max="6673" width="20.7109375" style="1" bestFit="1" customWidth="1"/>
    <col min="6674" max="6675" width="14.42578125" style="1" customWidth="1"/>
    <col min="6676" max="6676" width="14" style="1" customWidth="1"/>
    <col min="6677" max="6918" width="9.140625" style="1"/>
    <col min="6919" max="6919" width="25.7109375" style="1" customWidth="1"/>
    <col min="6920" max="6920" width="36.7109375" style="1" customWidth="1"/>
    <col min="6921" max="6921" width="20.140625" style="1" customWidth="1"/>
    <col min="6922" max="6922" width="20" style="1" customWidth="1"/>
    <col min="6923" max="6923" width="21.28515625" style="1" customWidth="1"/>
    <col min="6924" max="6926" width="19" style="1" bestFit="1" customWidth="1"/>
    <col min="6927" max="6929" width="20.7109375" style="1" bestFit="1" customWidth="1"/>
    <col min="6930" max="6931" width="14.42578125" style="1" customWidth="1"/>
    <col min="6932" max="6932" width="14" style="1" customWidth="1"/>
    <col min="6933" max="7174" width="9.140625" style="1"/>
    <col min="7175" max="7175" width="25.7109375" style="1" customWidth="1"/>
    <col min="7176" max="7176" width="36.7109375" style="1" customWidth="1"/>
    <col min="7177" max="7177" width="20.140625" style="1" customWidth="1"/>
    <col min="7178" max="7178" width="20" style="1" customWidth="1"/>
    <col min="7179" max="7179" width="21.28515625" style="1" customWidth="1"/>
    <col min="7180" max="7182" width="19" style="1" bestFit="1" customWidth="1"/>
    <col min="7183" max="7185" width="20.7109375" style="1" bestFit="1" customWidth="1"/>
    <col min="7186" max="7187" width="14.42578125" style="1" customWidth="1"/>
    <col min="7188" max="7188" width="14" style="1" customWidth="1"/>
    <col min="7189" max="7430" width="9.140625" style="1"/>
    <col min="7431" max="7431" width="25.7109375" style="1" customWidth="1"/>
    <col min="7432" max="7432" width="36.7109375" style="1" customWidth="1"/>
    <col min="7433" max="7433" width="20.140625" style="1" customWidth="1"/>
    <col min="7434" max="7434" width="20" style="1" customWidth="1"/>
    <col min="7435" max="7435" width="21.28515625" style="1" customWidth="1"/>
    <col min="7436" max="7438" width="19" style="1" bestFit="1" customWidth="1"/>
    <col min="7439" max="7441" width="20.7109375" style="1" bestFit="1" customWidth="1"/>
    <col min="7442" max="7443" width="14.42578125" style="1" customWidth="1"/>
    <col min="7444" max="7444" width="14" style="1" customWidth="1"/>
    <col min="7445" max="7686" width="9.140625" style="1"/>
    <col min="7687" max="7687" width="25.7109375" style="1" customWidth="1"/>
    <col min="7688" max="7688" width="36.7109375" style="1" customWidth="1"/>
    <col min="7689" max="7689" width="20.140625" style="1" customWidth="1"/>
    <col min="7690" max="7690" width="20" style="1" customWidth="1"/>
    <col min="7691" max="7691" width="21.28515625" style="1" customWidth="1"/>
    <col min="7692" max="7694" width="19" style="1" bestFit="1" customWidth="1"/>
    <col min="7695" max="7697" width="20.7109375" style="1" bestFit="1" customWidth="1"/>
    <col min="7698" max="7699" width="14.42578125" style="1" customWidth="1"/>
    <col min="7700" max="7700" width="14" style="1" customWidth="1"/>
    <col min="7701" max="7942" width="9.140625" style="1"/>
    <col min="7943" max="7943" width="25.7109375" style="1" customWidth="1"/>
    <col min="7944" max="7944" width="36.7109375" style="1" customWidth="1"/>
    <col min="7945" max="7945" width="20.140625" style="1" customWidth="1"/>
    <col min="7946" max="7946" width="20" style="1" customWidth="1"/>
    <col min="7947" max="7947" width="21.28515625" style="1" customWidth="1"/>
    <col min="7948" max="7950" width="19" style="1" bestFit="1" customWidth="1"/>
    <col min="7951" max="7953" width="20.7109375" style="1" bestFit="1" customWidth="1"/>
    <col min="7954" max="7955" width="14.42578125" style="1" customWidth="1"/>
    <col min="7956" max="7956" width="14" style="1" customWidth="1"/>
    <col min="7957" max="8198" width="9.140625" style="1"/>
    <col min="8199" max="8199" width="25.7109375" style="1" customWidth="1"/>
    <col min="8200" max="8200" width="36.7109375" style="1" customWidth="1"/>
    <col min="8201" max="8201" width="20.140625" style="1" customWidth="1"/>
    <col min="8202" max="8202" width="20" style="1" customWidth="1"/>
    <col min="8203" max="8203" width="21.28515625" style="1" customWidth="1"/>
    <col min="8204" max="8206" width="19" style="1" bestFit="1" customWidth="1"/>
    <col min="8207" max="8209" width="20.7109375" style="1" bestFit="1" customWidth="1"/>
    <col min="8210" max="8211" width="14.42578125" style="1" customWidth="1"/>
    <col min="8212" max="8212" width="14" style="1" customWidth="1"/>
    <col min="8213" max="8454" width="9.140625" style="1"/>
    <col min="8455" max="8455" width="25.7109375" style="1" customWidth="1"/>
    <col min="8456" max="8456" width="36.7109375" style="1" customWidth="1"/>
    <col min="8457" max="8457" width="20.140625" style="1" customWidth="1"/>
    <col min="8458" max="8458" width="20" style="1" customWidth="1"/>
    <col min="8459" max="8459" width="21.28515625" style="1" customWidth="1"/>
    <col min="8460" max="8462" width="19" style="1" bestFit="1" customWidth="1"/>
    <col min="8463" max="8465" width="20.7109375" style="1" bestFit="1" customWidth="1"/>
    <col min="8466" max="8467" width="14.42578125" style="1" customWidth="1"/>
    <col min="8468" max="8468" width="14" style="1" customWidth="1"/>
    <col min="8469" max="8710" width="9.140625" style="1"/>
    <col min="8711" max="8711" width="25.7109375" style="1" customWidth="1"/>
    <col min="8712" max="8712" width="36.7109375" style="1" customWidth="1"/>
    <col min="8713" max="8713" width="20.140625" style="1" customWidth="1"/>
    <col min="8714" max="8714" width="20" style="1" customWidth="1"/>
    <col min="8715" max="8715" width="21.28515625" style="1" customWidth="1"/>
    <col min="8716" max="8718" width="19" style="1" bestFit="1" customWidth="1"/>
    <col min="8719" max="8721" width="20.7109375" style="1" bestFit="1" customWidth="1"/>
    <col min="8722" max="8723" width="14.42578125" style="1" customWidth="1"/>
    <col min="8724" max="8724" width="14" style="1" customWidth="1"/>
    <col min="8725" max="8966" width="9.140625" style="1"/>
    <col min="8967" max="8967" width="25.7109375" style="1" customWidth="1"/>
    <col min="8968" max="8968" width="36.7109375" style="1" customWidth="1"/>
    <col min="8969" max="8969" width="20.140625" style="1" customWidth="1"/>
    <col min="8970" max="8970" width="20" style="1" customWidth="1"/>
    <col min="8971" max="8971" width="21.28515625" style="1" customWidth="1"/>
    <col min="8972" max="8974" width="19" style="1" bestFit="1" customWidth="1"/>
    <col min="8975" max="8977" width="20.7109375" style="1" bestFit="1" customWidth="1"/>
    <col min="8978" max="8979" width="14.42578125" style="1" customWidth="1"/>
    <col min="8980" max="8980" width="14" style="1" customWidth="1"/>
    <col min="8981" max="9222" width="9.140625" style="1"/>
    <col min="9223" max="9223" width="25.7109375" style="1" customWidth="1"/>
    <col min="9224" max="9224" width="36.7109375" style="1" customWidth="1"/>
    <col min="9225" max="9225" width="20.140625" style="1" customWidth="1"/>
    <col min="9226" max="9226" width="20" style="1" customWidth="1"/>
    <col min="9227" max="9227" width="21.28515625" style="1" customWidth="1"/>
    <col min="9228" max="9230" width="19" style="1" bestFit="1" customWidth="1"/>
    <col min="9231" max="9233" width="20.7109375" style="1" bestFit="1" customWidth="1"/>
    <col min="9234" max="9235" width="14.42578125" style="1" customWidth="1"/>
    <col min="9236" max="9236" width="14" style="1" customWidth="1"/>
    <col min="9237" max="9478" width="9.140625" style="1"/>
    <col min="9479" max="9479" width="25.7109375" style="1" customWidth="1"/>
    <col min="9480" max="9480" width="36.7109375" style="1" customWidth="1"/>
    <col min="9481" max="9481" width="20.140625" style="1" customWidth="1"/>
    <col min="9482" max="9482" width="20" style="1" customWidth="1"/>
    <col min="9483" max="9483" width="21.28515625" style="1" customWidth="1"/>
    <col min="9484" max="9486" width="19" style="1" bestFit="1" customWidth="1"/>
    <col min="9487" max="9489" width="20.7109375" style="1" bestFit="1" customWidth="1"/>
    <col min="9490" max="9491" width="14.42578125" style="1" customWidth="1"/>
    <col min="9492" max="9492" width="14" style="1" customWidth="1"/>
    <col min="9493" max="9734" width="9.140625" style="1"/>
    <col min="9735" max="9735" width="25.7109375" style="1" customWidth="1"/>
    <col min="9736" max="9736" width="36.7109375" style="1" customWidth="1"/>
    <col min="9737" max="9737" width="20.140625" style="1" customWidth="1"/>
    <col min="9738" max="9738" width="20" style="1" customWidth="1"/>
    <col min="9739" max="9739" width="21.28515625" style="1" customWidth="1"/>
    <col min="9740" max="9742" width="19" style="1" bestFit="1" customWidth="1"/>
    <col min="9743" max="9745" width="20.7109375" style="1" bestFit="1" customWidth="1"/>
    <col min="9746" max="9747" width="14.42578125" style="1" customWidth="1"/>
    <col min="9748" max="9748" width="14" style="1" customWidth="1"/>
    <col min="9749" max="9990" width="9.140625" style="1"/>
    <col min="9991" max="9991" width="25.7109375" style="1" customWidth="1"/>
    <col min="9992" max="9992" width="36.7109375" style="1" customWidth="1"/>
    <col min="9993" max="9993" width="20.140625" style="1" customWidth="1"/>
    <col min="9994" max="9994" width="20" style="1" customWidth="1"/>
    <col min="9995" max="9995" width="21.28515625" style="1" customWidth="1"/>
    <col min="9996" max="9998" width="19" style="1" bestFit="1" customWidth="1"/>
    <col min="9999" max="10001" width="20.7109375" style="1" bestFit="1" customWidth="1"/>
    <col min="10002" max="10003" width="14.42578125" style="1" customWidth="1"/>
    <col min="10004" max="10004" width="14" style="1" customWidth="1"/>
    <col min="10005" max="10246" width="9.140625" style="1"/>
    <col min="10247" max="10247" width="25.7109375" style="1" customWidth="1"/>
    <col min="10248" max="10248" width="36.7109375" style="1" customWidth="1"/>
    <col min="10249" max="10249" width="20.140625" style="1" customWidth="1"/>
    <col min="10250" max="10250" width="20" style="1" customWidth="1"/>
    <col min="10251" max="10251" width="21.28515625" style="1" customWidth="1"/>
    <col min="10252" max="10254" width="19" style="1" bestFit="1" customWidth="1"/>
    <col min="10255" max="10257" width="20.7109375" style="1" bestFit="1" customWidth="1"/>
    <col min="10258" max="10259" width="14.42578125" style="1" customWidth="1"/>
    <col min="10260" max="10260" width="14" style="1" customWidth="1"/>
    <col min="10261" max="10502" width="9.140625" style="1"/>
    <col min="10503" max="10503" width="25.7109375" style="1" customWidth="1"/>
    <col min="10504" max="10504" width="36.7109375" style="1" customWidth="1"/>
    <col min="10505" max="10505" width="20.140625" style="1" customWidth="1"/>
    <col min="10506" max="10506" width="20" style="1" customWidth="1"/>
    <col min="10507" max="10507" width="21.28515625" style="1" customWidth="1"/>
    <col min="10508" max="10510" width="19" style="1" bestFit="1" customWidth="1"/>
    <col min="10511" max="10513" width="20.7109375" style="1" bestFit="1" customWidth="1"/>
    <col min="10514" max="10515" width="14.42578125" style="1" customWidth="1"/>
    <col min="10516" max="10516" width="14" style="1" customWidth="1"/>
    <col min="10517" max="10758" width="9.140625" style="1"/>
    <col min="10759" max="10759" width="25.7109375" style="1" customWidth="1"/>
    <col min="10760" max="10760" width="36.7109375" style="1" customWidth="1"/>
    <col min="10761" max="10761" width="20.140625" style="1" customWidth="1"/>
    <col min="10762" max="10762" width="20" style="1" customWidth="1"/>
    <col min="10763" max="10763" width="21.28515625" style="1" customWidth="1"/>
    <col min="10764" max="10766" width="19" style="1" bestFit="1" customWidth="1"/>
    <col min="10767" max="10769" width="20.7109375" style="1" bestFit="1" customWidth="1"/>
    <col min="10770" max="10771" width="14.42578125" style="1" customWidth="1"/>
    <col min="10772" max="10772" width="14" style="1" customWidth="1"/>
    <col min="10773" max="11014" width="9.140625" style="1"/>
    <col min="11015" max="11015" width="25.7109375" style="1" customWidth="1"/>
    <col min="11016" max="11016" width="36.7109375" style="1" customWidth="1"/>
    <col min="11017" max="11017" width="20.140625" style="1" customWidth="1"/>
    <col min="11018" max="11018" width="20" style="1" customWidth="1"/>
    <col min="11019" max="11019" width="21.28515625" style="1" customWidth="1"/>
    <col min="11020" max="11022" width="19" style="1" bestFit="1" customWidth="1"/>
    <col min="11023" max="11025" width="20.7109375" style="1" bestFit="1" customWidth="1"/>
    <col min="11026" max="11027" width="14.42578125" style="1" customWidth="1"/>
    <col min="11028" max="11028" width="14" style="1" customWidth="1"/>
    <col min="11029" max="11270" width="9.140625" style="1"/>
    <col min="11271" max="11271" width="25.7109375" style="1" customWidth="1"/>
    <col min="11272" max="11272" width="36.7109375" style="1" customWidth="1"/>
    <col min="11273" max="11273" width="20.140625" style="1" customWidth="1"/>
    <col min="11274" max="11274" width="20" style="1" customWidth="1"/>
    <col min="11275" max="11275" width="21.28515625" style="1" customWidth="1"/>
    <col min="11276" max="11278" width="19" style="1" bestFit="1" customWidth="1"/>
    <col min="11279" max="11281" width="20.7109375" style="1" bestFit="1" customWidth="1"/>
    <col min="11282" max="11283" width="14.42578125" style="1" customWidth="1"/>
    <col min="11284" max="11284" width="14" style="1" customWidth="1"/>
    <col min="11285" max="11526" width="9.140625" style="1"/>
    <col min="11527" max="11527" width="25.7109375" style="1" customWidth="1"/>
    <col min="11528" max="11528" width="36.7109375" style="1" customWidth="1"/>
    <col min="11529" max="11529" width="20.140625" style="1" customWidth="1"/>
    <col min="11530" max="11530" width="20" style="1" customWidth="1"/>
    <col min="11531" max="11531" width="21.28515625" style="1" customWidth="1"/>
    <col min="11532" max="11534" width="19" style="1" bestFit="1" customWidth="1"/>
    <col min="11535" max="11537" width="20.7109375" style="1" bestFit="1" customWidth="1"/>
    <col min="11538" max="11539" width="14.42578125" style="1" customWidth="1"/>
    <col min="11540" max="11540" width="14" style="1" customWidth="1"/>
    <col min="11541" max="11782" width="9.140625" style="1"/>
    <col min="11783" max="11783" width="25.7109375" style="1" customWidth="1"/>
    <col min="11784" max="11784" width="36.7109375" style="1" customWidth="1"/>
    <col min="11785" max="11785" width="20.140625" style="1" customWidth="1"/>
    <col min="11786" max="11786" width="20" style="1" customWidth="1"/>
    <col min="11787" max="11787" width="21.28515625" style="1" customWidth="1"/>
    <col min="11788" max="11790" width="19" style="1" bestFit="1" customWidth="1"/>
    <col min="11791" max="11793" width="20.7109375" style="1" bestFit="1" customWidth="1"/>
    <col min="11794" max="11795" width="14.42578125" style="1" customWidth="1"/>
    <col min="11796" max="11796" width="14" style="1" customWidth="1"/>
    <col min="11797" max="12038" width="9.140625" style="1"/>
    <col min="12039" max="12039" width="25.7109375" style="1" customWidth="1"/>
    <col min="12040" max="12040" width="36.7109375" style="1" customWidth="1"/>
    <col min="12041" max="12041" width="20.140625" style="1" customWidth="1"/>
    <col min="12042" max="12042" width="20" style="1" customWidth="1"/>
    <col min="12043" max="12043" width="21.28515625" style="1" customWidth="1"/>
    <col min="12044" max="12046" width="19" style="1" bestFit="1" customWidth="1"/>
    <col min="12047" max="12049" width="20.7109375" style="1" bestFit="1" customWidth="1"/>
    <col min="12050" max="12051" width="14.42578125" style="1" customWidth="1"/>
    <col min="12052" max="12052" width="14" style="1" customWidth="1"/>
    <col min="12053" max="12294" width="9.140625" style="1"/>
    <col min="12295" max="12295" width="25.7109375" style="1" customWidth="1"/>
    <col min="12296" max="12296" width="36.7109375" style="1" customWidth="1"/>
    <col min="12297" max="12297" width="20.140625" style="1" customWidth="1"/>
    <col min="12298" max="12298" width="20" style="1" customWidth="1"/>
    <col min="12299" max="12299" width="21.28515625" style="1" customWidth="1"/>
    <col min="12300" max="12302" width="19" style="1" bestFit="1" customWidth="1"/>
    <col min="12303" max="12305" width="20.7109375" style="1" bestFit="1" customWidth="1"/>
    <col min="12306" max="12307" width="14.42578125" style="1" customWidth="1"/>
    <col min="12308" max="12308" width="14" style="1" customWidth="1"/>
    <col min="12309" max="12550" width="9.140625" style="1"/>
    <col min="12551" max="12551" width="25.7109375" style="1" customWidth="1"/>
    <col min="12552" max="12552" width="36.7109375" style="1" customWidth="1"/>
    <col min="12553" max="12553" width="20.140625" style="1" customWidth="1"/>
    <col min="12554" max="12554" width="20" style="1" customWidth="1"/>
    <col min="12555" max="12555" width="21.28515625" style="1" customWidth="1"/>
    <col min="12556" max="12558" width="19" style="1" bestFit="1" customWidth="1"/>
    <col min="12559" max="12561" width="20.7109375" style="1" bestFit="1" customWidth="1"/>
    <col min="12562" max="12563" width="14.42578125" style="1" customWidth="1"/>
    <col min="12564" max="12564" width="14" style="1" customWidth="1"/>
    <col min="12565" max="12806" width="9.140625" style="1"/>
    <col min="12807" max="12807" width="25.7109375" style="1" customWidth="1"/>
    <col min="12808" max="12808" width="36.7109375" style="1" customWidth="1"/>
    <col min="12809" max="12809" width="20.140625" style="1" customWidth="1"/>
    <col min="12810" max="12810" width="20" style="1" customWidth="1"/>
    <col min="12811" max="12811" width="21.28515625" style="1" customWidth="1"/>
    <col min="12812" max="12814" width="19" style="1" bestFit="1" customWidth="1"/>
    <col min="12815" max="12817" width="20.7109375" style="1" bestFit="1" customWidth="1"/>
    <col min="12818" max="12819" width="14.42578125" style="1" customWidth="1"/>
    <col min="12820" max="12820" width="14" style="1" customWidth="1"/>
    <col min="12821" max="13062" width="9.140625" style="1"/>
    <col min="13063" max="13063" width="25.7109375" style="1" customWidth="1"/>
    <col min="13064" max="13064" width="36.7109375" style="1" customWidth="1"/>
    <col min="13065" max="13065" width="20.140625" style="1" customWidth="1"/>
    <col min="13066" max="13066" width="20" style="1" customWidth="1"/>
    <col min="13067" max="13067" width="21.28515625" style="1" customWidth="1"/>
    <col min="13068" max="13070" width="19" style="1" bestFit="1" customWidth="1"/>
    <col min="13071" max="13073" width="20.7109375" style="1" bestFit="1" customWidth="1"/>
    <col min="13074" max="13075" width="14.42578125" style="1" customWidth="1"/>
    <col min="13076" max="13076" width="14" style="1" customWidth="1"/>
    <col min="13077" max="13318" width="9.140625" style="1"/>
    <col min="13319" max="13319" width="25.7109375" style="1" customWidth="1"/>
    <col min="13320" max="13320" width="36.7109375" style="1" customWidth="1"/>
    <col min="13321" max="13321" width="20.140625" style="1" customWidth="1"/>
    <col min="13322" max="13322" width="20" style="1" customWidth="1"/>
    <col min="13323" max="13323" width="21.28515625" style="1" customWidth="1"/>
    <col min="13324" max="13326" width="19" style="1" bestFit="1" customWidth="1"/>
    <col min="13327" max="13329" width="20.7109375" style="1" bestFit="1" customWidth="1"/>
    <col min="13330" max="13331" width="14.42578125" style="1" customWidth="1"/>
    <col min="13332" max="13332" width="14" style="1" customWidth="1"/>
    <col min="13333" max="13574" width="9.140625" style="1"/>
    <col min="13575" max="13575" width="25.7109375" style="1" customWidth="1"/>
    <col min="13576" max="13576" width="36.7109375" style="1" customWidth="1"/>
    <col min="13577" max="13577" width="20.140625" style="1" customWidth="1"/>
    <col min="13578" max="13578" width="20" style="1" customWidth="1"/>
    <col min="13579" max="13579" width="21.28515625" style="1" customWidth="1"/>
    <col min="13580" max="13582" width="19" style="1" bestFit="1" customWidth="1"/>
    <col min="13583" max="13585" width="20.7109375" style="1" bestFit="1" customWidth="1"/>
    <col min="13586" max="13587" width="14.42578125" style="1" customWidth="1"/>
    <col min="13588" max="13588" width="14" style="1" customWidth="1"/>
    <col min="13589" max="13830" width="9.140625" style="1"/>
    <col min="13831" max="13831" width="25.7109375" style="1" customWidth="1"/>
    <col min="13832" max="13832" width="36.7109375" style="1" customWidth="1"/>
    <col min="13833" max="13833" width="20.140625" style="1" customWidth="1"/>
    <col min="13834" max="13834" width="20" style="1" customWidth="1"/>
    <col min="13835" max="13835" width="21.28515625" style="1" customWidth="1"/>
    <col min="13836" max="13838" width="19" style="1" bestFit="1" customWidth="1"/>
    <col min="13839" max="13841" width="20.7109375" style="1" bestFit="1" customWidth="1"/>
    <col min="13842" max="13843" width="14.42578125" style="1" customWidth="1"/>
    <col min="13844" max="13844" width="14" style="1" customWidth="1"/>
    <col min="13845" max="14086" width="9.140625" style="1"/>
    <col min="14087" max="14087" width="25.7109375" style="1" customWidth="1"/>
    <col min="14088" max="14088" width="36.7109375" style="1" customWidth="1"/>
    <col min="14089" max="14089" width="20.140625" style="1" customWidth="1"/>
    <col min="14090" max="14090" width="20" style="1" customWidth="1"/>
    <col min="14091" max="14091" width="21.28515625" style="1" customWidth="1"/>
    <col min="14092" max="14094" width="19" style="1" bestFit="1" customWidth="1"/>
    <col min="14095" max="14097" width="20.7109375" style="1" bestFit="1" customWidth="1"/>
    <col min="14098" max="14099" width="14.42578125" style="1" customWidth="1"/>
    <col min="14100" max="14100" width="14" style="1" customWidth="1"/>
    <col min="14101" max="14342" width="9.140625" style="1"/>
    <col min="14343" max="14343" width="25.7109375" style="1" customWidth="1"/>
    <col min="14344" max="14344" width="36.7109375" style="1" customWidth="1"/>
    <col min="14345" max="14345" width="20.140625" style="1" customWidth="1"/>
    <col min="14346" max="14346" width="20" style="1" customWidth="1"/>
    <col min="14347" max="14347" width="21.28515625" style="1" customWidth="1"/>
    <col min="14348" max="14350" width="19" style="1" bestFit="1" customWidth="1"/>
    <col min="14351" max="14353" width="20.7109375" style="1" bestFit="1" customWidth="1"/>
    <col min="14354" max="14355" width="14.42578125" style="1" customWidth="1"/>
    <col min="14356" max="14356" width="14" style="1" customWidth="1"/>
    <col min="14357" max="14598" width="9.140625" style="1"/>
    <col min="14599" max="14599" width="25.7109375" style="1" customWidth="1"/>
    <col min="14600" max="14600" width="36.7109375" style="1" customWidth="1"/>
    <col min="14601" max="14601" width="20.140625" style="1" customWidth="1"/>
    <col min="14602" max="14602" width="20" style="1" customWidth="1"/>
    <col min="14603" max="14603" width="21.28515625" style="1" customWidth="1"/>
    <col min="14604" max="14606" width="19" style="1" bestFit="1" customWidth="1"/>
    <col min="14607" max="14609" width="20.7109375" style="1" bestFit="1" customWidth="1"/>
    <col min="14610" max="14611" width="14.42578125" style="1" customWidth="1"/>
    <col min="14612" max="14612" width="14" style="1" customWidth="1"/>
    <col min="14613" max="14854" width="9.140625" style="1"/>
    <col min="14855" max="14855" width="25.7109375" style="1" customWidth="1"/>
    <col min="14856" max="14856" width="36.7109375" style="1" customWidth="1"/>
    <col min="14857" max="14857" width="20.140625" style="1" customWidth="1"/>
    <col min="14858" max="14858" width="20" style="1" customWidth="1"/>
    <col min="14859" max="14859" width="21.28515625" style="1" customWidth="1"/>
    <col min="14860" max="14862" width="19" style="1" bestFit="1" customWidth="1"/>
    <col min="14863" max="14865" width="20.7109375" style="1" bestFit="1" customWidth="1"/>
    <col min="14866" max="14867" width="14.42578125" style="1" customWidth="1"/>
    <col min="14868" max="14868" width="14" style="1" customWidth="1"/>
    <col min="14869" max="15110" width="9.140625" style="1"/>
    <col min="15111" max="15111" width="25.7109375" style="1" customWidth="1"/>
    <col min="15112" max="15112" width="36.7109375" style="1" customWidth="1"/>
    <col min="15113" max="15113" width="20.140625" style="1" customWidth="1"/>
    <col min="15114" max="15114" width="20" style="1" customWidth="1"/>
    <col min="15115" max="15115" width="21.28515625" style="1" customWidth="1"/>
    <col min="15116" max="15118" width="19" style="1" bestFit="1" customWidth="1"/>
    <col min="15119" max="15121" width="20.7109375" style="1" bestFit="1" customWidth="1"/>
    <col min="15122" max="15123" width="14.42578125" style="1" customWidth="1"/>
    <col min="15124" max="15124" width="14" style="1" customWidth="1"/>
    <col min="15125" max="15366" width="9.140625" style="1"/>
    <col min="15367" max="15367" width="25.7109375" style="1" customWidth="1"/>
    <col min="15368" max="15368" width="36.7109375" style="1" customWidth="1"/>
    <col min="15369" max="15369" width="20.140625" style="1" customWidth="1"/>
    <col min="15370" max="15370" width="20" style="1" customWidth="1"/>
    <col min="15371" max="15371" width="21.28515625" style="1" customWidth="1"/>
    <col min="15372" max="15374" width="19" style="1" bestFit="1" customWidth="1"/>
    <col min="15375" max="15377" width="20.7109375" style="1" bestFit="1" customWidth="1"/>
    <col min="15378" max="15379" width="14.42578125" style="1" customWidth="1"/>
    <col min="15380" max="15380" width="14" style="1" customWidth="1"/>
    <col min="15381" max="15622" width="9.140625" style="1"/>
    <col min="15623" max="15623" width="25.7109375" style="1" customWidth="1"/>
    <col min="15624" max="15624" width="36.7109375" style="1" customWidth="1"/>
    <col min="15625" max="15625" width="20.140625" style="1" customWidth="1"/>
    <col min="15626" max="15626" width="20" style="1" customWidth="1"/>
    <col min="15627" max="15627" width="21.28515625" style="1" customWidth="1"/>
    <col min="15628" max="15630" width="19" style="1" bestFit="1" customWidth="1"/>
    <col min="15631" max="15633" width="20.7109375" style="1" bestFit="1" customWidth="1"/>
    <col min="15634" max="15635" width="14.42578125" style="1" customWidth="1"/>
    <col min="15636" max="15636" width="14" style="1" customWidth="1"/>
    <col min="15637" max="15878" width="9.140625" style="1"/>
    <col min="15879" max="15879" width="25.7109375" style="1" customWidth="1"/>
    <col min="15880" max="15880" width="36.7109375" style="1" customWidth="1"/>
    <col min="15881" max="15881" width="20.140625" style="1" customWidth="1"/>
    <col min="15882" max="15882" width="20" style="1" customWidth="1"/>
    <col min="15883" max="15883" width="21.28515625" style="1" customWidth="1"/>
    <col min="15884" max="15886" width="19" style="1" bestFit="1" customWidth="1"/>
    <col min="15887" max="15889" width="20.7109375" style="1" bestFit="1" customWidth="1"/>
    <col min="15890" max="15891" width="14.42578125" style="1" customWidth="1"/>
    <col min="15892" max="15892" width="14" style="1" customWidth="1"/>
    <col min="15893" max="16134" width="9.140625" style="1"/>
    <col min="16135" max="16135" width="25.7109375" style="1" customWidth="1"/>
    <col min="16136" max="16136" width="36.7109375" style="1" customWidth="1"/>
    <col min="16137" max="16137" width="20.140625" style="1" customWidth="1"/>
    <col min="16138" max="16138" width="20" style="1" customWidth="1"/>
    <col min="16139" max="16139" width="21.28515625" style="1" customWidth="1"/>
    <col min="16140" max="16142" width="19" style="1" bestFit="1" customWidth="1"/>
    <col min="16143" max="16145" width="20.7109375" style="1" bestFit="1" customWidth="1"/>
    <col min="16146" max="16147" width="14.42578125" style="1" customWidth="1"/>
    <col min="16148" max="16148" width="14" style="1" customWidth="1"/>
    <col min="16149" max="16384" width="9.140625" style="1"/>
  </cols>
  <sheetData>
    <row r="1" spans="1:32" x14ac:dyDescent="0.25">
      <c r="A1" s="78" t="s">
        <v>70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2.25" customHeight="1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9.75" customHeight="1" x14ac:dyDescent="0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6.5" customHeight="1" x14ac:dyDescent="0.2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33" customHeight="1" x14ac:dyDescent="0.25">
      <c r="A5" s="81" t="s">
        <v>0</v>
      </c>
      <c r="B5" s="81" t="s">
        <v>1</v>
      </c>
      <c r="C5" s="81" t="s">
        <v>75</v>
      </c>
      <c r="D5" s="81"/>
      <c r="E5" s="81"/>
      <c r="F5" s="81" t="s">
        <v>82</v>
      </c>
      <c r="G5" s="81"/>
      <c r="H5" s="81"/>
      <c r="I5" s="81" t="s">
        <v>83</v>
      </c>
      <c r="J5" s="81"/>
      <c r="K5" s="81"/>
      <c r="L5" s="81" t="s">
        <v>76</v>
      </c>
      <c r="M5" s="81"/>
      <c r="N5" s="81"/>
      <c r="O5" s="36"/>
      <c r="P5" s="36"/>
      <c r="Q5" s="36"/>
      <c r="R5" s="81" t="s">
        <v>72</v>
      </c>
      <c r="S5" s="81"/>
      <c r="T5" s="81"/>
      <c r="U5" s="81" t="s">
        <v>77</v>
      </c>
      <c r="V5" s="81"/>
      <c r="W5" s="81"/>
      <c r="X5" s="81" t="s">
        <v>78</v>
      </c>
      <c r="Y5" s="81"/>
      <c r="Z5" s="81"/>
      <c r="AA5" s="81" t="s">
        <v>79</v>
      </c>
      <c r="AB5" s="81"/>
      <c r="AC5" s="81"/>
      <c r="AD5" s="81" t="s">
        <v>80</v>
      </c>
      <c r="AE5" s="81"/>
      <c r="AF5" s="81"/>
    </row>
    <row r="6" spans="1:32" ht="16.5" customHeight="1" x14ac:dyDescent="0.25">
      <c r="A6" s="81"/>
      <c r="B6" s="81"/>
      <c r="C6" s="5" t="s">
        <v>65</v>
      </c>
      <c r="D6" s="5" t="s">
        <v>69</v>
      </c>
      <c r="E6" s="5" t="s">
        <v>71</v>
      </c>
      <c r="F6" s="5" t="s">
        <v>65</v>
      </c>
      <c r="G6" s="5" t="s">
        <v>69</v>
      </c>
      <c r="H6" s="5" t="s">
        <v>71</v>
      </c>
      <c r="I6" s="5" t="s">
        <v>65</v>
      </c>
      <c r="J6" s="5" t="s">
        <v>69</v>
      </c>
      <c r="K6" s="5" t="s">
        <v>71</v>
      </c>
      <c r="L6" s="5" t="s">
        <v>65</v>
      </c>
      <c r="M6" s="5" t="s">
        <v>69</v>
      </c>
      <c r="N6" s="5" t="s">
        <v>71</v>
      </c>
      <c r="O6" s="5"/>
      <c r="P6" s="5"/>
      <c r="Q6" s="5"/>
      <c r="R6" s="5" t="s">
        <v>65</v>
      </c>
      <c r="S6" s="5" t="s">
        <v>69</v>
      </c>
      <c r="T6" s="5" t="s">
        <v>71</v>
      </c>
      <c r="U6" s="5" t="s">
        <v>65</v>
      </c>
      <c r="V6" s="5" t="s">
        <v>69</v>
      </c>
      <c r="W6" s="5" t="s">
        <v>71</v>
      </c>
      <c r="X6" s="5" t="s">
        <v>65</v>
      </c>
      <c r="Y6" s="5" t="s">
        <v>69</v>
      </c>
      <c r="Z6" s="5" t="s">
        <v>71</v>
      </c>
      <c r="AA6" s="5" t="s">
        <v>65</v>
      </c>
      <c r="AB6" s="5" t="s">
        <v>69</v>
      </c>
      <c r="AC6" s="5" t="s">
        <v>71</v>
      </c>
      <c r="AD6" s="5" t="s">
        <v>65</v>
      </c>
      <c r="AE6" s="5" t="s">
        <v>69</v>
      </c>
      <c r="AF6" s="5" t="s">
        <v>71</v>
      </c>
    </row>
    <row r="7" spans="1:32" ht="15.75" customHeight="1" x14ac:dyDescent="0.25">
      <c r="A7" s="6">
        <v>1</v>
      </c>
      <c r="B7" s="6">
        <v>2</v>
      </c>
      <c r="C7" s="7">
        <v>3</v>
      </c>
      <c r="D7" s="6">
        <v>4</v>
      </c>
      <c r="E7" s="7">
        <v>5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>
        <v>3</v>
      </c>
      <c r="S7" s="6">
        <v>4</v>
      </c>
      <c r="T7" s="7">
        <v>5</v>
      </c>
      <c r="U7" s="7">
        <v>3</v>
      </c>
      <c r="V7" s="6">
        <v>4</v>
      </c>
      <c r="W7" s="7">
        <v>5</v>
      </c>
      <c r="X7" s="7">
        <v>3</v>
      </c>
      <c r="Y7" s="6">
        <v>4</v>
      </c>
      <c r="Z7" s="7">
        <v>5</v>
      </c>
      <c r="AA7" s="7">
        <v>3</v>
      </c>
      <c r="AB7" s="6">
        <v>4</v>
      </c>
      <c r="AC7" s="7">
        <v>5</v>
      </c>
      <c r="AD7" s="7">
        <v>3</v>
      </c>
      <c r="AE7" s="6">
        <v>4</v>
      </c>
      <c r="AF7" s="7">
        <v>5</v>
      </c>
    </row>
    <row r="8" spans="1:32" s="2" customFormat="1" ht="33" customHeight="1" x14ac:dyDescent="0.25">
      <c r="A8" s="29" t="s">
        <v>2</v>
      </c>
      <c r="B8" s="8" t="s">
        <v>3</v>
      </c>
      <c r="C8" s="24">
        <f>SUM(C9:C20)</f>
        <v>36143400</v>
      </c>
      <c r="D8" s="24">
        <f t="shared" ref="D8:H8" si="0">SUM(D9:D20)</f>
        <v>34044300</v>
      </c>
      <c r="E8" s="24">
        <f t="shared" si="0"/>
        <v>34931900</v>
      </c>
      <c r="F8" s="24">
        <f t="shared" si="0"/>
        <v>0</v>
      </c>
      <c r="G8" s="24">
        <f t="shared" si="0"/>
        <v>0</v>
      </c>
      <c r="H8" s="24">
        <f t="shared" si="0"/>
        <v>0</v>
      </c>
      <c r="I8" s="24">
        <f>SUM(I9:I20)</f>
        <v>0</v>
      </c>
      <c r="J8" s="24">
        <f t="shared" ref="J8:N8" si="1">SUM(J9:J20)</f>
        <v>0</v>
      </c>
      <c r="K8" s="24">
        <f t="shared" si="1"/>
        <v>0</v>
      </c>
      <c r="L8" s="24">
        <f t="shared" si="1"/>
        <v>27503000</v>
      </c>
      <c r="M8" s="24">
        <f t="shared" si="1"/>
        <v>28338300</v>
      </c>
      <c r="N8" s="24">
        <f t="shared" si="1"/>
        <v>29172900</v>
      </c>
      <c r="O8" s="24"/>
      <c r="P8" s="24"/>
      <c r="Q8" s="24"/>
      <c r="R8" s="24">
        <f>SUM(R9:R20)</f>
        <v>1476200</v>
      </c>
      <c r="S8" s="24">
        <f t="shared" ref="S8:T8" si="2">SUM(S9:S20)</f>
        <v>1492800</v>
      </c>
      <c r="T8" s="24">
        <f t="shared" si="2"/>
        <v>1508100</v>
      </c>
      <c r="U8" s="24">
        <f>SUM(U9:U20)</f>
        <v>3762100</v>
      </c>
      <c r="V8" s="24">
        <f t="shared" ref="V8:W8" si="3">SUM(V9:V20)</f>
        <v>770900</v>
      </c>
      <c r="W8" s="24">
        <f t="shared" si="3"/>
        <v>777000</v>
      </c>
      <c r="X8" s="24">
        <f>SUM(X9:X20)</f>
        <v>1475800</v>
      </c>
      <c r="Y8" s="24">
        <f t="shared" ref="Y8:Z8" si="4">SUM(Y9:Y20)</f>
        <v>1492700</v>
      </c>
      <c r="Z8" s="24">
        <f t="shared" si="4"/>
        <v>1504900</v>
      </c>
      <c r="AA8" s="24">
        <f>SUM(AA9:AA20)</f>
        <v>1231300</v>
      </c>
      <c r="AB8" s="24">
        <f t="shared" ref="AB8:AC8" si="5">SUM(AB9:AB20)</f>
        <v>1245000</v>
      </c>
      <c r="AC8" s="24">
        <f t="shared" si="5"/>
        <v>1256900</v>
      </c>
      <c r="AD8" s="24">
        <f>SUM(AD9:AD20)</f>
        <v>695000</v>
      </c>
      <c r="AE8" s="24">
        <f t="shared" ref="AE8:AF8" si="6">SUM(AE9:AE20)</f>
        <v>704600</v>
      </c>
      <c r="AF8" s="24">
        <f t="shared" si="6"/>
        <v>712100</v>
      </c>
    </row>
    <row r="9" spans="1:32" ht="45.75" customHeight="1" x14ac:dyDescent="0.25">
      <c r="A9" s="22" t="s">
        <v>4</v>
      </c>
      <c r="B9" s="9" t="s">
        <v>5</v>
      </c>
      <c r="C9" s="25">
        <f>L9+R9+U9+X9+AA9+AD9</f>
        <v>6680400</v>
      </c>
      <c r="D9" s="25">
        <f>M9+S9+V9+Y9+AB9+AE9</f>
        <v>7014200</v>
      </c>
      <c r="E9" s="25">
        <f>N9+T9+W9+Z9+AC9+AF9</f>
        <v>7364900</v>
      </c>
      <c r="F9" s="25"/>
      <c r="G9" s="25"/>
      <c r="H9" s="25"/>
      <c r="I9" s="25"/>
      <c r="J9" s="25"/>
      <c r="K9" s="25"/>
      <c r="L9" s="25">
        <v>6516000</v>
      </c>
      <c r="M9" s="25">
        <v>6842000</v>
      </c>
      <c r="N9" s="25">
        <v>7185600</v>
      </c>
      <c r="O9" s="25"/>
      <c r="P9" s="25"/>
      <c r="Q9" s="25"/>
      <c r="R9" s="25">
        <v>55000</v>
      </c>
      <c r="S9" s="25">
        <v>57600</v>
      </c>
      <c r="T9" s="25">
        <v>62900</v>
      </c>
      <c r="U9" s="25">
        <v>16300</v>
      </c>
      <c r="V9" s="25">
        <v>17000</v>
      </c>
      <c r="W9" s="25">
        <v>17000</v>
      </c>
      <c r="X9" s="25">
        <v>37800</v>
      </c>
      <c r="Y9" s="25">
        <v>39600</v>
      </c>
      <c r="Z9" s="25">
        <v>39600</v>
      </c>
      <c r="AA9" s="25">
        <v>30700</v>
      </c>
      <c r="AB9" s="25">
        <v>31300</v>
      </c>
      <c r="AC9" s="25">
        <v>33100</v>
      </c>
      <c r="AD9" s="25">
        <v>24600</v>
      </c>
      <c r="AE9" s="25">
        <v>26700</v>
      </c>
      <c r="AF9" s="25">
        <v>26700</v>
      </c>
    </row>
    <row r="10" spans="1:32" ht="64.5" customHeight="1" x14ac:dyDescent="0.25">
      <c r="A10" s="22" t="s">
        <v>6</v>
      </c>
      <c r="B10" s="9" t="s">
        <v>7</v>
      </c>
      <c r="C10" s="25">
        <f t="shared" ref="C10:C21" si="7">L10+R10+U10+X10+AA10+AD10</f>
        <v>5009900</v>
      </c>
      <c r="D10" s="25">
        <f t="shared" ref="D10:D21" si="8">M10+S10+V10+Y10+AB10+AE10</f>
        <v>5271600</v>
      </c>
      <c r="E10" s="25">
        <f t="shared" ref="E10:E21" si="9">N10+T10+W10+Z10+AC10+AF10</f>
        <v>5594400</v>
      </c>
      <c r="F10" s="25"/>
      <c r="G10" s="25"/>
      <c r="H10" s="25"/>
      <c r="I10" s="25"/>
      <c r="J10" s="25"/>
      <c r="K10" s="25"/>
      <c r="L10" s="25">
        <f>2914000+2094100</f>
        <v>5008100</v>
      </c>
      <c r="M10" s="25">
        <f>3066000+2203700</f>
        <v>5269700</v>
      </c>
      <c r="N10" s="25">
        <f>3254000+2338400</f>
        <v>5592400</v>
      </c>
      <c r="O10" s="25"/>
      <c r="P10" s="25"/>
      <c r="Q10" s="25"/>
      <c r="R10" s="25"/>
      <c r="S10" s="25"/>
      <c r="T10" s="25"/>
      <c r="U10" s="25">
        <v>1800</v>
      </c>
      <c r="V10" s="25">
        <v>1900</v>
      </c>
      <c r="W10" s="25">
        <v>2000</v>
      </c>
      <c r="X10" s="25"/>
      <c r="Y10" s="25"/>
      <c r="Z10" s="25"/>
      <c r="AA10" s="25"/>
      <c r="AB10" s="25"/>
      <c r="AC10" s="25"/>
      <c r="AD10" s="25"/>
      <c r="AE10" s="25"/>
      <c r="AF10" s="25"/>
    </row>
    <row r="11" spans="1:32" s="11" customFormat="1" ht="39" customHeight="1" x14ac:dyDescent="0.25">
      <c r="A11" s="22" t="s">
        <v>8</v>
      </c>
      <c r="B11" s="9" t="s">
        <v>9</v>
      </c>
      <c r="C11" s="25">
        <f t="shared" si="7"/>
        <v>12800</v>
      </c>
      <c r="D11" s="25">
        <f t="shared" si="8"/>
        <v>13700</v>
      </c>
      <c r="E11" s="25">
        <f t="shared" si="9"/>
        <v>14700</v>
      </c>
      <c r="F11" s="25"/>
      <c r="G11" s="25"/>
      <c r="H11" s="25"/>
      <c r="I11" s="25"/>
      <c r="J11" s="25"/>
      <c r="K11" s="25"/>
      <c r="L11" s="25">
        <v>2600</v>
      </c>
      <c r="M11" s="25">
        <v>2800</v>
      </c>
      <c r="N11" s="25">
        <v>3000</v>
      </c>
      <c r="O11" s="25"/>
      <c r="P11" s="25"/>
      <c r="Q11" s="25"/>
      <c r="R11" s="25"/>
      <c r="S11" s="25"/>
      <c r="T11" s="25"/>
      <c r="U11" s="25"/>
      <c r="V11" s="25"/>
      <c r="W11" s="25"/>
      <c r="X11" s="25">
        <v>2600</v>
      </c>
      <c r="Y11" s="25">
        <v>2700</v>
      </c>
      <c r="Z11" s="25">
        <v>2900</v>
      </c>
      <c r="AA11" s="25">
        <v>1100</v>
      </c>
      <c r="AB11" s="25">
        <v>1200</v>
      </c>
      <c r="AC11" s="25">
        <v>1300</v>
      </c>
      <c r="AD11" s="25">
        <v>6500</v>
      </c>
      <c r="AE11" s="25">
        <v>7000</v>
      </c>
      <c r="AF11" s="25">
        <v>7500</v>
      </c>
    </row>
    <row r="12" spans="1:32" ht="27" customHeight="1" x14ac:dyDescent="0.25">
      <c r="A12" s="22" t="s">
        <v>10</v>
      </c>
      <c r="B12" s="9" t="s">
        <v>11</v>
      </c>
      <c r="C12" s="25">
        <f t="shared" si="7"/>
        <v>19414000</v>
      </c>
      <c r="D12" s="25">
        <f t="shared" si="8"/>
        <v>19656000</v>
      </c>
      <c r="E12" s="25">
        <f t="shared" si="9"/>
        <v>19869000</v>
      </c>
      <c r="F12" s="25"/>
      <c r="G12" s="25"/>
      <c r="H12" s="25"/>
      <c r="I12" s="25"/>
      <c r="J12" s="25"/>
      <c r="K12" s="25"/>
      <c r="L12" s="25">
        <v>14248000</v>
      </c>
      <c r="M12" s="25">
        <v>14433000</v>
      </c>
      <c r="N12" s="25">
        <v>14601000</v>
      </c>
      <c r="O12" s="25"/>
      <c r="P12" s="25"/>
      <c r="Q12" s="25"/>
      <c r="R12" s="25">
        <v>1350000</v>
      </c>
      <c r="S12" s="25">
        <v>1364000</v>
      </c>
      <c r="T12" s="25">
        <v>1374000</v>
      </c>
      <c r="U12" s="25">
        <v>738000</v>
      </c>
      <c r="V12" s="25">
        <v>746000</v>
      </c>
      <c r="W12" s="25">
        <v>752000</v>
      </c>
      <c r="X12" s="25">
        <v>1313000</v>
      </c>
      <c r="Y12" s="25">
        <v>1328000</v>
      </c>
      <c r="Z12" s="25">
        <v>1340000</v>
      </c>
      <c r="AA12" s="25">
        <v>1192000</v>
      </c>
      <c r="AB12" s="25">
        <v>1205000</v>
      </c>
      <c r="AC12" s="25">
        <v>1215000</v>
      </c>
      <c r="AD12" s="25">
        <v>573000</v>
      </c>
      <c r="AE12" s="25">
        <v>580000</v>
      </c>
      <c r="AF12" s="25">
        <v>587000</v>
      </c>
    </row>
    <row r="13" spans="1:32" ht="52.5" customHeight="1" x14ac:dyDescent="0.25">
      <c r="A13" s="22" t="s">
        <v>12</v>
      </c>
      <c r="B13" s="9" t="s">
        <v>13</v>
      </c>
      <c r="C13" s="25">
        <f t="shared" si="7"/>
        <v>0</v>
      </c>
      <c r="D13" s="25">
        <f t="shared" si="8"/>
        <v>0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 t="s">
        <v>81</v>
      </c>
      <c r="AA13" s="25"/>
      <c r="AB13" s="25"/>
      <c r="AC13" s="25"/>
      <c r="AD13" s="25"/>
      <c r="AE13" s="25"/>
      <c r="AF13" s="25"/>
    </row>
    <row r="14" spans="1:32" ht="22.5" customHeight="1" x14ac:dyDescent="0.25">
      <c r="A14" s="22" t="s">
        <v>14</v>
      </c>
      <c r="B14" s="9" t="s">
        <v>15</v>
      </c>
      <c r="C14" s="25">
        <f t="shared" si="7"/>
        <v>0</v>
      </c>
      <c r="D14" s="25">
        <f t="shared" si="8"/>
        <v>0</v>
      </c>
      <c r="E14" s="25">
        <f t="shared" si="9"/>
        <v>0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</row>
    <row r="15" spans="1:32" ht="85.5" customHeight="1" x14ac:dyDescent="0.25">
      <c r="A15" s="22" t="s">
        <v>16</v>
      </c>
      <c r="B15" s="9" t="s">
        <v>17</v>
      </c>
      <c r="C15" s="25">
        <f t="shared" si="7"/>
        <v>1850300</v>
      </c>
      <c r="D15" s="25">
        <f t="shared" si="8"/>
        <v>1912800</v>
      </c>
      <c r="E15" s="25">
        <f t="shared" si="9"/>
        <v>1912900</v>
      </c>
      <c r="F15" s="25"/>
      <c r="G15" s="25"/>
      <c r="H15" s="25"/>
      <c r="I15" s="25"/>
      <c r="J15" s="25"/>
      <c r="K15" s="25"/>
      <c r="L15" s="25">
        <v>1578300</v>
      </c>
      <c r="M15" s="25">
        <v>1640800</v>
      </c>
      <c r="N15" s="25">
        <v>1640900</v>
      </c>
      <c r="O15" s="25"/>
      <c r="P15" s="25"/>
      <c r="Q15" s="25"/>
      <c r="R15" s="25">
        <v>71200</v>
      </c>
      <c r="S15" s="25">
        <v>71200</v>
      </c>
      <c r="T15" s="25">
        <v>71200</v>
      </c>
      <c r="U15" s="25">
        <v>6000</v>
      </c>
      <c r="V15" s="25">
        <v>6000</v>
      </c>
      <c r="W15" s="25">
        <v>6000</v>
      </c>
      <c r="X15" s="25">
        <v>122400</v>
      </c>
      <c r="Y15" s="25">
        <v>122400</v>
      </c>
      <c r="Z15" s="25">
        <v>122400</v>
      </c>
      <c r="AA15" s="25"/>
      <c r="AB15" s="25"/>
      <c r="AC15" s="25"/>
      <c r="AD15" s="25">
        <v>72400</v>
      </c>
      <c r="AE15" s="25">
        <v>72400</v>
      </c>
      <c r="AF15" s="25">
        <v>72400</v>
      </c>
    </row>
    <row r="16" spans="1:32" ht="36" customHeight="1" x14ac:dyDescent="0.25">
      <c r="A16" s="22" t="s">
        <v>18</v>
      </c>
      <c r="B16" s="9" t="s">
        <v>19</v>
      </c>
      <c r="C16" s="25">
        <f t="shared" si="7"/>
        <v>0</v>
      </c>
      <c r="D16" s="25">
        <f t="shared" si="8"/>
        <v>0</v>
      </c>
      <c r="E16" s="25">
        <f t="shared" si="9"/>
        <v>0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</row>
    <row r="17" spans="1:32" s="11" customFormat="1" ht="66.75" customHeight="1" x14ac:dyDescent="0.25">
      <c r="A17" s="22" t="s">
        <v>20</v>
      </c>
      <c r="B17" s="9" t="s">
        <v>21</v>
      </c>
      <c r="C17" s="25">
        <f t="shared" si="7"/>
        <v>26000</v>
      </c>
      <c r="D17" s="25">
        <f t="shared" si="8"/>
        <v>26000</v>
      </c>
      <c r="E17" s="25">
        <f t="shared" si="9"/>
        <v>26000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>
        <v>7500</v>
      </c>
      <c r="AB17" s="25">
        <v>7500</v>
      </c>
      <c r="AC17" s="25">
        <v>7500</v>
      </c>
      <c r="AD17" s="25">
        <v>18500</v>
      </c>
      <c r="AE17" s="25">
        <v>18500</v>
      </c>
      <c r="AF17" s="25">
        <v>18500</v>
      </c>
    </row>
    <row r="18" spans="1:32" s="11" customFormat="1" ht="54.75" customHeight="1" x14ac:dyDescent="0.25">
      <c r="A18" s="22" t="s">
        <v>22</v>
      </c>
      <c r="B18" s="9" t="s">
        <v>23</v>
      </c>
      <c r="C18" s="25">
        <f t="shared" si="7"/>
        <v>3150000</v>
      </c>
      <c r="D18" s="25">
        <f t="shared" si="8"/>
        <v>150000</v>
      </c>
      <c r="E18" s="25">
        <f t="shared" si="9"/>
        <v>150000</v>
      </c>
      <c r="F18" s="25"/>
      <c r="G18" s="25"/>
      <c r="H18" s="25"/>
      <c r="I18" s="25"/>
      <c r="J18" s="25"/>
      <c r="K18" s="25"/>
      <c r="L18" s="25">
        <v>150000</v>
      </c>
      <c r="M18" s="25">
        <v>150000</v>
      </c>
      <c r="N18" s="25">
        <v>150000</v>
      </c>
      <c r="O18" s="25"/>
      <c r="P18" s="25"/>
      <c r="Q18" s="25"/>
      <c r="R18" s="25"/>
      <c r="S18" s="25"/>
      <c r="T18" s="25"/>
      <c r="U18" s="25">
        <v>3000000</v>
      </c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</row>
    <row r="19" spans="1:32" ht="31.5" x14ac:dyDescent="0.25">
      <c r="A19" s="22" t="s">
        <v>24</v>
      </c>
      <c r="B19" s="9" t="s">
        <v>25</v>
      </c>
      <c r="C19" s="25">
        <f t="shared" si="7"/>
        <v>0</v>
      </c>
      <c r="D19" s="25">
        <f t="shared" si="8"/>
        <v>0</v>
      </c>
      <c r="E19" s="25">
        <f t="shared" si="9"/>
        <v>0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</row>
    <row r="20" spans="1:32" ht="32.25" thickBot="1" x14ac:dyDescent="0.3">
      <c r="A20" s="23" t="s">
        <v>26</v>
      </c>
      <c r="B20" s="12" t="s">
        <v>27</v>
      </c>
      <c r="C20" s="25">
        <f t="shared" si="7"/>
        <v>0</v>
      </c>
      <c r="D20" s="25">
        <f t="shared" si="8"/>
        <v>0</v>
      </c>
      <c r="E20" s="25">
        <f t="shared" si="9"/>
        <v>0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</row>
    <row r="21" spans="1:32" s="11" customFormat="1" ht="31.5" x14ac:dyDescent="0.25">
      <c r="A21" s="28" t="s">
        <v>28</v>
      </c>
      <c r="B21" s="29" t="s">
        <v>29</v>
      </c>
      <c r="C21" s="25">
        <f t="shared" si="7"/>
        <v>76064513.25999999</v>
      </c>
      <c r="D21" s="25">
        <f t="shared" si="8"/>
        <v>25913620.18</v>
      </c>
      <c r="E21" s="25">
        <f t="shared" si="9"/>
        <v>33665372.340000004</v>
      </c>
      <c r="F21" s="25"/>
      <c r="G21" s="25"/>
      <c r="H21" s="25"/>
      <c r="I21" s="25">
        <f>200+606592</f>
        <v>606792</v>
      </c>
      <c r="J21" s="25">
        <f>200+611979</f>
        <v>612179</v>
      </c>
      <c r="K21" s="25">
        <f>200+635624</f>
        <v>635824</v>
      </c>
      <c r="L21" s="25">
        <v>65496834.259999998</v>
      </c>
      <c r="M21" s="25">
        <v>14960151.18</v>
      </c>
      <c r="N21" s="25">
        <v>22224638.34</v>
      </c>
      <c r="O21" s="25"/>
      <c r="P21" s="25"/>
      <c r="Q21" s="25"/>
      <c r="R21" s="30">
        <v>1030527</v>
      </c>
      <c r="S21" s="30">
        <v>1078392</v>
      </c>
      <c r="T21" s="30">
        <v>1153546</v>
      </c>
      <c r="U21" s="30">
        <v>2754594</v>
      </c>
      <c r="V21" s="30">
        <v>2855392</v>
      </c>
      <c r="W21" s="30">
        <v>2974898</v>
      </c>
      <c r="X21" s="30">
        <v>2563138</v>
      </c>
      <c r="Y21" s="30">
        <v>2644487</v>
      </c>
      <c r="Z21" s="30">
        <v>2741990</v>
      </c>
      <c r="AA21" s="30">
        <v>1794741</v>
      </c>
      <c r="AB21" s="30">
        <v>1855017</v>
      </c>
      <c r="AC21" s="30">
        <v>1932681</v>
      </c>
      <c r="AD21" s="30">
        <f>1681074+743605</f>
        <v>2424679</v>
      </c>
      <c r="AE21" s="30">
        <f>1737644+782537</f>
        <v>2520181</v>
      </c>
      <c r="AF21" s="30">
        <f>1807328+830291</f>
        <v>2637619</v>
      </c>
    </row>
    <row r="22" spans="1:32" s="11" customFormat="1" x14ac:dyDescent="0.25">
      <c r="A22" s="28"/>
      <c r="B22" s="29" t="s">
        <v>73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</row>
    <row r="23" spans="1:32" s="11" customFormat="1" ht="24" customHeight="1" x14ac:dyDescent="0.25">
      <c r="A23" s="75" t="s">
        <v>30</v>
      </c>
      <c r="B23" s="75"/>
      <c r="C23" s="27">
        <f t="shared" ref="C23:N23" si="10">C8+C21</f>
        <v>112207913.25999999</v>
      </c>
      <c r="D23" s="27">
        <f t="shared" si="10"/>
        <v>59957920.18</v>
      </c>
      <c r="E23" s="27">
        <f t="shared" si="10"/>
        <v>68597272.340000004</v>
      </c>
      <c r="F23" s="27">
        <f t="shared" si="10"/>
        <v>0</v>
      </c>
      <c r="G23" s="27">
        <f t="shared" si="10"/>
        <v>0</v>
      </c>
      <c r="H23" s="27">
        <f t="shared" si="10"/>
        <v>0</v>
      </c>
      <c r="I23" s="27">
        <f t="shared" si="10"/>
        <v>606792</v>
      </c>
      <c r="J23" s="27">
        <f t="shared" si="10"/>
        <v>612179</v>
      </c>
      <c r="K23" s="27">
        <f t="shared" si="10"/>
        <v>635824</v>
      </c>
      <c r="L23" s="27">
        <f t="shared" si="10"/>
        <v>92999834.25999999</v>
      </c>
      <c r="M23" s="27">
        <f t="shared" si="10"/>
        <v>43298451.18</v>
      </c>
      <c r="N23" s="27">
        <f t="shared" si="10"/>
        <v>51397538.340000004</v>
      </c>
      <c r="O23" s="27"/>
      <c r="P23" s="27"/>
      <c r="Q23" s="27"/>
      <c r="R23" s="27">
        <f t="shared" ref="R23:AF23" si="11">R8+R21</f>
        <v>2506727</v>
      </c>
      <c r="S23" s="27">
        <f t="shared" si="11"/>
        <v>2571192</v>
      </c>
      <c r="T23" s="27">
        <f t="shared" si="11"/>
        <v>2661646</v>
      </c>
      <c r="U23" s="27">
        <f t="shared" si="11"/>
        <v>6516694</v>
      </c>
      <c r="V23" s="27">
        <f t="shared" si="11"/>
        <v>3626292</v>
      </c>
      <c r="W23" s="27">
        <f t="shared" si="11"/>
        <v>3751898</v>
      </c>
      <c r="X23" s="27">
        <f t="shared" si="11"/>
        <v>4038938</v>
      </c>
      <c r="Y23" s="27">
        <f t="shared" si="11"/>
        <v>4137187</v>
      </c>
      <c r="Z23" s="27">
        <f t="shared" si="11"/>
        <v>4246890</v>
      </c>
      <c r="AA23" s="27">
        <f t="shared" si="11"/>
        <v>3026041</v>
      </c>
      <c r="AB23" s="27">
        <f t="shared" si="11"/>
        <v>3100017</v>
      </c>
      <c r="AC23" s="27">
        <f t="shared" si="11"/>
        <v>3189581</v>
      </c>
      <c r="AD23" s="27">
        <f t="shared" si="11"/>
        <v>3119679</v>
      </c>
      <c r="AE23" s="27">
        <f t="shared" si="11"/>
        <v>3224781</v>
      </c>
      <c r="AF23" s="27">
        <f t="shared" si="11"/>
        <v>3349719</v>
      </c>
    </row>
    <row r="24" spans="1:32" s="11" customFormat="1" ht="30" customHeight="1" x14ac:dyDescent="0.25">
      <c r="A24" s="76" t="s">
        <v>31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</row>
    <row r="25" spans="1:32" s="2" customFormat="1" ht="36" customHeight="1" x14ac:dyDescent="0.25">
      <c r="A25" s="21" t="s">
        <v>32</v>
      </c>
      <c r="B25" s="13" t="s">
        <v>33</v>
      </c>
      <c r="C25" s="25">
        <f>L25+R25+U25+X25+AA25+AD25</f>
        <v>7854150</v>
      </c>
      <c r="D25" s="25">
        <f t="shared" ref="D25" si="12">M25+S25+V25+Y25+AB25+AE25</f>
        <v>8171846</v>
      </c>
      <c r="E25" s="25">
        <f t="shared" ref="E25" si="13">N25+T25+W25+Z25+AC25+AF25</f>
        <v>9130711</v>
      </c>
      <c r="F25" s="25">
        <v>200</v>
      </c>
      <c r="G25" s="25">
        <v>200</v>
      </c>
      <c r="H25" s="25">
        <v>200</v>
      </c>
      <c r="I25" s="25">
        <f>2400+18000+2500</f>
        <v>22900</v>
      </c>
      <c r="J25" s="25">
        <f t="shared" ref="J25:K25" si="14">2400+18000+2500</f>
        <v>22900</v>
      </c>
      <c r="K25" s="25">
        <f t="shared" si="14"/>
        <v>22900</v>
      </c>
      <c r="L25" s="25">
        <v>138100</v>
      </c>
      <c r="M25" s="25">
        <v>846600</v>
      </c>
      <c r="N25" s="25">
        <v>1608100</v>
      </c>
      <c r="O25" s="25">
        <f>R25+U25+X25+AA25+AD25</f>
        <v>7716050</v>
      </c>
      <c r="P25" s="25">
        <f t="shared" ref="P25:Q25" si="15">S25+V25+Y25+AB25+AE25</f>
        <v>7325246</v>
      </c>
      <c r="Q25" s="25">
        <f t="shared" si="15"/>
        <v>7522611</v>
      </c>
      <c r="R25" s="19">
        <v>1345258</v>
      </c>
      <c r="S25" s="19">
        <v>1450800</v>
      </c>
      <c r="T25" s="19">
        <v>1507654</v>
      </c>
      <c r="U25" s="19">
        <v>1896092</v>
      </c>
      <c r="V25" s="19">
        <v>1337272</v>
      </c>
      <c r="W25" s="19">
        <v>1341017</v>
      </c>
      <c r="X25" s="19">
        <v>1755200</v>
      </c>
      <c r="Y25" s="19">
        <v>1815886</v>
      </c>
      <c r="Z25" s="19">
        <v>1876152</v>
      </c>
      <c r="AA25" s="19">
        <v>1584800</v>
      </c>
      <c r="AB25" s="19">
        <v>1571488</v>
      </c>
      <c r="AC25" s="19">
        <v>1616288</v>
      </c>
      <c r="AD25" s="19">
        <v>1134700</v>
      </c>
      <c r="AE25" s="19">
        <f>1117500+32300</f>
        <v>1149800</v>
      </c>
      <c r="AF25" s="19">
        <f>1117500+64000</f>
        <v>1181500</v>
      </c>
    </row>
    <row r="26" spans="1:32" s="41" customFormat="1" ht="15" customHeight="1" x14ac:dyDescent="0.25">
      <c r="A26" s="37"/>
      <c r="B26" s="38"/>
      <c r="C26" s="39"/>
      <c r="D26" s="39"/>
      <c r="E26" s="39"/>
      <c r="F26" s="39">
        <f>F25</f>
        <v>200</v>
      </c>
      <c r="G26" s="39">
        <f t="shared" ref="G26:H26" si="16">G25</f>
        <v>200</v>
      </c>
      <c r="H26" s="39">
        <f t="shared" si="16"/>
        <v>200</v>
      </c>
      <c r="I26" s="39">
        <f>L26+R26+U26+X26+AA26+AD26</f>
        <v>22900</v>
      </c>
      <c r="J26" s="39">
        <f>M26+S26+V26+Y26+AB26+AE26</f>
        <v>22900</v>
      </c>
      <c r="K26" s="39">
        <f>N26+T26+W26+Z26+AC26+AF26</f>
        <v>22900</v>
      </c>
      <c r="L26" s="39">
        <f>5900</f>
        <v>5900</v>
      </c>
      <c r="M26" s="39">
        <f>5900</f>
        <v>5900</v>
      </c>
      <c r="N26" s="39">
        <f>5900</f>
        <v>5900</v>
      </c>
      <c r="O26" s="25">
        <f t="shared" ref="O26:O47" si="17">R26+U26+X26+AA26+AD26</f>
        <v>17000</v>
      </c>
      <c r="P26" s="25">
        <f t="shared" ref="P26:P47" si="18">S26+V26+Y26+AB26+AE26</f>
        <v>17000</v>
      </c>
      <c r="Q26" s="25">
        <f t="shared" ref="Q26:Q47" si="19">T26+W26+Z26+AC26+AF26</f>
        <v>17000</v>
      </c>
      <c r="R26" s="40">
        <f t="shared" ref="R26:T26" si="20">3300+500</f>
        <v>3800</v>
      </c>
      <c r="S26" s="40">
        <f t="shared" si="20"/>
        <v>3800</v>
      </c>
      <c r="T26" s="40">
        <f t="shared" si="20"/>
        <v>3800</v>
      </c>
      <c r="U26" s="40">
        <f>3300+500</f>
        <v>3800</v>
      </c>
      <c r="V26" s="40">
        <f t="shared" ref="V26:W26" si="21">3300+500</f>
        <v>3800</v>
      </c>
      <c r="W26" s="40">
        <f t="shared" si="21"/>
        <v>3800</v>
      </c>
      <c r="X26" s="40">
        <f>3300+500</f>
        <v>3800</v>
      </c>
      <c r="Y26" s="40">
        <f t="shared" ref="Y26:Z26" si="22">3300+500</f>
        <v>3800</v>
      </c>
      <c r="Z26" s="40">
        <f t="shared" si="22"/>
        <v>3800</v>
      </c>
      <c r="AA26" s="40">
        <f>2300+500</f>
        <v>2800</v>
      </c>
      <c r="AB26" s="40">
        <f t="shared" ref="AB26:AF26" si="23">2300+500</f>
        <v>2800</v>
      </c>
      <c r="AC26" s="40">
        <f t="shared" si="23"/>
        <v>2800</v>
      </c>
      <c r="AD26" s="40">
        <f t="shared" si="23"/>
        <v>2800</v>
      </c>
      <c r="AE26" s="40">
        <f t="shared" si="23"/>
        <v>2800</v>
      </c>
      <c r="AF26" s="40">
        <f t="shared" si="23"/>
        <v>2800</v>
      </c>
    </row>
    <row r="27" spans="1:32" s="11" customFormat="1" ht="19.5" customHeight="1" x14ac:dyDescent="0.25">
      <c r="A27" s="21" t="s">
        <v>34</v>
      </c>
      <c r="B27" s="13" t="s">
        <v>35</v>
      </c>
      <c r="C27" s="25">
        <f t="shared" ref="C27:C45" si="24">L27+R27+U27+X27+AA27+AD27</f>
        <v>1010987</v>
      </c>
      <c r="D27" s="25">
        <f t="shared" ref="D27:D45" si="25">M27+S27+V27+Y27+AB27+AE27</f>
        <v>1019964</v>
      </c>
      <c r="E27" s="25">
        <f t="shared" ref="E27:E45" si="26">N27+T27+W27+Z27+AC27+AF27</f>
        <v>1059374</v>
      </c>
      <c r="F27" s="25">
        <v>1010987</v>
      </c>
      <c r="G27" s="25">
        <v>1019964</v>
      </c>
      <c r="H27" s="25">
        <v>1059374</v>
      </c>
      <c r="I27" s="25">
        <v>606592</v>
      </c>
      <c r="J27" s="25">
        <v>611979</v>
      </c>
      <c r="K27" s="25">
        <v>635624</v>
      </c>
      <c r="L27" s="25">
        <v>606592</v>
      </c>
      <c r="M27" s="25">
        <v>611979</v>
      </c>
      <c r="N27" s="25">
        <v>635624</v>
      </c>
      <c r="O27" s="25">
        <f t="shared" si="17"/>
        <v>404395</v>
      </c>
      <c r="P27" s="25">
        <f t="shared" si="18"/>
        <v>407985</v>
      </c>
      <c r="Q27" s="25">
        <f t="shared" si="19"/>
        <v>423750</v>
      </c>
      <c r="R27" s="19">
        <v>80879</v>
      </c>
      <c r="S27" s="19">
        <v>81597</v>
      </c>
      <c r="T27" s="19">
        <v>84750</v>
      </c>
      <c r="U27" s="19">
        <v>80879</v>
      </c>
      <c r="V27" s="19">
        <v>81597</v>
      </c>
      <c r="W27" s="19">
        <v>84750</v>
      </c>
      <c r="X27" s="19">
        <v>80879</v>
      </c>
      <c r="Y27" s="19">
        <v>81597</v>
      </c>
      <c r="Z27" s="19">
        <v>84750</v>
      </c>
      <c r="AA27" s="19">
        <v>80879</v>
      </c>
      <c r="AB27" s="19">
        <v>81597</v>
      </c>
      <c r="AC27" s="19">
        <v>84750</v>
      </c>
      <c r="AD27" s="19">
        <v>80879</v>
      </c>
      <c r="AE27" s="19">
        <v>81597</v>
      </c>
      <c r="AF27" s="19">
        <v>84750</v>
      </c>
    </row>
    <row r="28" spans="1:32" s="42" customFormat="1" ht="19.5" customHeight="1" x14ac:dyDescent="0.25">
      <c r="A28" s="37"/>
      <c r="B28" s="38"/>
      <c r="C28" s="39"/>
      <c r="D28" s="39"/>
      <c r="E28" s="39"/>
      <c r="F28" s="39">
        <f t="shared" ref="F28:K28" si="27">F27</f>
        <v>1010987</v>
      </c>
      <c r="G28" s="39">
        <f t="shared" si="27"/>
        <v>1019964</v>
      </c>
      <c r="H28" s="39">
        <f t="shared" si="27"/>
        <v>1059374</v>
      </c>
      <c r="I28" s="39">
        <f t="shared" si="27"/>
        <v>606592</v>
      </c>
      <c r="J28" s="39">
        <f t="shared" si="27"/>
        <v>611979</v>
      </c>
      <c r="K28" s="39">
        <f t="shared" si="27"/>
        <v>635624</v>
      </c>
      <c r="L28" s="39">
        <f>L27</f>
        <v>606592</v>
      </c>
      <c r="M28" s="39">
        <f t="shared" ref="M28:T28" si="28">M27</f>
        <v>611979</v>
      </c>
      <c r="N28" s="39">
        <f t="shared" si="28"/>
        <v>635624</v>
      </c>
      <c r="O28" s="25">
        <f t="shared" si="17"/>
        <v>404395</v>
      </c>
      <c r="P28" s="25">
        <f t="shared" si="18"/>
        <v>407985</v>
      </c>
      <c r="Q28" s="25">
        <f t="shared" si="19"/>
        <v>423750</v>
      </c>
      <c r="R28" s="40">
        <f t="shared" si="28"/>
        <v>80879</v>
      </c>
      <c r="S28" s="40">
        <f t="shared" si="28"/>
        <v>81597</v>
      </c>
      <c r="T28" s="40">
        <f t="shared" si="28"/>
        <v>84750</v>
      </c>
      <c r="U28" s="40">
        <f>U27</f>
        <v>80879</v>
      </c>
      <c r="V28" s="40">
        <f t="shared" ref="V28" si="29">V27</f>
        <v>81597</v>
      </c>
      <c r="W28" s="40">
        <f t="shared" ref="W28" si="30">W27</f>
        <v>84750</v>
      </c>
      <c r="X28" s="40">
        <f>X27</f>
        <v>80879</v>
      </c>
      <c r="Y28" s="40">
        <f t="shared" ref="Y28:AA28" si="31">Y27</f>
        <v>81597</v>
      </c>
      <c r="Z28" s="40">
        <f t="shared" si="31"/>
        <v>84750</v>
      </c>
      <c r="AA28" s="40">
        <f t="shared" si="31"/>
        <v>80879</v>
      </c>
      <c r="AB28" s="40">
        <f t="shared" ref="AB28" si="32">AB27</f>
        <v>81597</v>
      </c>
      <c r="AC28" s="40">
        <f t="shared" ref="AC28" si="33">AC27</f>
        <v>84750</v>
      </c>
      <c r="AD28" s="40">
        <f t="shared" ref="AD28" si="34">AD27</f>
        <v>80879</v>
      </c>
      <c r="AE28" s="40">
        <f t="shared" ref="AE28" si="35">AE27</f>
        <v>81597</v>
      </c>
      <c r="AF28" s="40">
        <f t="shared" ref="AF28" si="36">AF27</f>
        <v>84750</v>
      </c>
    </row>
    <row r="29" spans="1:32" ht="71.25" customHeight="1" x14ac:dyDescent="0.25">
      <c r="A29" s="21" t="s">
        <v>36</v>
      </c>
      <c r="B29" s="13" t="s">
        <v>37</v>
      </c>
      <c r="C29" s="25">
        <f t="shared" si="24"/>
        <v>561220</v>
      </c>
      <c r="D29" s="25">
        <f t="shared" si="25"/>
        <v>315280</v>
      </c>
      <c r="E29" s="25">
        <f t="shared" si="26"/>
        <v>315280</v>
      </c>
      <c r="F29" s="25"/>
      <c r="G29" s="25"/>
      <c r="H29" s="25"/>
      <c r="I29" s="25"/>
      <c r="J29" s="25"/>
      <c r="K29" s="25"/>
      <c r="L29" s="25">
        <v>60000</v>
      </c>
      <c r="M29" s="25">
        <v>60000</v>
      </c>
      <c r="N29" s="25">
        <v>60000</v>
      </c>
      <c r="O29" s="25">
        <f t="shared" si="17"/>
        <v>501220</v>
      </c>
      <c r="P29" s="25">
        <f t="shared" si="18"/>
        <v>255280</v>
      </c>
      <c r="Q29" s="25">
        <f t="shared" si="19"/>
        <v>255280</v>
      </c>
      <c r="R29" s="19"/>
      <c r="S29" s="19"/>
      <c r="T29" s="19"/>
      <c r="U29" s="19">
        <v>260320</v>
      </c>
      <c r="V29" s="19">
        <v>77380</v>
      </c>
      <c r="W29" s="19">
        <v>77380</v>
      </c>
      <c r="X29" s="19">
        <v>230900</v>
      </c>
      <c r="Y29" s="19">
        <v>167900</v>
      </c>
      <c r="Z29" s="19">
        <v>167900</v>
      </c>
      <c r="AA29" s="19">
        <v>10000</v>
      </c>
      <c r="AB29" s="19">
        <v>10000</v>
      </c>
      <c r="AC29" s="19">
        <v>10000</v>
      </c>
      <c r="AD29" s="19"/>
      <c r="AE29" s="19"/>
      <c r="AF29" s="19"/>
    </row>
    <row r="30" spans="1:32" s="11" customFormat="1" ht="21" customHeight="1" x14ac:dyDescent="0.25">
      <c r="A30" s="21" t="s">
        <v>38</v>
      </c>
      <c r="B30" s="13" t="s">
        <v>39</v>
      </c>
      <c r="C30" s="25">
        <f t="shared" si="24"/>
        <v>28808970</v>
      </c>
      <c r="D30" s="25">
        <f t="shared" si="25"/>
        <v>23936609</v>
      </c>
      <c r="E30" s="25">
        <f t="shared" si="26"/>
        <v>26615172</v>
      </c>
      <c r="F30" s="25">
        <v>7317800</v>
      </c>
      <c r="G30" s="25">
        <v>7700000</v>
      </c>
      <c r="H30" s="25">
        <v>8171500</v>
      </c>
      <c r="I30" s="25"/>
      <c r="J30" s="25"/>
      <c r="K30" s="25"/>
      <c r="L30" s="25">
        <v>21449410</v>
      </c>
      <c r="M30" s="25">
        <v>16236609</v>
      </c>
      <c r="N30" s="25">
        <v>18443672</v>
      </c>
      <c r="O30" s="25">
        <f t="shared" si="17"/>
        <v>7359560</v>
      </c>
      <c r="P30" s="25">
        <f t="shared" si="18"/>
        <v>7700000</v>
      </c>
      <c r="Q30" s="25">
        <f t="shared" si="19"/>
        <v>8171500</v>
      </c>
      <c r="R30" s="19">
        <v>946748</v>
      </c>
      <c r="S30" s="19">
        <v>996195</v>
      </c>
      <c r="T30" s="19">
        <v>1057196</v>
      </c>
      <c r="U30" s="19">
        <v>1883276</v>
      </c>
      <c r="V30" s="19">
        <v>1937696</v>
      </c>
      <c r="W30" s="19">
        <v>2056349</v>
      </c>
      <c r="X30" s="19">
        <v>1566774</v>
      </c>
      <c r="Y30" s="19">
        <v>1648605</v>
      </c>
      <c r="Z30" s="19">
        <v>1749555</v>
      </c>
      <c r="AA30" s="19">
        <v>1184362</v>
      </c>
      <c r="AB30" s="19">
        <v>1246220</v>
      </c>
      <c r="AC30" s="19">
        <v>1322531</v>
      </c>
      <c r="AD30" s="19">
        <f>1034795+743605</f>
        <v>1778400</v>
      </c>
      <c r="AE30" s="19">
        <f>1088747+782537</f>
        <v>1871284</v>
      </c>
      <c r="AF30" s="19">
        <f>1155578+830291</f>
        <v>1985869</v>
      </c>
    </row>
    <row r="31" spans="1:32" s="42" customFormat="1" ht="21" customHeight="1" x14ac:dyDescent="0.25">
      <c r="A31" s="37"/>
      <c r="B31" s="38"/>
      <c r="C31" s="39"/>
      <c r="D31" s="39"/>
      <c r="E31" s="39"/>
      <c r="F31" s="39">
        <f>F30</f>
        <v>7317800</v>
      </c>
      <c r="G31" s="39">
        <f t="shared" ref="G31:H31" si="37">G30</f>
        <v>7700000</v>
      </c>
      <c r="H31" s="39">
        <f t="shared" si="37"/>
        <v>8171500</v>
      </c>
      <c r="I31" s="39"/>
      <c r="J31" s="39"/>
      <c r="K31" s="39"/>
      <c r="L31" s="39"/>
      <c r="M31" s="39"/>
      <c r="N31" s="39"/>
      <c r="O31" s="25">
        <f t="shared" si="17"/>
        <v>0</v>
      </c>
      <c r="P31" s="25">
        <f t="shared" si="18"/>
        <v>0</v>
      </c>
      <c r="Q31" s="25">
        <f t="shared" si="19"/>
        <v>0</v>
      </c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</row>
    <row r="32" spans="1:32" s="14" customFormat="1" ht="37.5" customHeight="1" x14ac:dyDescent="0.25">
      <c r="A32" s="21" t="s">
        <v>40</v>
      </c>
      <c r="B32" s="13" t="s">
        <v>41</v>
      </c>
      <c r="C32" s="25">
        <f t="shared" si="24"/>
        <v>67449737.349999994</v>
      </c>
      <c r="D32" s="25">
        <f t="shared" si="25"/>
        <v>19985227.219999999</v>
      </c>
      <c r="E32" s="25">
        <f t="shared" si="26"/>
        <v>24914151.84</v>
      </c>
      <c r="F32" s="25">
        <f>81884+600</f>
        <v>82484</v>
      </c>
      <c r="G32" s="25">
        <f t="shared" ref="G32:H32" si="38">81884+600</f>
        <v>82484</v>
      </c>
      <c r="H32" s="25">
        <f t="shared" si="38"/>
        <v>82484</v>
      </c>
      <c r="I32" s="25"/>
      <c r="J32" s="25"/>
      <c r="K32" s="25"/>
      <c r="L32" s="25">
        <v>64734432.259999998</v>
      </c>
      <c r="M32" s="25">
        <v>19531963.18</v>
      </c>
      <c r="N32" s="25">
        <v>24638842.34</v>
      </c>
      <c r="O32" s="25">
        <f t="shared" si="17"/>
        <v>2715305.09</v>
      </c>
      <c r="P32" s="25">
        <f t="shared" si="18"/>
        <v>453264.04000000004</v>
      </c>
      <c r="Q32" s="25">
        <f t="shared" si="19"/>
        <v>275309.5</v>
      </c>
      <c r="R32" s="19">
        <f>74842</f>
        <v>74842</v>
      </c>
      <c r="S32" s="19">
        <f>38600</f>
        <v>38600</v>
      </c>
      <c r="T32" s="19">
        <f>8046</f>
        <v>8046</v>
      </c>
      <c r="U32" s="19">
        <v>2353679</v>
      </c>
      <c r="V32" s="19">
        <v>149899</v>
      </c>
      <c r="W32" s="19">
        <v>149954</v>
      </c>
      <c r="X32" s="19">
        <v>203984.09</v>
      </c>
      <c r="Y32" s="19">
        <v>167953.04</v>
      </c>
      <c r="Z32" s="19">
        <v>58497.5</v>
      </c>
      <c r="AA32" s="19">
        <v>68500</v>
      </c>
      <c r="AB32" s="19">
        <v>93212</v>
      </c>
      <c r="AC32" s="19">
        <v>58512</v>
      </c>
      <c r="AD32" s="19">
        <v>14300</v>
      </c>
      <c r="AE32" s="19">
        <v>3600</v>
      </c>
      <c r="AF32" s="19">
        <v>300</v>
      </c>
    </row>
    <row r="33" spans="1:32" s="48" customFormat="1" ht="20.25" customHeight="1" x14ac:dyDescent="0.25">
      <c r="A33" s="37"/>
      <c r="B33" s="38"/>
      <c r="C33" s="39"/>
      <c r="D33" s="39"/>
      <c r="E33" s="39"/>
      <c r="F33" s="39">
        <f>F32</f>
        <v>82484</v>
      </c>
      <c r="G33" s="39">
        <f t="shared" ref="G33:H33" si="39">G32</f>
        <v>82484</v>
      </c>
      <c r="H33" s="39">
        <f t="shared" si="39"/>
        <v>82484</v>
      </c>
      <c r="I33" s="39"/>
      <c r="J33" s="39"/>
      <c r="K33" s="39"/>
      <c r="L33" s="39"/>
      <c r="M33" s="39"/>
      <c r="N33" s="39"/>
      <c r="O33" s="25">
        <f t="shared" si="17"/>
        <v>0</v>
      </c>
      <c r="P33" s="25">
        <f t="shared" si="18"/>
        <v>0</v>
      </c>
      <c r="Q33" s="25">
        <f t="shared" si="19"/>
        <v>0</v>
      </c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</row>
    <row r="34" spans="1:32" s="11" customFormat="1" ht="31.5" x14ac:dyDescent="0.25">
      <c r="A34" s="21" t="s">
        <v>42</v>
      </c>
      <c r="B34" s="13" t="s">
        <v>43</v>
      </c>
      <c r="C34" s="25">
        <f t="shared" si="24"/>
        <v>0</v>
      </c>
      <c r="D34" s="25">
        <f t="shared" si="25"/>
        <v>0</v>
      </c>
      <c r="E34" s="25">
        <f t="shared" si="26"/>
        <v>0</v>
      </c>
      <c r="F34" s="25"/>
      <c r="G34" s="25"/>
      <c r="H34" s="25"/>
      <c r="I34" s="25"/>
      <c r="J34" s="25"/>
      <c r="K34" s="25"/>
      <c r="L34" s="25"/>
      <c r="M34" s="25"/>
      <c r="N34" s="25"/>
      <c r="O34" s="25">
        <f t="shared" si="17"/>
        <v>0</v>
      </c>
      <c r="P34" s="25">
        <f t="shared" si="18"/>
        <v>0</v>
      </c>
      <c r="Q34" s="25">
        <f t="shared" si="19"/>
        <v>0</v>
      </c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</row>
    <row r="35" spans="1:32" ht="23.25" customHeight="1" x14ac:dyDescent="0.25">
      <c r="A35" s="21" t="s">
        <v>44</v>
      </c>
      <c r="B35" s="13" t="s">
        <v>45</v>
      </c>
      <c r="C35" s="25">
        <f t="shared" si="24"/>
        <v>0</v>
      </c>
      <c r="D35" s="25">
        <f t="shared" si="25"/>
        <v>0</v>
      </c>
      <c r="E35" s="25">
        <f t="shared" si="26"/>
        <v>0</v>
      </c>
      <c r="F35" s="25"/>
      <c r="G35" s="25"/>
      <c r="H35" s="25"/>
      <c r="I35" s="25"/>
      <c r="J35" s="25"/>
      <c r="K35" s="25"/>
      <c r="L35" s="25"/>
      <c r="M35" s="25"/>
      <c r="N35" s="25"/>
      <c r="O35" s="25">
        <f t="shared" si="17"/>
        <v>0</v>
      </c>
      <c r="P35" s="25">
        <f t="shared" si="18"/>
        <v>0</v>
      </c>
      <c r="Q35" s="25">
        <f t="shared" si="19"/>
        <v>0</v>
      </c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</row>
    <row r="36" spans="1:32" ht="20.25" customHeight="1" x14ac:dyDescent="0.25">
      <c r="A36" s="21" t="s">
        <v>46</v>
      </c>
      <c r="B36" s="13" t="s">
        <v>47</v>
      </c>
      <c r="C36" s="25">
        <f t="shared" si="24"/>
        <v>5603500</v>
      </c>
      <c r="D36" s="25">
        <f t="shared" si="25"/>
        <v>5603500</v>
      </c>
      <c r="E36" s="25">
        <f t="shared" si="26"/>
        <v>5603500</v>
      </c>
      <c r="F36" s="25"/>
      <c r="G36" s="25"/>
      <c r="H36" s="25"/>
      <c r="I36" s="25">
        <v>5600000</v>
      </c>
      <c r="J36" s="25">
        <v>5600000</v>
      </c>
      <c r="K36" s="25">
        <v>5600000</v>
      </c>
      <c r="L36" s="25">
        <v>5600000</v>
      </c>
      <c r="M36" s="25">
        <v>5600000</v>
      </c>
      <c r="N36" s="25">
        <v>5600000</v>
      </c>
      <c r="O36" s="25">
        <f t="shared" si="17"/>
        <v>3500</v>
      </c>
      <c r="P36" s="25">
        <f t="shared" si="18"/>
        <v>3500</v>
      </c>
      <c r="Q36" s="25">
        <f t="shared" si="19"/>
        <v>3500</v>
      </c>
      <c r="R36" s="19"/>
      <c r="S36" s="19"/>
      <c r="T36" s="19"/>
      <c r="U36" s="19"/>
      <c r="V36" s="19"/>
      <c r="W36" s="19"/>
      <c r="X36" s="19"/>
      <c r="Y36" s="19"/>
      <c r="Z36" s="19"/>
      <c r="AA36" s="19">
        <v>3500</v>
      </c>
      <c r="AB36" s="19">
        <v>3500</v>
      </c>
      <c r="AC36" s="19">
        <v>3500</v>
      </c>
      <c r="AD36" s="19"/>
      <c r="AE36" s="19"/>
      <c r="AF36" s="19"/>
    </row>
    <row r="37" spans="1:32" s="43" customFormat="1" ht="20.25" customHeight="1" x14ac:dyDescent="0.25">
      <c r="A37" s="37"/>
      <c r="B37" s="38"/>
      <c r="C37" s="39"/>
      <c r="D37" s="39"/>
      <c r="E37" s="39"/>
      <c r="F37" s="39"/>
      <c r="G37" s="39"/>
      <c r="H37" s="39"/>
      <c r="I37" s="39">
        <v>5600000</v>
      </c>
      <c r="J37" s="39">
        <v>5600000</v>
      </c>
      <c r="K37" s="39">
        <v>5600000</v>
      </c>
      <c r="L37" s="39">
        <v>5600000</v>
      </c>
      <c r="M37" s="39">
        <v>5600000</v>
      </c>
      <c r="N37" s="39">
        <v>5600000</v>
      </c>
      <c r="O37" s="25">
        <f t="shared" si="17"/>
        <v>0</v>
      </c>
      <c r="P37" s="25">
        <f t="shared" si="18"/>
        <v>0</v>
      </c>
      <c r="Q37" s="25">
        <f t="shared" si="19"/>
        <v>0</v>
      </c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</row>
    <row r="38" spans="1:32" ht="18.75" customHeight="1" x14ac:dyDescent="0.25">
      <c r="A38" s="21" t="s">
        <v>48</v>
      </c>
      <c r="B38" s="13" t="s">
        <v>49</v>
      </c>
      <c r="C38" s="25">
        <f t="shared" si="24"/>
        <v>0</v>
      </c>
      <c r="D38" s="25">
        <f t="shared" si="25"/>
        <v>0</v>
      </c>
      <c r="E38" s="25">
        <f t="shared" si="26"/>
        <v>0</v>
      </c>
      <c r="F38" s="25"/>
      <c r="G38" s="25"/>
      <c r="H38" s="25"/>
      <c r="I38" s="25"/>
      <c r="J38" s="25"/>
      <c r="K38" s="25"/>
      <c r="L38" s="25"/>
      <c r="M38" s="25"/>
      <c r="N38" s="25"/>
      <c r="O38" s="25">
        <f t="shared" si="17"/>
        <v>0</v>
      </c>
      <c r="P38" s="25">
        <f t="shared" si="18"/>
        <v>0</v>
      </c>
      <c r="Q38" s="25">
        <f t="shared" si="19"/>
        <v>0</v>
      </c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</row>
    <row r="39" spans="1:32" ht="18.75" customHeight="1" x14ac:dyDescent="0.25">
      <c r="A39" s="21" t="s">
        <v>50</v>
      </c>
      <c r="B39" s="13" t="s">
        <v>51</v>
      </c>
      <c r="C39" s="25">
        <f t="shared" si="24"/>
        <v>651348.91</v>
      </c>
      <c r="D39" s="25">
        <f t="shared" si="25"/>
        <v>657493.96</v>
      </c>
      <c r="E39" s="25">
        <f t="shared" si="26"/>
        <v>691083.5</v>
      </c>
      <c r="F39" s="25"/>
      <c r="G39" s="25"/>
      <c r="H39" s="25"/>
      <c r="I39" s="25"/>
      <c r="J39" s="25"/>
      <c r="K39" s="25"/>
      <c r="L39" s="25">
        <v>161300</v>
      </c>
      <c r="M39" s="25">
        <v>161300</v>
      </c>
      <c r="N39" s="25">
        <v>161300</v>
      </c>
      <c r="O39" s="25">
        <f t="shared" si="17"/>
        <v>490048.91000000003</v>
      </c>
      <c r="P39" s="25">
        <f t="shared" si="18"/>
        <v>496193.95999999996</v>
      </c>
      <c r="Q39" s="25">
        <f t="shared" si="19"/>
        <v>529783.5</v>
      </c>
      <c r="R39" s="19">
        <v>55000</v>
      </c>
      <c r="S39" s="19"/>
      <c r="T39" s="19"/>
      <c r="U39" s="19">
        <v>38448</v>
      </c>
      <c r="V39" s="19">
        <v>38448</v>
      </c>
      <c r="W39" s="19">
        <v>38448</v>
      </c>
      <c r="X39" s="19">
        <v>197200.91</v>
      </c>
      <c r="Y39" s="19">
        <v>251245.96</v>
      </c>
      <c r="Z39" s="19">
        <v>306035.5</v>
      </c>
      <c r="AA39" s="19">
        <v>90000</v>
      </c>
      <c r="AB39" s="19">
        <v>90000</v>
      </c>
      <c r="AC39" s="19">
        <v>90000</v>
      </c>
      <c r="AD39" s="19">
        <v>109400</v>
      </c>
      <c r="AE39" s="19">
        <v>116500</v>
      </c>
      <c r="AF39" s="19">
        <v>95300</v>
      </c>
    </row>
    <row r="40" spans="1:32" ht="21" customHeight="1" x14ac:dyDescent="0.25">
      <c r="A40" s="21" t="s">
        <v>52</v>
      </c>
      <c r="B40" s="13" t="s">
        <v>53</v>
      </c>
      <c r="C40" s="25">
        <f t="shared" si="24"/>
        <v>268000</v>
      </c>
      <c r="D40" s="25">
        <f t="shared" si="25"/>
        <v>268000</v>
      </c>
      <c r="E40" s="25">
        <f t="shared" si="26"/>
        <v>268000</v>
      </c>
      <c r="F40" s="25"/>
      <c r="G40" s="25"/>
      <c r="H40" s="25"/>
      <c r="I40" s="25">
        <v>268000</v>
      </c>
      <c r="J40" s="25">
        <v>268000</v>
      </c>
      <c r="K40" s="25">
        <v>268000</v>
      </c>
      <c r="L40" s="25">
        <v>250000</v>
      </c>
      <c r="M40" s="25">
        <v>250000</v>
      </c>
      <c r="N40" s="25">
        <v>250000</v>
      </c>
      <c r="O40" s="25">
        <f t="shared" si="17"/>
        <v>18000</v>
      </c>
      <c r="P40" s="25">
        <f t="shared" si="18"/>
        <v>18000</v>
      </c>
      <c r="Q40" s="25">
        <f t="shared" si="19"/>
        <v>18000</v>
      </c>
      <c r="R40" s="19">
        <v>4000</v>
      </c>
      <c r="S40" s="19">
        <v>4000</v>
      </c>
      <c r="T40" s="19">
        <v>4000</v>
      </c>
      <c r="U40" s="19">
        <v>4000</v>
      </c>
      <c r="V40" s="19">
        <v>4000</v>
      </c>
      <c r="W40" s="19">
        <v>4000</v>
      </c>
      <c r="X40" s="19">
        <v>4000</v>
      </c>
      <c r="Y40" s="19">
        <v>4000</v>
      </c>
      <c r="Z40" s="19">
        <v>4000</v>
      </c>
      <c r="AA40" s="19">
        <v>4000</v>
      </c>
      <c r="AB40" s="19">
        <v>4000</v>
      </c>
      <c r="AC40" s="19">
        <v>4000</v>
      </c>
      <c r="AD40" s="19">
        <v>2000</v>
      </c>
      <c r="AE40" s="19">
        <v>2000</v>
      </c>
      <c r="AF40" s="19">
        <v>2000</v>
      </c>
    </row>
    <row r="41" spans="1:32" s="43" customFormat="1" ht="16.5" customHeight="1" x14ac:dyDescent="0.25">
      <c r="A41" s="37"/>
      <c r="B41" s="38"/>
      <c r="C41" s="39"/>
      <c r="D41" s="39"/>
      <c r="E41" s="39"/>
      <c r="F41" s="39"/>
      <c r="G41" s="39"/>
      <c r="H41" s="39"/>
      <c r="I41" s="39">
        <f>L41+R41+U41+X41+AA41+AD41</f>
        <v>268000</v>
      </c>
      <c r="J41" s="39">
        <f t="shared" ref="J41" si="40">M41+S41+V41+Y41+AB41+AE41</f>
        <v>268000</v>
      </c>
      <c r="K41" s="39">
        <f t="shared" ref="K41" si="41">N41+T41+W41+Z41+AC41+AF41</f>
        <v>268000</v>
      </c>
      <c r="L41" s="39">
        <v>250000</v>
      </c>
      <c r="M41" s="39">
        <v>250000</v>
      </c>
      <c r="N41" s="39">
        <v>250000</v>
      </c>
      <c r="O41" s="25">
        <f t="shared" si="17"/>
        <v>18000</v>
      </c>
      <c r="P41" s="25">
        <f t="shared" si="18"/>
        <v>18000</v>
      </c>
      <c r="Q41" s="25">
        <f t="shared" si="19"/>
        <v>18000</v>
      </c>
      <c r="R41" s="40">
        <f t="shared" ref="R41" si="42">R40</f>
        <v>4000</v>
      </c>
      <c r="S41" s="40">
        <f t="shared" ref="S41" si="43">S40</f>
        <v>4000</v>
      </c>
      <c r="T41" s="40">
        <f t="shared" ref="T41" si="44">T40</f>
        <v>4000</v>
      </c>
      <c r="U41" s="40">
        <f t="shared" ref="U41:W41" si="45">U40</f>
        <v>4000</v>
      </c>
      <c r="V41" s="40">
        <f t="shared" si="45"/>
        <v>4000</v>
      </c>
      <c r="W41" s="40">
        <f t="shared" si="45"/>
        <v>4000</v>
      </c>
      <c r="X41" s="40">
        <f>X40</f>
        <v>4000</v>
      </c>
      <c r="Y41" s="40">
        <f t="shared" ref="Y41:Z41" si="46">Y40</f>
        <v>4000</v>
      </c>
      <c r="Z41" s="40">
        <f t="shared" si="46"/>
        <v>4000</v>
      </c>
      <c r="AA41" s="40">
        <f t="shared" ref="AA41" si="47">AA40</f>
        <v>4000</v>
      </c>
      <c r="AB41" s="40">
        <f t="shared" ref="AB41" si="48">AB40</f>
        <v>4000</v>
      </c>
      <c r="AC41" s="40">
        <f t="shared" ref="AC41" si="49">AC40</f>
        <v>4000</v>
      </c>
      <c r="AD41" s="40">
        <f t="shared" ref="AD41" si="50">AD40</f>
        <v>2000</v>
      </c>
      <c r="AE41" s="40">
        <f t="shared" ref="AE41" si="51">AE40</f>
        <v>2000</v>
      </c>
      <c r="AF41" s="40">
        <f t="shared" ref="AF41" si="52">AF40</f>
        <v>2000</v>
      </c>
    </row>
    <row r="42" spans="1:32" ht="22.5" customHeight="1" x14ac:dyDescent="0.25">
      <c r="A42" s="21" t="s">
        <v>54</v>
      </c>
      <c r="B42" s="13" t="s">
        <v>55</v>
      </c>
      <c r="C42" s="25">
        <f t="shared" si="24"/>
        <v>0</v>
      </c>
      <c r="D42" s="25">
        <f t="shared" si="25"/>
        <v>0</v>
      </c>
      <c r="E42" s="25">
        <f t="shared" si="26"/>
        <v>0</v>
      </c>
      <c r="F42" s="25"/>
      <c r="G42" s="25"/>
      <c r="H42" s="25"/>
      <c r="I42" s="25"/>
      <c r="J42" s="25"/>
      <c r="K42" s="25"/>
      <c r="L42" s="25"/>
      <c r="M42" s="25"/>
      <c r="N42" s="25"/>
      <c r="O42" s="25">
        <f t="shared" si="17"/>
        <v>0</v>
      </c>
      <c r="P42" s="25">
        <f t="shared" si="18"/>
        <v>0</v>
      </c>
      <c r="Q42" s="25">
        <f t="shared" si="19"/>
        <v>0</v>
      </c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</row>
    <row r="43" spans="1:32" ht="22.5" customHeight="1" x14ac:dyDescent="0.25">
      <c r="A43" s="21" t="s">
        <v>56</v>
      </c>
      <c r="B43" s="13" t="s">
        <v>57</v>
      </c>
      <c r="C43" s="25">
        <f t="shared" si="24"/>
        <v>0</v>
      </c>
      <c r="D43" s="25">
        <f t="shared" si="25"/>
        <v>0</v>
      </c>
      <c r="E43" s="25">
        <f t="shared" si="26"/>
        <v>0</v>
      </c>
      <c r="F43" s="25"/>
      <c r="G43" s="25"/>
      <c r="H43" s="25"/>
      <c r="I43" s="25"/>
      <c r="J43" s="25"/>
      <c r="K43" s="25"/>
      <c r="L43" s="25"/>
      <c r="M43" s="25"/>
      <c r="N43" s="25"/>
      <c r="O43" s="25">
        <f t="shared" si="17"/>
        <v>0</v>
      </c>
      <c r="P43" s="25">
        <f t="shared" si="18"/>
        <v>0</v>
      </c>
      <c r="Q43" s="25">
        <f t="shared" si="19"/>
        <v>0</v>
      </c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</row>
    <row r="44" spans="1:32" ht="22.5" customHeight="1" x14ac:dyDescent="0.25">
      <c r="A44" s="21" t="s">
        <v>58</v>
      </c>
      <c r="B44" s="13" t="s">
        <v>59</v>
      </c>
      <c r="C44" s="25">
        <f>L44+R44+U44+X44+AA44+AD44</f>
        <v>0</v>
      </c>
      <c r="D44" s="25">
        <f t="shared" si="25"/>
        <v>0</v>
      </c>
      <c r="E44" s="25">
        <f t="shared" si="26"/>
        <v>0</v>
      </c>
      <c r="F44" s="25">
        <v>2763000</v>
      </c>
      <c r="G44" s="25">
        <v>2763000</v>
      </c>
      <c r="H44" s="25">
        <v>2763000</v>
      </c>
      <c r="I44" s="25"/>
      <c r="J44" s="25"/>
      <c r="K44" s="25"/>
      <c r="L44" s="25"/>
      <c r="M44" s="25"/>
      <c r="N44" s="25"/>
      <c r="O44" s="25">
        <f t="shared" si="17"/>
        <v>0</v>
      </c>
      <c r="P44" s="25">
        <f t="shared" si="18"/>
        <v>0</v>
      </c>
      <c r="Q44" s="25">
        <f t="shared" si="19"/>
        <v>0</v>
      </c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</row>
    <row r="45" spans="1:32" ht="22.5" customHeight="1" x14ac:dyDescent="0.25">
      <c r="A45" s="21" t="s">
        <v>67</v>
      </c>
      <c r="B45" s="13" t="s">
        <v>68</v>
      </c>
      <c r="C45" s="25">
        <f t="shared" si="24"/>
        <v>0</v>
      </c>
      <c r="D45" s="25">
        <f t="shared" si="25"/>
        <v>0</v>
      </c>
      <c r="E45" s="25">
        <f t="shared" si="26"/>
        <v>0</v>
      </c>
      <c r="F45" s="25"/>
      <c r="G45" s="25"/>
      <c r="H45" s="25"/>
      <c r="I45" s="25"/>
      <c r="J45" s="25"/>
      <c r="K45" s="25"/>
      <c r="L45" s="25"/>
      <c r="M45" s="25"/>
      <c r="N45" s="25"/>
      <c r="O45" s="25">
        <f t="shared" si="17"/>
        <v>0</v>
      </c>
      <c r="P45" s="25">
        <f t="shared" si="18"/>
        <v>0</v>
      </c>
      <c r="Q45" s="25">
        <f t="shared" si="19"/>
        <v>0</v>
      </c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</row>
    <row r="46" spans="1:32" ht="20.25" customHeight="1" x14ac:dyDescent="0.25">
      <c r="A46" s="75" t="s">
        <v>60</v>
      </c>
      <c r="B46" s="75"/>
      <c r="C46" s="18">
        <f t="shared" ref="C46:H46" si="53">SUM(C25:C45)</f>
        <v>112207913.25999999</v>
      </c>
      <c r="D46" s="18">
        <f t="shared" si="53"/>
        <v>59957920.18</v>
      </c>
      <c r="E46" s="18">
        <f t="shared" si="53"/>
        <v>68597272.340000004</v>
      </c>
      <c r="F46" s="18">
        <f t="shared" si="53"/>
        <v>19585942</v>
      </c>
      <c r="G46" s="18">
        <f t="shared" si="53"/>
        <v>20368296</v>
      </c>
      <c r="H46" s="18">
        <f t="shared" si="53"/>
        <v>21390116</v>
      </c>
      <c r="I46" s="18">
        <f t="shared" ref="I46:N46" si="54">I25+I27+I29+I30+I32+I34+I35+I36+I38+I39+I40+I42+I43+I44+I45</f>
        <v>6497492</v>
      </c>
      <c r="J46" s="18">
        <f t="shared" si="54"/>
        <v>6502879</v>
      </c>
      <c r="K46" s="18">
        <f t="shared" si="54"/>
        <v>6526524</v>
      </c>
      <c r="L46" s="18">
        <f t="shared" si="54"/>
        <v>92999834.25999999</v>
      </c>
      <c r="M46" s="18">
        <f t="shared" si="54"/>
        <v>43298451.18</v>
      </c>
      <c r="N46" s="18">
        <f t="shared" si="54"/>
        <v>51397538.340000004</v>
      </c>
      <c r="O46" s="25">
        <f t="shared" si="17"/>
        <v>19208079</v>
      </c>
      <c r="P46" s="25">
        <f t="shared" si="18"/>
        <v>16659469</v>
      </c>
      <c r="Q46" s="25">
        <f t="shared" si="19"/>
        <v>17199734</v>
      </c>
      <c r="R46" s="18">
        <f t="shared" ref="R46:AF46" si="55">R25+R27+R29+R30+R32+R34+R35+R36+R38+R39+R40+R42+R43+R44+R45</f>
        <v>2506727</v>
      </c>
      <c r="S46" s="18">
        <f t="shared" si="55"/>
        <v>2571192</v>
      </c>
      <c r="T46" s="18">
        <f t="shared" si="55"/>
        <v>2661646</v>
      </c>
      <c r="U46" s="18">
        <f t="shared" si="55"/>
        <v>6516694</v>
      </c>
      <c r="V46" s="18">
        <f t="shared" si="55"/>
        <v>3626292</v>
      </c>
      <c r="W46" s="18">
        <f t="shared" si="55"/>
        <v>3751898</v>
      </c>
      <c r="X46" s="18">
        <f t="shared" si="55"/>
        <v>4038938</v>
      </c>
      <c r="Y46" s="18">
        <f t="shared" si="55"/>
        <v>4137187</v>
      </c>
      <c r="Z46" s="18">
        <f t="shared" si="55"/>
        <v>4246890</v>
      </c>
      <c r="AA46" s="18">
        <f t="shared" si="55"/>
        <v>3026041</v>
      </c>
      <c r="AB46" s="18">
        <f t="shared" si="55"/>
        <v>3100017</v>
      </c>
      <c r="AC46" s="18">
        <f t="shared" si="55"/>
        <v>3189581</v>
      </c>
      <c r="AD46" s="18">
        <f t="shared" si="55"/>
        <v>3119679</v>
      </c>
      <c r="AE46" s="18">
        <f t="shared" si="55"/>
        <v>3224781</v>
      </c>
      <c r="AF46" s="18">
        <f t="shared" si="55"/>
        <v>3349719</v>
      </c>
    </row>
    <row r="47" spans="1:32" s="43" customFormat="1" ht="20.25" customHeight="1" x14ac:dyDescent="0.25">
      <c r="A47" s="44"/>
      <c r="B47" s="44" t="s">
        <v>74</v>
      </c>
      <c r="C47" s="45">
        <f t="shared" ref="C47:E47" si="56">C26+C28+C37+C41</f>
        <v>0</v>
      </c>
      <c r="D47" s="45">
        <f t="shared" si="56"/>
        <v>0</v>
      </c>
      <c r="E47" s="45">
        <f t="shared" si="56"/>
        <v>0</v>
      </c>
      <c r="F47" s="45">
        <f t="shared" ref="F47:K47" si="57">F26+F28+F37+F41</f>
        <v>1011187</v>
      </c>
      <c r="G47" s="45">
        <f t="shared" si="57"/>
        <v>1020164</v>
      </c>
      <c r="H47" s="45">
        <f t="shared" si="57"/>
        <v>1059574</v>
      </c>
      <c r="I47" s="45">
        <f t="shared" si="57"/>
        <v>6497492</v>
      </c>
      <c r="J47" s="45">
        <f t="shared" si="57"/>
        <v>6502879</v>
      </c>
      <c r="K47" s="45">
        <f t="shared" si="57"/>
        <v>6526524</v>
      </c>
      <c r="L47" s="45">
        <f t="shared" ref="L47:T47" si="58">L26+L28+L37+L41</f>
        <v>6462492</v>
      </c>
      <c r="M47" s="45">
        <f t="shared" si="58"/>
        <v>6467879</v>
      </c>
      <c r="N47" s="45">
        <f t="shared" si="58"/>
        <v>6491524</v>
      </c>
      <c r="O47" s="25">
        <f t="shared" si="17"/>
        <v>439395</v>
      </c>
      <c r="P47" s="25">
        <f t="shared" si="18"/>
        <v>442985</v>
      </c>
      <c r="Q47" s="25">
        <f t="shared" si="19"/>
        <v>458750</v>
      </c>
      <c r="R47" s="45">
        <f t="shared" si="58"/>
        <v>88679</v>
      </c>
      <c r="S47" s="45">
        <f t="shared" si="58"/>
        <v>89397</v>
      </c>
      <c r="T47" s="45">
        <f t="shared" si="58"/>
        <v>92550</v>
      </c>
      <c r="U47" s="45">
        <f>U26+U28+U37+U41</f>
        <v>88679</v>
      </c>
      <c r="V47" s="45">
        <f t="shared" ref="V47:AF47" si="59">V26+V28+V37+V41</f>
        <v>89397</v>
      </c>
      <c r="W47" s="45">
        <f t="shared" si="59"/>
        <v>92550</v>
      </c>
      <c r="X47" s="45">
        <f t="shared" si="59"/>
        <v>88679</v>
      </c>
      <c r="Y47" s="45">
        <f t="shared" si="59"/>
        <v>89397</v>
      </c>
      <c r="Z47" s="45">
        <f t="shared" si="59"/>
        <v>92550</v>
      </c>
      <c r="AA47" s="45">
        <f t="shared" si="59"/>
        <v>87679</v>
      </c>
      <c r="AB47" s="45">
        <f t="shared" si="59"/>
        <v>88397</v>
      </c>
      <c r="AC47" s="45">
        <f t="shared" si="59"/>
        <v>91550</v>
      </c>
      <c r="AD47" s="45">
        <f t="shared" si="59"/>
        <v>85679</v>
      </c>
      <c r="AE47" s="45">
        <f t="shared" si="59"/>
        <v>86397</v>
      </c>
      <c r="AF47" s="45">
        <f t="shared" si="59"/>
        <v>89550</v>
      </c>
    </row>
    <row r="48" spans="1:32" ht="25.5" customHeight="1" x14ac:dyDescent="0.25">
      <c r="A48" s="77" t="s">
        <v>61</v>
      </c>
      <c r="B48" s="77"/>
      <c r="C48" s="15">
        <f t="shared" ref="C48:N48" si="60">C23-C46</f>
        <v>0</v>
      </c>
      <c r="D48" s="15">
        <f t="shared" si="60"/>
        <v>0</v>
      </c>
      <c r="E48" s="15">
        <f t="shared" si="60"/>
        <v>0</v>
      </c>
      <c r="F48" s="15">
        <f t="shared" si="60"/>
        <v>-19585942</v>
      </c>
      <c r="G48" s="15">
        <f t="shared" si="60"/>
        <v>-20368296</v>
      </c>
      <c r="H48" s="15">
        <f t="shared" si="60"/>
        <v>-21390116</v>
      </c>
      <c r="I48" s="15">
        <f t="shared" si="60"/>
        <v>-5890700</v>
      </c>
      <c r="J48" s="15">
        <f t="shared" si="60"/>
        <v>-5890700</v>
      </c>
      <c r="K48" s="15">
        <f t="shared" si="60"/>
        <v>-5890700</v>
      </c>
      <c r="L48" s="15">
        <f t="shared" si="60"/>
        <v>0</v>
      </c>
      <c r="M48" s="15">
        <f t="shared" si="60"/>
        <v>0</v>
      </c>
      <c r="N48" s="15">
        <f t="shared" si="60"/>
        <v>0</v>
      </c>
      <c r="O48" s="15"/>
      <c r="P48" s="15"/>
      <c r="Q48" s="15"/>
      <c r="R48" s="15">
        <f t="shared" ref="R48:AF48" si="61">R23-R46</f>
        <v>0</v>
      </c>
      <c r="S48" s="15">
        <f t="shared" si="61"/>
        <v>0</v>
      </c>
      <c r="T48" s="15">
        <f t="shared" si="61"/>
        <v>0</v>
      </c>
      <c r="U48" s="15">
        <f t="shared" si="61"/>
        <v>0</v>
      </c>
      <c r="V48" s="15">
        <f t="shared" si="61"/>
        <v>0</v>
      </c>
      <c r="W48" s="15">
        <f t="shared" si="61"/>
        <v>0</v>
      </c>
      <c r="X48" s="15">
        <f t="shared" si="61"/>
        <v>0</v>
      </c>
      <c r="Y48" s="15">
        <f t="shared" si="61"/>
        <v>0</v>
      </c>
      <c r="Z48" s="15">
        <f t="shared" si="61"/>
        <v>0</v>
      </c>
      <c r="AA48" s="15">
        <f t="shared" si="61"/>
        <v>0</v>
      </c>
      <c r="AB48" s="15">
        <f t="shared" si="61"/>
        <v>0</v>
      </c>
      <c r="AC48" s="15">
        <f t="shared" si="61"/>
        <v>0</v>
      </c>
      <c r="AD48" s="15">
        <f t="shared" si="61"/>
        <v>0</v>
      </c>
      <c r="AE48" s="15">
        <f t="shared" si="61"/>
        <v>0</v>
      </c>
      <c r="AF48" s="15">
        <f t="shared" si="61"/>
        <v>0</v>
      </c>
    </row>
    <row r="49" spans="2:32" x14ac:dyDescent="0.25">
      <c r="B49" s="1" t="s">
        <v>89</v>
      </c>
      <c r="M49" s="16">
        <v>708500</v>
      </c>
      <c r="N49" s="16">
        <v>1470000</v>
      </c>
      <c r="S49" s="16">
        <v>37300</v>
      </c>
      <c r="T49" s="16">
        <v>75700</v>
      </c>
      <c r="V49" s="16">
        <v>38400</v>
      </c>
      <c r="W49" s="16">
        <v>76945</v>
      </c>
      <c r="Y49" s="16">
        <v>60700</v>
      </c>
      <c r="Z49" s="16">
        <v>121000</v>
      </c>
      <c r="AB49" s="16">
        <v>44300</v>
      </c>
      <c r="AC49" s="16">
        <v>89100</v>
      </c>
      <c r="AE49" s="16">
        <v>32300</v>
      </c>
      <c r="AF49" s="16">
        <v>64000</v>
      </c>
    </row>
    <row r="50" spans="2:32" ht="15.75" hidden="1" customHeight="1" x14ac:dyDescent="0.25">
      <c r="C50" s="20">
        <f>C46-C51</f>
        <v>-131006223.41</v>
      </c>
      <c r="D50" s="20">
        <f t="shared" ref="D50:E50" si="62">D46-D51</f>
        <v>-174762757.35999998</v>
      </c>
      <c r="E50" s="20">
        <f t="shared" si="62"/>
        <v>-166560130.90000001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>
        <f>R46-R51</f>
        <v>-240707409.66999999</v>
      </c>
      <c r="S50" s="20">
        <f t="shared" ref="S50:T50" si="63">S46-S51</f>
        <v>-232149485.53999999</v>
      </c>
      <c r="T50" s="20">
        <f t="shared" si="63"/>
        <v>-232495757.24000001</v>
      </c>
      <c r="U50" s="20">
        <f>U46-U51</f>
        <v>-236697442.66999999</v>
      </c>
      <c r="V50" s="20">
        <f t="shared" ref="V50:W50" si="64">V46-V51</f>
        <v>-231094385.53999999</v>
      </c>
      <c r="W50" s="20">
        <f t="shared" si="64"/>
        <v>-231405505.24000001</v>
      </c>
      <c r="X50" s="20">
        <f>X46-X51</f>
        <v>-239175198.66999999</v>
      </c>
      <c r="Y50" s="20">
        <f t="shared" ref="Y50:Z50" si="65">Y46-Y51</f>
        <v>-230583490.53999999</v>
      </c>
      <c r="Z50" s="20">
        <f t="shared" si="65"/>
        <v>-230910513.24000001</v>
      </c>
      <c r="AA50" s="20">
        <f>AA46-AA51</f>
        <v>-240188095.66999999</v>
      </c>
      <c r="AB50" s="20">
        <f t="shared" ref="AB50:AC50" si="66">AB46-AB51</f>
        <v>-231620660.53999999</v>
      </c>
      <c r="AC50" s="20">
        <f t="shared" si="66"/>
        <v>-231967822.24000001</v>
      </c>
      <c r="AD50" s="20">
        <f>AD46-AD51</f>
        <v>-240094457.66999999</v>
      </c>
      <c r="AE50" s="20">
        <f t="shared" ref="AE50:AF50" si="67">AE46-AE51</f>
        <v>-231495896.53999999</v>
      </c>
      <c r="AF50" s="20">
        <f t="shared" si="67"/>
        <v>-231807684.24000001</v>
      </c>
    </row>
    <row r="51" spans="2:32" ht="15.75" hidden="1" customHeight="1" x14ac:dyDescent="0.25">
      <c r="C51" s="1">
        <v>243214136.66999999</v>
      </c>
      <c r="D51" s="1">
        <v>234720677.53999999</v>
      </c>
      <c r="E51" s="1">
        <v>235157403.24000001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>
        <v>243214136.66999999</v>
      </c>
      <c r="S51" s="1">
        <v>234720677.53999999</v>
      </c>
      <c r="T51" s="1">
        <v>235157403.24000001</v>
      </c>
      <c r="U51" s="1">
        <v>243214136.66999999</v>
      </c>
      <c r="V51" s="1">
        <v>234720677.53999999</v>
      </c>
      <c r="W51" s="1">
        <v>235157403.24000001</v>
      </c>
      <c r="X51" s="1">
        <v>243214136.66999999</v>
      </c>
      <c r="Y51" s="1">
        <v>234720677.53999999</v>
      </c>
      <c r="Z51" s="1">
        <v>235157403.24000001</v>
      </c>
      <c r="AA51" s="1">
        <v>243214136.66999999</v>
      </c>
      <c r="AB51" s="1">
        <v>234720677.53999999</v>
      </c>
      <c r="AC51" s="1">
        <v>235157403.24000001</v>
      </c>
      <c r="AD51" s="1">
        <v>243214136.66999999</v>
      </c>
      <c r="AE51" s="1">
        <v>234720677.53999999</v>
      </c>
      <c r="AF51" s="1">
        <v>235157403.24000001</v>
      </c>
    </row>
    <row r="52" spans="2:32" ht="15.75" hidden="1" customHeight="1" x14ac:dyDescent="0.2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ht="15.75" hidden="1" customHeight="1" x14ac:dyDescent="0.2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ht="15.75" hidden="1" customHeight="1" x14ac:dyDescent="0.2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ht="15.75" hidden="1" customHeight="1" x14ac:dyDescent="0.25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ht="15.75" hidden="1" customHeight="1" x14ac:dyDescent="0.2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ht="15.75" hidden="1" customHeight="1" x14ac:dyDescent="0.25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ht="15.75" hidden="1" customHeight="1" x14ac:dyDescent="0.2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ht="15.75" hidden="1" customHeight="1" x14ac:dyDescent="0.2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ht="15.75" hidden="1" customHeight="1" x14ac:dyDescent="0.2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ht="15.75" hidden="1" customHeight="1" x14ac:dyDescent="0.25"/>
    <row r="62" spans="2:32" ht="15.75" hidden="1" customHeight="1" x14ac:dyDescent="0.25"/>
    <row r="63" spans="2:32" ht="15.75" hidden="1" customHeight="1" x14ac:dyDescent="0.25"/>
    <row r="64" spans="2:32" ht="15.75" hidden="1" customHeight="1" x14ac:dyDescent="0.25"/>
    <row r="65" spans="2:32" ht="15.75" hidden="1" customHeight="1" x14ac:dyDescent="0.25"/>
    <row r="66" spans="2:32" ht="15.75" hidden="1" customHeight="1" x14ac:dyDescent="0.25"/>
    <row r="67" spans="2:32" x14ac:dyDescent="0.25">
      <c r="F67" s="32">
        <f>R8+U8+X8+AA8+AD8</f>
        <v>8640400</v>
      </c>
      <c r="S67" s="32">
        <f>S46-81597-996795</f>
        <v>1492800</v>
      </c>
      <c r="T67" s="32">
        <f>T46-84750-1057796</f>
        <v>1519100</v>
      </c>
      <c r="V67" s="32">
        <f>V46-81597-1199286</f>
        <v>2345409</v>
      </c>
      <c r="W67" s="32">
        <f>W46-84750-1268490</f>
        <v>2398658</v>
      </c>
      <c r="Y67" s="32">
        <f>Y46-81597-968573</f>
        <v>3087017</v>
      </c>
      <c r="Z67" s="32">
        <f>Z46-84750-1027452</f>
        <v>3134688</v>
      </c>
      <c r="AB67" s="32">
        <f>AB46-81597-725374</f>
        <v>2293046</v>
      </c>
      <c r="AC67" s="32">
        <f>AC46-84750-769881</f>
        <v>2334950</v>
      </c>
      <c r="AE67" s="32">
        <f>AE46-81597-AE69</f>
        <v>1190003</v>
      </c>
      <c r="AF67" s="32">
        <f>AF46-81597-AF69</f>
        <v>1197203</v>
      </c>
    </row>
    <row r="68" spans="2:32" x14ac:dyDescent="0.25">
      <c r="M68" s="47">
        <f>M49/(M46-M69)*100</f>
        <v>2.5001499737104909</v>
      </c>
      <c r="N68" s="47">
        <f>N49/(N46-N69)*100</f>
        <v>5.0389231101467455</v>
      </c>
      <c r="O68" s="47"/>
      <c r="P68" s="47"/>
      <c r="Q68" s="47"/>
      <c r="S68" s="47">
        <f>S49/(S46-S69)*100</f>
        <v>2.4986602357984995</v>
      </c>
      <c r="T68" s="47">
        <f>T49/(T46-T69)*100</f>
        <v>4.9832137449805813</v>
      </c>
      <c r="V68" s="47">
        <f>V49/(V46-V69)*100</f>
        <v>2.5014657025600937</v>
      </c>
      <c r="W68" s="47">
        <f>W49/(W46-W69)*100</f>
        <v>5</v>
      </c>
      <c r="Y68" s="47">
        <f>Y49/(Y46-Y69)*100</f>
        <v>2.5316983650316982</v>
      </c>
      <c r="Z68" s="47">
        <f>Z49/(Z46-Z69)*100</f>
        <v>5.0349533954727033</v>
      </c>
      <c r="AB68" s="47">
        <f>AB49/(AB46-AB69)*100</f>
        <v>2.5001410914837181</v>
      </c>
      <c r="AC68" s="47">
        <f>AC49/(AC46-AC69)*100</f>
        <v>5</v>
      </c>
      <c r="AE68" s="47">
        <f>AE49/(AE46-AE69)*100</f>
        <v>2.5401069518716577</v>
      </c>
      <c r="AF68" s="47">
        <f>AF49/(AF46-AF69)*100</f>
        <v>5.0046918986549898</v>
      </c>
    </row>
    <row r="69" spans="2:32" x14ac:dyDescent="0.25">
      <c r="B69" s="1" t="s">
        <v>84</v>
      </c>
      <c r="M69" s="16">
        <v>14960151.18</v>
      </c>
      <c r="N69" s="16">
        <v>22224638.34</v>
      </c>
      <c r="S69" s="46">
        <f>SUM(S70:S73)</f>
        <v>1078392</v>
      </c>
      <c r="T69" s="46">
        <f>SUM(T70:T73)</f>
        <v>1142546</v>
      </c>
      <c r="V69" s="46">
        <f>SUM(V70:V73)</f>
        <v>2091192</v>
      </c>
      <c r="W69" s="46">
        <f>SUM(W70:W73)</f>
        <v>2212998</v>
      </c>
      <c r="Y69" s="46">
        <f>SUM(Y70:Y73)</f>
        <v>1739587</v>
      </c>
      <c r="Z69" s="46">
        <f>SUM(Z70:Z73)</f>
        <v>1843690</v>
      </c>
      <c r="AB69" s="46">
        <f>SUM(AB70:AB73)</f>
        <v>1328117</v>
      </c>
      <c r="AC69" s="46">
        <f>SUM(AC70:AC73)</f>
        <v>1407581</v>
      </c>
      <c r="AE69" s="46">
        <f>SUM(AE70:AE73)</f>
        <v>1953181</v>
      </c>
      <c r="AF69" s="46">
        <f>SUM(AF70:AF73)</f>
        <v>2070919</v>
      </c>
    </row>
    <row r="70" spans="2:32" x14ac:dyDescent="0.25">
      <c r="B70" s="1" t="s">
        <v>85</v>
      </c>
      <c r="S70" s="16">
        <v>81597</v>
      </c>
      <c r="T70" s="16">
        <v>84750</v>
      </c>
      <c r="V70" s="16">
        <v>81597</v>
      </c>
      <c r="W70" s="16">
        <v>84750</v>
      </c>
      <c r="Y70" s="16">
        <v>81597</v>
      </c>
      <c r="Z70" s="16">
        <v>84750</v>
      </c>
      <c r="AB70" s="16">
        <v>81597</v>
      </c>
      <c r="AC70" s="16">
        <v>84750</v>
      </c>
      <c r="AE70" s="16">
        <v>81597</v>
      </c>
      <c r="AF70" s="16">
        <v>84750</v>
      </c>
    </row>
    <row r="71" spans="2:32" x14ac:dyDescent="0.25">
      <c r="B71" s="1" t="s">
        <v>86</v>
      </c>
      <c r="S71" s="16">
        <v>996195</v>
      </c>
      <c r="T71" s="16">
        <v>1057196</v>
      </c>
      <c r="V71" s="16">
        <v>1937696</v>
      </c>
      <c r="W71" s="16">
        <v>2056349</v>
      </c>
      <c r="Y71" s="16">
        <v>1648605</v>
      </c>
      <c r="Z71" s="16">
        <v>1749555</v>
      </c>
      <c r="AB71" s="16">
        <v>1246220</v>
      </c>
      <c r="AC71" s="16">
        <v>1322531</v>
      </c>
      <c r="AE71" s="16">
        <v>1871284</v>
      </c>
      <c r="AF71" s="16">
        <v>1985869</v>
      </c>
    </row>
    <row r="72" spans="2:32" x14ac:dyDescent="0.25">
      <c r="B72" s="1" t="s">
        <v>87</v>
      </c>
      <c r="S72" s="16">
        <v>300</v>
      </c>
      <c r="T72" s="16">
        <v>300</v>
      </c>
      <c r="V72" s="16">
        <v>71899</v>
      </c>
      <c r="W72" s="16">
        <v>71899</v>
      </c>
      <c r="Y72" s="16">
        <v>9085</v>
      </c>
      <c r="Z72" s="16">
        <v>9085</v>
      </c>
      <c r="AB72" s="16">
        <v>300</v>
      </c>
      <c r="AC72" s="16">
        <v>300</v>
      </c>
      <c r="AE72" s="16">
        <v>300</v>
      </c>
      <c r="AF72" s="16">
        <v>300</v>
      </c>
    </row>
    <row r="73" spans="2:32" x14ac:dyDescent="0.25">
      <c r="B73" s="1" t="s">
        <v>88</v>
      </c>
      <c r="S73" s="16">
        <v>300</v>
      </c>
      <c r="T73" s="16">
        <v>300</v>
      </c>
      <c r="Y73" s="16">
        <v>300</v>
      </c>
      <c r="Z73" s="16">
        <v>300</v>
      </c>
    </row>
  </sheetData>
  <mergeCells count="16">
    <mergeCell ref="A48:B48"/>
    <mergeCell ref="U5:W5"/>
    <mergeCell ref="X5:Z5"/>
    <mergeCell ref="A1:T3"/>
    <mergeCell ref="A5:A6"/>
    <mergeCell ref="B5:B6"/>
    <mergeCell ref="C5:E5"/>
    <mergeCell ref="I5:K5"/>
    <mergeCell ref="R5:T5"/>
    <mergeCell ref="F5:H5"/>
    <mergeCell ref="L5:N5"/>
    <mergeCell ref="AA5:AC5"/>
    <mergeCell ref="AD5:AF5"/>
    <mergeCell ref="A23:B23"/>
    <mergeCell ref="A24:T24"/>
    <mergeCell ref="A46:B46"/>
  </mergeCells>
  <pageMargins left="0" right="0" top="0.15748031496062992" bottom="0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H10" sqref="H10:J10"/>
    </sheetView>
  </sheetViews>
  <sheetFormatPr defaultRowHeight="15" x14ac:dyDescent="0.25"/>
  <cols>
    <col min="1" max="1" width="32.140625" customWidth="1"/>
    <col min="2" max="4" width="15.7109375" customWidth="1"/>
    <col min="5" max="7" width="16" customWidth="1"/>
    <col min="11" max="13" width="7.85546875" customWidth="1"/>
  </cols>
  <sheetData>
    <row r="1" spans="1:13" x14ac:dyDescent="0.25">
      <c r="A1" s="50" t="s">
        <v>90</v>
      </c>
      <c r="B1" s="63"/>
      <c r="C1" s="63"/>
      <c r="D1" s="63"/>
      <c r="E1" s="49" t="s">
        <v>91</v>
      </c>
      <c r="F1" s="49" t="s">
        <v>92</v>
      </c>
      <c r="G1" s="49" t="s">
        <v>93</v>
      </c>
    </row>
    <row r="2" spans="1:13" ht="27.75" customHeight="1" x14ac:dyDescent="0.25">
      <c r="A2" s="56" t="s">
        <v>94</v>
      </c>
      <c r="B2" s="64">
        <f>E2+H2+K2</f>
        <v>1502951.2</v>
      </c>
      <c r="C2" s="64">
        <f t="shared" ref="C2:D2" si="0">F2+I2+L2</f>
        <v>1579858.7</v>
      </c>
      <c r="D2" s="64">
        <f t="shared" si="0"/>
        <v>1663867.9</v>
      </c>
      <c r="E2" s="53">
        <v>1498819</v>
      </c>
      <c r="F2" s="50">
        <v>1573760</v>
      </c>
      <c r="G2" s="50">
        <v>1658113</v>
      </c>
      <c r="H2" s="62"/>
      <c r="I2" s="62"/>
      <c r="J2" s="62"/>
      <c r="K2">
        <f>E19</f>
        <v>4132.1999999999534</v>
      </c>
      <c r="L2">
        <f t="shared" ref="L2:M2" si="1">F19</f>
        <v>6098.7000000000116</v>
      </c>
      <c r="M2">
        <f t="shared" si="1"/>
        <v>5754.9000000000233</v>
      </c>
    </row>
    <row r="3" spans="1:13" ht="27.75" customHeight="1" x14ac:dyDescent="0.25">
      <c r="A3" s="57" t="s">
        <v>95</v>
      </c>
      <c r="B3" s="64">
        <f>E3+H3+K3</f>
        <v>357055.6</v>
      </c>
      <c r="C3" s="64">
        <f t="shared" ref="C3" si="2">F3+I3+L3</f>
        <v>319444.90000000002</v>
      </c>
      <c r="D3" s="64">
        <f t="shared" ref="D3" si="3">G3+J3+M3</f>
        <v>313517</v>
      </c>
      <c r="E3" s="54">
        <v>352923.4</v>
      </c>
      <c r="F3" s="51">
        <v>313346.2</v>
      </c>
      <c r="G3" s="51">
        <v>307762.09999999998</v>
      </c>
      <c r="H3" s="62"/>
      <c r="I3" s="62"/>
      <c r="J3" s="62"/>
      <c r="K3">
        <f>K2</f>
        <v>4132.1999999999534</v>
      </c>
      <c r="L3">
        <f t="shared" ref="L3:M3" si="4">L2</f>
        <v>6098.7000000000116</v>
      </c>
      <c r="M3">
        <f t="shared" si="4"/>
        <v>5754.9000000000233</v>
      </c>
    </row>
    <row r="4" spans="1:13" ht="27.75" customHeight="1" x14ac:dyDescent="0.25">
      <c r="A4" s="57" t="s">
        <v>96</v>
      </c>
      <c r="B4" s="65">
        <f>B3/B2*100</f>
        <v>23.75696562869107</v>
      </c>
      <c r="C4" s="65">
        <f t="shared" ref="C4:D4" si="5">C3/C2*100</f>
        <v>20.219839913531509</v>
      </c>
      <c r="D4" s="65">
        <f t="shared" si="5"/>
        <v>18.842661728133585</v>
      </c>
      <c r="E4" s="54">
        <v>23.5</v>
      </c>
      <c r="F4" s="51">
        <v>19.899999999999999</v>
      </c>
      <c r="G4" s="51">
        <v>18.600000000000001</v>
      </c>
    </row>
    <row r="5" spans="1:13" ht="27.75" customHeight="1" x14ac:dyDescent="0.25">
      <c r="A5" s="58" t="s">
        <v>97</v>
      </c>
      <c r="B5" s="64">
        <f>E5+H5+K5</f>
        <v>96527.4</v>
      </c>
      <c r="C5" s="64">
        <f t="shared" ref="C5:C7" si="6">F5+I5+L5</f>
        <v>98077.9</v>
      </c>
      <c r="D5" s="64">
        <f t="shared" ref="D5:D7" si="7">G5+J5+M5</f>
        <v>101006.39999999999</v>
      </c>
      <c r="E5" s="55">
        <v>91373.5</v>
      </c>
      <c r="F5" s="52">
        <v>92654.2</v>
      </c>
      <c r="G5" s="52">
        <v>95251.5</v>
      </c>
      <c r="H5" s="62">
        <v>5153.8999999999996</v>
      </c>
      <c r="I5" s="62">
        <v>5423.7</v>
      </c>
      <c r="J5" s="62">
        <v>5754.9</v>
      </c>
    </row>
    <row r="6" spans="1:13" ht="27.75" customHeight="1" x14ac:dyDescent="0.25">
      <c r="A6" s="59" t="s">
        <v>98</v>
      </c>
      <c r="B6" s="64">
        <f>E6+H6+K6</f>
        <v>52828.4</v>
      </c>
      <c r="C6" s="64">
        <f t="shared" si="6"/>
        <v>55405.599999999999</v>
      </c>
      <c r="D6" s="64">
        <f t="shared" si="7"/>
        <v>58189.2</v>
      </c>
      <c r="E6" s="53">
        <v>52828.4</v>
      </c>
      <c r="F6" s="50">
        <v>55405.599999999999</v>
      </c>
      <c r="G6" s="50">
        <v>58189.2</v>
      </c>
    </row>
    <row r="7" spans="1:13" ht="27.75" customHeight="1" x14ac:dyDescent="0.25">
      <c r="A7" s="59" t="s">
        <v>99</v>
      </c>
      <c r="B7" s="64">
        <f>E7+H7+K7</f>
        <v>12327.7</v>
      </c>
      <c r="C7" s="64">
        <f t="shared" si="6"/>
        <v>12971.599999999999</v>
      </c>
      <c r="D7" s="64">
        <f t="shared" si="7"/>
        <v>13765.9</v>
      </c>
      <c r="E7" s="53">
        <v>7173.8</v>
      </c>
      <c r="F7" s="50">
        <v>7547.9</v>
      </c>
      <c r="G7" s="50">
        <v>8011</v>
      </c>
      <c r="H7" s="62">
        <v>5153.8999999999996</v>
      </c>
      <c r="I7" s="62">
        <v>5423.7</v>
      </c>
      <c r="J7" s="62">
        <v>5754.9</v>
      </c>
    </row>
    <row r="8" spans="1:13" ht="27.75" customHeight="1" x14ac:dyDescent="0.25">
      <c r="A8" s="60" t="s">
        <v>100</v>
      </c>
      <c r="B8" s="66">
        <f>B5/B2*100</f>
        <v>6.4225238983141963</v>
      </c>
      <c r="C8" s="66">
        <f t="shared" ref="C8:D8" si="8">C5/C2*100</f>
        <v>6.2080172106530798</v>
      </c>
      <c r="D8" s="66">
        <f t="shared" si="8"/>
        <v>6.0705780789448482</v>
      </c>
      <c r="E8" s="53">
        <v>6.1</v>
      </c>
      <c r="F8" s="50">
        <v>5.9</v>
      </c>
      <c r="G8" s="50">
        <v>5.7</v>
      </c>
    </row>
    <row r="9" spans="1:13" ht="27.75" customHeight="1" x14ac:dyDescent="0.25">
      <c r="A9" s="58" t="s">
        <v>101</v>
      </c>
      <c r="B9" s="64">
        <f>E9+H9+K9</f>
        <v>261550</v>
      </c>
      <c r="C9" s="64">
        <f t="shared" ref="C9:C10" si="9">F9+I9+L9</f>
        <v>220692</v>
      </c>
      <c r="D9" s="64">
        <f t="shared" ref="D9:D10" si="10">G9+J9+M9</f>
        <v>212510.6</v>
      </c>
      <c r="E9" s="55">
        <v>261550</v>
      </c>
      <c r="F9" s="52">
        <v>220692</v>
      </c>
      <c r="G9" s="52">
        <v>212510.6</v>
      </c>
    </row>
    <row r="10" spans="1:13" ht="27.75" customHeight="1" x14ac:dyDescent="0.25">
      <c r="A10" s="57" t="s">
        <v>102</v>
      </c>
      <c r="B10" s="64">
        <f>E10+H10+K10</f>
        <v>357055.6</v>
      </c>
      <c r="C10" s="64">
        <f t="shared" si="9"/>
        <v>319444.90000000002</v>
      </c>
      <c r="D10" s="64">
        <f t="shared" si="10"/>
        <v>313517</v>
      </c>
      <c r="E10" s="54">
        <v>352923.4</v>
      </c>
      <c r="F10" s="51">
        <v>313346.2</v>
      </c>
      <c r="G10" s="51">
        <v>307762.09999999998</v>
      </c>
      <c r="H10" s="62"/>
      <c r="I10" s="62"/>
      <c r="J10" s="62"/>
      <c r="K10">
        <f>K3</f>
        <v>4132.1999999999534</v>
      </c>
      <c r="L10">
        <f t="shared" ref="L10:M10" si="11">L3</f>
        <v>6098.7000000000116</v>
      </c>
      <c r="M10">
        <f t="shared" si="11"/>
        <v>5754.9000000000233</v>
      </c>
    </row>
    <row r="11" spans="1:13" ht="27.75" customHeight="1" x14ac:dyDescent="0.25">
      <c r="A11" s="57" t="s">
        <v>103</v>
      </c>
      <c r="B11" s="65">
        <f>B10/B2*100</f>
        <v>23.75696562869107</v>
      </c>
      <c r="C11" s="65">
        <f t="shared" ref="C11:D11" si="12">C10/C2*100</f>
        <v>20.219839913531509</v>
      </c>
      <c r="D11" s="65">
        <f t="shared" si="12"/>
        <v>18.842661728133585</v>
      </c>
      <c r="E11" s="54">
        <v>23.5</v>
      </c>
      <c r="F11" s="51">
        <v>19.899999999999999</v>
      </c>
      <c r="G11" s="51">
        <v>18.600000000000001</v>
      </c>
    </row>
    <row r="12" spans="1:13" ht="27.75" customHeight="1" x14ac:dyDescent="0.25">
      <c r="A12" s="61" t="s">
        <v>104</v>
      </c>
      <c r="B12" s="64">
        <f>E12+H12+K12</f>
        <v>12327.7</v>
      </c>
      <c r="C12" s="64">
        <f t="shared" ref="C12" si="13">F12+I12+L12</f>
        <v>12971.599999999999</v>
      </c>
      <c r="D12" s="64">
        <f t="shared" ref="D12" si="14">G12+J12+M12</f>
        <v>13765.9</v>
      </c>
      <c r="E12" s="54">
        <v>7173.8</v>
      </c>
      <c r="F12" s="51">
        <v>7547.9</v>
      </c>
      <c r="G12" s="51">
        <v>8011</v>
      </c>
      <c r="H12" s="62">
        <v>5153.8999999999996</v>
      </c>
      <c r="I12" s="62">
        <v>5423.7</v>
      </c>
      <c r="J12" s="62">
        <v>5754.9</v>
      </c>
    </row>
    <row r="13" spans="1:13" ht="27.75" customHeight="1" x14ac:dyDescent="0.25">
      <c r="A13" s="57" t="s">
        <v>105</v>
      </c>
      <c r="B13" s="64">
        <f>B3-B10</f>
        <v>0</v>
      </c>
      <c r="C13" s="64">
        <f t="shared" ref="C13:D13" si="15">C3-C10</f>
        <v>0</v>
      </c>
      <c r="D13" s="64">
        <f t="shared" si="15"/>
        <v>0</v>
      </c>
      <c r="E13" s="54" t="s">
        <v>106</v>
      </c>
      <c r="F13" s="51" t="s">
        <v>106</v>
      </c>
      <c r="G13" s="51" t="s">
        <v>106</v>
      </c>
    </row>
    <row r="17" spans="5:7" x14ac:dyDescent="0.25">
      <c r="E17" s="54">
        <v>352923.4</v>
      </c>
      <c r="F17" s="51">
        <v>313346.2</v>
      </c>
      <c r="G17" s="51">
        <v>307762.09999999998</v>
      </c>
    </row>
    <row r="18" spans="5:7" x14ac:dyDescent="0.25">
      <c r="E18">
        <v>357055.6</v>
      </c>
      <c r="F18">
        <v>319444.90000000002</v>
      </c>
      <c r="G18">
        <v>313517</v>
      </c>
    </row>
    <row r="19" spans="5:7" x14ac:dyDescent="0.25">
      <c r="E19">
        <f>E18-E17</f>
        <v>4132.1999999999534</v>
      </c>
      <c r="F19">
        <f t="shared" ref="F19:G19" si="16">F18-F17</f>
        <v>6098.7000000000116</v>
      </c>
      <c r="G19">
        <f t="shared" si="16"/>
        <v>5754.9000000000233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C12" sqref="C12"/>
    </sheetView>
  </sheetViews>
  <sheetFormatPr defaultRowHeight="15" x14ac:dyDescent="0.25"/>
  <cols>
    <col min="1" max="1" width="59.28515625" customWidth="1"/>
    <col min="2" max="4" width="17.5703125" customWidth="1"/>
  </cols>
  <sheetData>
    <row r="1" spans="1:4" ht="15.75" thickBot="1" x14ac:dyDescent="0.3">
      <c r="A1" s="83" t="s">
        <v>107</v>
      </c>
      <c r="B1" s="85" t="s">
        <v>108</v>
      </c>
      <c r="C1" s="85" t="s">
        <v>109</v>
      </c>
      <c r="D1" s="67" t="s">
        <v>110</v>
      </c>
    </row>
    <row r="2" spans="1:4" ht="15.75" thickBot="1" x14ac:dyDescent="0.3">
      <c r="A2" s="84"/>
      <c r="B2" s="86"/>
      <c r="C2" s="86"/>
      <c r="D2" s="68" t="s">
        <v>111</v>
      </c>
    </row>
    <row r="3" spans="1:4" ht="23.25" customHeight="1" thickBot="1" x14ac:dyDescent="0.3">
      <c r="A3" s="69" t="s">
        <v>112</v>
      </c>
      <c r="B3" s="71">
        <v>0</v>
      </c>
      <c r="C3" s="70">
        <v>300000</v>
      </c>
      <c r="D3" s="70">
        <f>C3-B3</f>
        <v>300000</v>
      </c>
    </row>
    <row r="4" spans="1:4" ht="23.25" customHeight="1" thickBot="1" x14ac:dyDescent="0.3">
      <c r="A4" s="69" t="s">
        <v>113</v>
      </c>
      <c r="B4" s="71">
        <v>118279</v>
      </c>
      <c r="C4" s="74"/>
      <c r="D4" s="70">
        <f t="shared" ref="D4:D11" si="0">C4-B4</f>
        <v>-118279</v>
      </c>
    </row>
    <row r="5" spans="1:4" ht="23.25" customHeight="1" thickBot="1" x14ac:dyDescent="0.3">
      <c r="A5" s="69" t="s">
        <v>114</v>
      </c>
      <c r="B5" s="71">
        <v>1500000</v>
      </c>
      <c r="C5" s="70">
        <v>2372500</v>
      </c>
      <c r="D5" s="70">
        <f t="shared" si="0"/>
        <v>872500</v>
      </c>
    </row>
    <row r="6" spans="1:4" ht="23.25" customHeight="1" thickBot="1" x14ac:dyDescent="0.3">
      <c r="A6" s="69" t="s">
        <v>115</v>
      </c>
      <c r="B6" s="71">
        <v>299520</v>
      </c>
      <c r="C6" s="70">
        <v>332280</v>
      </c>
      <c r="D6" s="70">
        <f t="shared" si="0"/>
        <v>32760</v>
      </c>
    </row>
    <row r="7" spans="1:4" ht="23.25" customHeight="1" thickBot="1" x14ac:dyDescent="0.3">
      <c r="A7" s="69" t="s">
        <v>116</v>
      </c>
      <c r="B7" s="71">
        <v>10245151.5</v>
      </c>
      <c r="C7" s="70">
        <v>8550000</v>
      </c>
      <c r="D7" s="70">
        <f>C7-B7</f>
        <v>-1695151.5</v>
      </c>
    </row>
    <row r="8" spans="1:4" ht="23.25" customHeight="1" thickBot="1" x14ac:dyDescent="0.3">
      <c r="A8" s="69" t="s">
        <v>117</v>
      </c>
      <c r="B8" s="71">
        <v>0</v>
      </c>
      <c r="C8" s="70">
        <v>1493001</v>
      </c>
      <c r="D8" s="70">
        <f t="shared" si="0"/>
        <v>1493001</v>
      </c>
    </row>
    <row r="9" spans="1:4" ht="23.25" customHeight="1" thickBot="1" x14ac:dyDescent="0.3">
      <c r="A9" s="69" t="s">
        <v>118</v>
      </c>
      <c r="B9" s="71">
        <v>3012176.4</v>
      </c>
      <c r="C9" s="74"/>
      <c r="D9" s="70">
        <f>C9-B9</f>
        <v>-3012176.4</v>
      </c>
    </row>
    <row r="10" spans="1:4" ht="23.25" customHeight="1" thickBot="1" x14ac:dyDescent="0.3">
      <c r="A10" s="69" t="s">
        <v>119</v>
      </c>
      <c r="B10" s="71">
        <v>2582190</v>
      </c>
      <c r="C10" s="70">
        <v>1915956</v>
      </c>
      <c r="D10" s="70">
        <f t="shared" si="0"/>
        <v>-666234</v>
      </c>
    </row>
    <row r="11" spans="1:4" ht="23.25" customHeight="1" thickBot="1" x14ac:dyDescent="0.3">
      <c r="A11" s="69" t="s">
        <v>120</v>
      </c>
      <c r="B11" s="71">
        <v>254781</v>
      </c>
      <c r="C11" s="74"/>
      <c r="D11" s="70">
        <f t="shared" si="0"/>
        <v>-254781</v>
      </c>
    </row>
    <row r="12" spans="1:4" ht="15.75" thickBot="1" x14ac:dyDescent="0.3">
      <c r="A12" s="72" t="s">
        <v>121</v>
      </c>
      <c r="B12" s="73">
        <f>SUM(B3:B11)</f>
        <v>18012097.899999999</v>
      </c>
      <c r="C12" s="73">
        <f>SUM(C3:C11)</f>
        <v>14963737</v>
      </c>
      <c r="D12" s="73">
        <f>SUM(D3:D11)</f>
        <v>-3048360.9</v>
      </c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Осн.характеристики</vt:lpstr>
      <vt:lpstr>Лист1</vt:lpstr>
      <vt:lpstr>Лист2</vt:lpstr>
      <vt:lpstr>Лист3</vt:lpstr>
      <vt:lpstr>Лист1!Заголовки_для_печати</vt:lpstr>
      <vt:lpstr>Осн.характеристики!Заголовки_для_печати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2019-12-16T10:56:51Z</dcterms:modified>
</cp:coreProperties>
</file>