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005" windowWidth="14805" windowHeight="7110"/>
  </bookViews>
  <sheets>
    <sheet name="Доходы" sheetId="51" r:id="rId1"/>
    <sheet name="1 Норм" sheetId="22" r:id="rId2"/>
    <sheet name="2 Адм.дох" sheetId="23" r:id="rId3"/>
    <sheet name="3 Ист.дох" sheetId="21" r:id="rId4"/>
    <sheet name="4 Адм.ОГВ" sheetId="20" r:id="rId5"/>
    <sheet name="5.Адм.ист." sheetId="24" r:id="rId6"/>
    <sheet name="6 Вед15" sheetId="15" r:id="rId7"/>
    <sheet name="8 МП15" sheetId="16" r:id="rId8"/>
    <sheet name="7 Вед.15-16" sheetId="17" r:id="rId9"/>
    <sheet name="9 МП15-16" sheetId="5" r:id="rId10"/>
    <sheet name="10.1 Выр.15" sheetId="6" r:id="rId11"/>
    <sheet name="10.2 Сб 15" sheetId="38" r:id="rId12"/>
    <sheet name="10.3 Ком.15" sheetId="9" r:id="rId13"/>
    <sheet name="10.4 В.уч15" sheetId="10" r:id="rId14"/>
    <sheet name="10.5 Прот.15" sheetId="19" r:id="rId15"/>
    <sheet name="10.6 Дороги" sheetId="49" r:id="rId16"/>
    <sheet name="10.7 Сб.МР" sheetId="41" r:id="rId17"/>
    <sheet name="10.8 Жилф" sheetId="43" r:id="rId18"/>
    <sheet name="10.9 Газ" sheetId="44" r:id="rId19"/>
    <sheet name="11.1 Выр.16-17" sheetId="11" r:id="rId20"/>
    <sheet name="11.2 СБ.16-17" sheetId="12" r:id="rId21"/>
    <sheet name="11.3 Ком.16-17" sheetId="13" state="hidden" r:id="rId22"/>
    <sheet name="11.4 В.уч.16-17" sheetId="14" r:id="rId23"/>
    <sheet name="11.5 Прот.16-17" sheetId="8" state="hidden" r:id="rId24"/>
    <sheet name="12 Ист.15" sheetId="25" r:id="rId25"/>
    <sheet name="13 Ист.15-16" sheetId="26" r:id="rId26"/>
  </sheets>
  <externalReferences>
    <externalReference r:id="rId27"/>
  </externalReferences>
  <definedNames>
    <definedName name="_xlnm.Print_Titles" localSheetId="6">'6 Вед15'!$5:$5</definedName>
    <definedName name="_xlnm.Print_Titles" localSheetId="8">'7 Вед.15-16'!$5:$5</definedName>
    <definedName name="_xlnm.Print_Titles" localSheetId="7">'8 МП15'!$5:$5</definedName>
    <definedName name="_xlnm.Print_Titles" localSheetId="9">'9 МП15-16'!$7:$7</definedName>
  </definedNames>
  <calcPr calcId="145621"/>
</workbook>
</file>

<file path=xl/calcChain.xml><?xml version="1.0" encoding="utf-8"?>
<calcChain xmlns="http://schemas.openxmlformats.org/spreadsheetml/2006/main">
  <c r="V129" i="51" l="1"/>
  <c r="S129" i="51"/>
  <c r="L129" i="51"/>
  <c r="J129" i="51"/>
  <c r="H129" i="51"/>
  <c r="W127" i="51"/>
  <c r="T127" i="51"/>
  <c r="C127" i="51"/>
  <c r="G127" i="51" s="1"/>
  <c r="V126" i="51"/>
  <c r="U126" i="51"/>
  <c r="W126" i="51" s="1"/>
  <c r="S126" i="51"/>
  <c r="R126" i="51"/>
  <c r="T126" i="51" s="1"/>
  <c r="L126" i="51"/>
  <c r="J126" i="51"/>
  <c r="H126" i="51"/>
  <c r="F126" i="51"/>
  <c r="C126" i="51"/>
  <c r="M125" i="51"/>
  <c r="M124" i="51" s="1"/>
  <c r="K125" i="51"/>
  <c r="L124" i="51"/>
  <c r="K124" i="51"/>
  <c r="J124" i="51"/>
  <c r="I124" i="51"/>
  <c r="M123" i="51"/>
  <c r="M122" i="51" s="1"/>
  <c r="L122" i="51"/>
  <c r="K122" i="51"/>
  <c r="W121" i="51"/>
  <c r="T121" i="51"/>
  <c r="J121" i="51"/>
  <c r="J120" i="51" s="1"/>
  <c r="J119" i="51" s="1"/>
  <c r="C121" i="51"/>
  <c r="V120" i="51"/>
  <c r="W120" i="51" s="1"/>
  <c r="W119" i="51" s="1"/>
  <c r="U120" i="51"/>
  <c r="T120" i="51"/>
  <c r="S120" i="51"/>
  <c r="R120" i="51"/>
  <c r="R119" i="51" s="1"/>
  <c r="L120" i="51"/>
  <c r="L119" i="51" s="1"/>
  <c r="H120" i="51"/>
  <c r="H119" i="51" s="1"/>
  <c r="F120" i="51"/>
  <c r="V119" i="51"/>
  <c r="U119" i="51"/>
  <c r="S119" i="51"/>
  <c r="F119" i="51"/>
  <c r="E119" i="51"/>
  <c r="D119" i="51"/>
  <c r="W118" i="51"/>
  <c r="T118" i="51"/>
  <c r="G118" i="51"/>
  <c r="G117" i="51" s="1"/>
  <c r="V117" i="51"/>
  <c r="U117" i="51"/>
  <c r="S117" i="51"/>
  <c r="R117" i="51"/>
  <c r="T117" i="51" s="1"/>
  <c r="L117" i="51"/>
  <c r="J117" i="51"/>
  <c r="H117" i="51"/>
  <c r="F117" i="51"/>
  <c r="C117" i="51"/>
  <c r="W116" i="51"/>
  <c r="T116" i="51"/>
  <c r="K116" i="51"/>
  <c r="M116" i="51" s="1"/>
  <c r="M115" i="51" s="1"/>
  <c r="I116" i="51"/>
  <c r="G116" i="51"/>
  <c r="V115" i="51"/>
  <c r="U115" i="51"/>
  <c r="W115" i="51" s="1"/>
  <c r="S115" i="51"/>
  <c r="R115" i="51"/>
  <c r="T115" i="51" s="1"/>
  <c r="L115" i="51"/>
  <c r="J115" i="51"/>
  <c r="I115" i="51"/>
  <c r="H115" i="51"/>
  <c r="G115" i="51"/>
  <c r="F115" i="51"/>
  <c r="C115" i="51"/>
  <c r="W114" i="51"/>
  <c r="T114" i="51"/>
  <c r="K114" i="51"/>
  <c r="M114" i="51" s="1"/>
  <c r="G114" i="51"/>
  <c r="I114" i="51" s="1"/>
  <c r="W113" i="51"/>
  <c r="T113" i="51"/>
  <c r="K113" i="51"/>
  <c r="M113" i="51" s="1"/>
  <c r="I113" i="51"/>
  <c r="G113" i="51"/>
  <c r="W112" i="51"/>
  <c r="T112" i="51"/>
  <c r="W111" i="51"/>
  <c r="T111" i="51"/>
  <c r="I111" i="51"/>
  <c r="K111" i="51" s="1"/>
  <c r="M111" i="51" s="1"/>
  <c r="G111" i="51"/>
  <c r="W110" i="51"/>
  <c r="T110" i="51"/>
  <c r="M110" i="51"/>
  <c r="K110" i="51"/>
  <c r="G110" i="51"/>
  <c r="I110" i="51" s="1"/>
  <c r="W109" i="51"/>
  <c r="T109" i="51"/>
  <c r="G109" i="51"/>
  <c r="I109" i="51" s="1"/>
  <c r="K109" i="51" s="1"/>
  <c r="M109" i="51" s="1"/>
  <c r="W108" i="51"/>
  <c r="T108" i="51"/>
  <c r="G108" i="51"/>
  <c r="I108" i="51" s="1"/>
  <c r="K108" i="51" s="1"/>
  <c r="M108" i="51" s="1"/>
  <c r="W107" i="51"/>
  <c r="T107" i="51"/>
  <c r="I107" i="51"/>
  <c r="K107" i="51" s="1"/>
  <c r="M107" i="51" s="1"/>
  <c r="G107" i="51"/>
  <c r="W106" i="51"/>
  <c r="T106" i="51"/>
  <c r="M106" i="51"/>
  <c r="K106" i="51"/>
  <c r="G106" i="51"/>
  <c r="I106" i="51" s="1"/>
  <c r="W105" i="51"/>
  <c r="T105" i="51"/>
  <c r="G105" i="51"/>
  <c r="I105" i="51" s="1"/>
  <c r="K105" i="51" s="1"/>
  <c r="M105" i="51" s="1"/>
  <c r="W104" i="51"/>
  <c r="T104" i="51"/>
  <c r="W103" i="51"/>
  <c r="T103" i="51"/>
  <c r="K103" i="51"/>
  <c r="M103" i="51" s="1"/>
  <c r="I103" i="51"/>
  <c r="G103" i="51"/>
  <c r="W102" i="51"/>
  <c r="T102" i="51"/>
  <c r="G102" i="51"/>
  <c r="I102" i="51" s="1"/>
  <c r="K102" i="51" s="1"/>
  <c r="M102" i="51" s="1"/>
  <c r="W101" i="51"/>
  <c r="T101" i="51"/>
  <c r="G101" i="51"/>
  <c r="G100" i="51" s="1"/>
  <c r="G99" i="51" s="1"/>
  <c r="V100" i="51"/>
  <c r="V99" i="51" s="1"/>
  <c r="U100" i="51"/>
  <c r="S100" i="51"/>
  <c r="R100" i="51"/>
  <c r="R99" i="51" s="1"/>
  <c r="T99" i="51" s="1"/>
  <c r="L100" i="51"/>
  <c r="L99" i="51" s="1"/>
  <c r="J100" i="51"/>
  <c r="J99" i="51" s="1"/>
  <c r="H100" i="51"/>
  <c r="F100" i="51"/>
  <c r="F99" i="51" s="1"/>
  <c r="C100" i="51"/>
  <c r="C99" i="51" s="1"/>
  <c r="W99" i="51"/>
  <c r="U99" i="51"/>
  <c r="S99" i="51"/>
  <c r="S92" i="51" s="1"/>
  <c r="H99" i="51"/>
  <c r="W98" i="51"/>
  <c r="T98" i="51"/>
  <c r="G98" i="51"/>
  <c r="G97" i="51" s="1"/>
  <c r="V97" i="51"/>
  <c r="U97" i="51"/>
  <c r="S97" i="51"/>
  <c r="R97" i="51"/>
  <c r="T97" i="51" s="1"/>
  <c r="L97" i="51"/>
  <c r="J97" i="51"/>
  <c r="H97" i="51"/>
  <c r="F97" i="51"/>
  <c r="C97" i="51"/>
  <c r="W96" i="51"/>
  <c r="T96" i="51"/>
  <c r="K96" i="51"/>
  <c r="M96" i="51" s="1"/>
  <c r="M95" i="51" s="1"/>
  <c r="I96" i="51"/>
  <c r="G96" i="51"/>
  <c r="V95" i="51"/>
  <c r="U95" i="51"/>
  <c r="W95" i="51" s="1"/>
  <c r="S95" i="51"/>
  <c r="R95" i="51"/>
  <c r="T95" i="51" s="1"/>
  <c r="L95" i="51"/>
  <c r="J95" i="51"/>
  <c r="J92" i="51" s="1"/>
  <c r="I95" i="51"/>
  <c r="H95" i="51"/>
  <c r="G95" i="51"/>
  <c r="F95" i="51"/>
  <c r="C95" i="51"/>
  <c r="C92" i="51" s="1"/>
  <c r="W94" i="51"/>
  <c r="T94" i="51"/>
  <c r="K94" i="51"/>
  <c r="M94" i="51" s="1"/>
  <c r="M93" i="51" s="1"/>
  <c r="G94" i="51"/>
  <c r="I94" i="51" s="1"/>
  <c r="I93" i="51" s="1"/>
  <c r="V93" i="51"/>
  <c r="W93" i="51" s="1"/>
  <c r="U93" i="51"/>
  <c r="T93" i="51"/>
  <c r="S93" i="51"/>
  <c r="R93" i="51"/>
  <c r="L93" i="51"/>
  <c r="K93" i="51"/>
  <c r="J93" i="51"/>
  <c r="H93" i="51"/>
  <c r="G93" i="51"/>
  <c r="F93" i="51"/>
  <c r="C93" i="51"/>
  <c r="V92" i="51"/>
  <c r="U92" i="51"/>
  <c r="F92" i="51"/>
  <c r="K91" i="51"/>
  <c r="M91" i="51" s="1"/>
  <c r="W90" i="51"/>
  <c r="T90" i="51"/>
  <c r="I90" i="51"/>
  <c r="K90" i="51" s="1"/>
  <c r="L89" i="51"/>
  <c r="J89" i="51"/>
  <c r="I89" i="51"/>
  <c r="I88" i="51" s="1"/>
  <c r="H89" i="51"/>
  <c r="G89" i="51"/>
  <c r="G88" i="51" s="1"/>
  <c r="L88" i="51"/>
  <c r="J88" i="51"/>
  <c r="H88" i="51"/>
  <c r="M87" i="51"/>
  <c r="M86" i="51"/>
  <c r="W85" i="51"/>
  <c r="T85" i="51"/>
  <c r="K85" i="51"/>
  <c r="M85" i="51" s="1"/>
  <c r="I85" i="51"/>
  <c r="G85" i="51"/>
  <c r="W84" i="51"/>
  <c r="T84" i="51"/>
  <c r="G84" i="51"/>
  <c r="I84" i="51" s="1"/>
  <c r="W83" i="51"/>
  <c r="V83" i="51"/>
  <c r="U83" i="51"/>
  <c r="S83" i="51"/>
  <c r="S82" i="51" s="1"/>
  <c r="R83" i="51"/>
  <c r="L83" i="51"/>
  <c r="L82" i="51" s="1"/>
  <c r="J83" i="51"/>
  <c r="H83" i="51"/>
  <c r="H82" i="51" s="1"/>
  <c r="H77" i="51" s="1"/>
  <c r="G83" i="51"/>
  <c r="G82" i="51" s="1"/>
  <c r="G77" i="51" s="1"/>
  <c r="F83" i="51"/>
  <c r="E83" i="51"/>
  <c r="D83" i="51"/>
  <c r="C83" i="51"/>
  <c r="C82" i="51" s="1"/>
  <c r="C77" i="51" s="1"/>
  <c r="V82" i="51"/>
  <c r="U82" i="51"/>
  <c r="W82" i="51" s="1"/>
  <c r="W77" i="51" s="1"/>
  <c r="R82" i="51"/>
  <c r="T82" i="51" s="1"/>
  <c r="T77" i="51" s="1"/>
  <c r="J82" i="51"/>
  <c r="F82" i="51"/>
  <c r="E82" i="51"/>
  <c r="D82" i="51"/>
  <c r="D77" i="51" s="1"/>
  <c r="D71" i="51" s="1"/>
  <c r="W81" i="51"/>
  <c r="T81" i="51"/>
  <c r="W80" i="51"/>
  <c r="T80" i="51"/>
  <c r="W79" i="51"/>
  <c r="T79" i="51"/>
  <c r="M79" i="51"/>
  <c r="M78" i="51" s="1"/>
  <c r="W78" i="51"/>
  <c r="T78" i="51"/>
  <c r="L78" i="51"/>
  <c r="K78" i="51"/>
  <c r="V77" i="51"/>
  <c r="U77" i="51"/>
  <c r="S77" i="51"/>
  <c r="J77" i="51"/>
  <c r="F77" i="51"/>
  <c r="E77" i="51"/>
  <c r="E71" i="51" s="1"/>
  <c r="V76" i="51"/>
  <c r="W76" i="51" s="1"/>
  <c r="T76" i="51"/>
  <c r="H76" i="51"/>
  <c r="G76" i="51"/>
  <c r="I76" i="51" s="1"/>
  <c r="I75" i="51" s="1"/>
  <c r="V75" i="51"/>
  <c r="W75" i="51" s="1"/>
  <c r="U75" i="51"/>
  <c r="S75" i="51"/>
  <c r="R75" i="51"/>
  <c r="T75" i="51" s="1"/>
  <c r="L75" i="51"/>
  <c r="J75" i="51"/>
  <c r="H75" i="51"/>
  <c r="G75" i="51"/>
  <c r="G72" i="51" s="1"/>
  <c r="F75" i="51"/>
  <c r="C75" i="51"/>
  <c r="W74" i="51"/>
  <c r="T74" i="51"/>
  <c r="G74" i="51"/>
  <c r="I74" i="51" s="1"/>
  <c r="W73" i="51"/>
  <c r="V73" i="51"/>
  <c r="U73" i="51"/>
  <c r="U72" i="51" s="1"/>
  <c r="T73" i="51"/>
  <c r="S73" i="51"/>
  <c r="S72" i="51" s="1"/>
  <c r="R73" i="51"/>
  <c r="L73" i="51"/>
  <c r="J73" i="51"/>
  <c r="H73" i="51"/>
  <c r="G73" i="51"/>
  <c r="F73" i="51"/>
  <c r="C73" i="51"/>
  <c r="C72" i="51" s="1"/>
  <c r="V72" i="51"/>
  <c r="R72" i="51"/>
  <c r="L72" i="51"/>
  <c r="J72" i="51"/>
  <c r="H72" i="51"/>
  <c r="F72" i="51"/>
  <c r="V71" i="51"/>
  <c r="U71" i="51"/>
  <c r="U70" i="51" s="1"/>
  <c r="F71" i="51"/>
  <c r="F70" i="51" s="1"/>
  <c r="V70" i="51"/>
  <c r="W69" i="51"/>
  <c r="W68" i="51" s="1"/>
  <c r="T69" i="51"/>
  <c r="T68" i="51" s="1"/>
  <c r="G69" i="51"/>
  <c r="V68" i="51"/>
  <c r="U68" i="51"/>
  <c r="S68" i="51"/>
  <c r="R68" i="51"/>
  <c r="L68" i="51"/>
  <c r="J68" i="51"/>
  <c r="H68" i="51"/>
  <c r="F68" i="51"/>
  <c r="C68" i="51"/>
  <c r="W67" i="51"/>
  <c r="T67" i="51"/>
  <c r="G67" i="51"/>
  <c r="I67" i="51" s="1"/>
  <c r="K67" i="51" s="1"/>
  <c r="M67" i="51" s="1"/>
  <c r="W66" i="51"/>
  <c r="T66" i="51"/>
  <c r="G66" i="51"/>
  <c r="I66" i="51" s="1"/>
  <c r="K66" i="51" s="1"/>
  <c r="M66" i="51" s="1"/>
  <c r="W65" i="51"/>
  <c r="T65" i="51"/>
  <c r="G65" i="51"/>
  <c r="G64" i="51" s="1"/>
  <c r="V64" i="51"/>
  <c r="U64" i="51"/>
  <c r="S64" i="51"/>
  <c r="R64" i="51"/>
  <c r="T64" i="51" s="1"/>
  <c r="L64" i="51"/>
  <c r="J64" i="51"/>
  <c r="H64" i="51"/>
  <c r="F64" i="51"/>
  <c r="C64" i="51"/>
  <c r="W63" i="51"/>
  <c r="T63" i="51"/>
  <c r="G63" i="51"/>
  <c r="I63" i="51" s="1"/>
  <c r="K63" i="51" s="1"/>
  <c r="M63" i="51" s="1"/>
  <c r="W62" i="51"/>
  <c r="T62" i="51"/>
  <c r="G62" i="51"/>
  <c r="I62" i="51" s="1"/>
  <c r="W61" i="51"/>
  <c r="V61" i="51"/>
  <c r="U61" i="51"/>
  <c r="S61" i="51"/>
  <c r="T61" i="51" s="1"/>
  <c r="R61" i="51"/>
  <c r="L61" i="51"/>
  <c r="J61" i="51"/>
  <c r="J60" i="51" s="1"/>
  <c r="H61" i="51"/>
  <c r="H60" i="51" s="1"/>
  <c r="F61" i="51"/>
  <c r="C61" i="51"/>
  <c r="V60" i="51"/>
  <c r="S60" i="51"/>
  <c r="F60" i="51"/>
  <c r="W59" i="51"/>
  <c r="T59" i="51"/>
  <c r="G59" i="51"/>
  <c r="I59" i="51" s="1"/>
  <c r="K59" i="51" s="1"/>
  <c r="M59" i="51" s="1"/>
  <c r="W58" i="51"/>
  <c r="T58" i="51"/>
  <c r="G58" i="51"/>
  <c r="I58" i="51" s="1"/>
  <c r="K58" i="51" s="1"/>
  <c r="M58" i="51" s="1"/>
  <c r="W57" i="51"/>
  <c r="T57" i="51"/>
  <c r="G57" i="51"/>
  <c r="V56" i="51"/>
  <c r="W56" i="51" s="1"/>
  <c r="U56" i="51"/>
  <c r="S56" i="51"/>
  <c r="S55" i="51" s="1"/>
  <c r="S54" i="51" s="1"/>
  <c r="R56" i="51"/>
  <c r="R55" i="51" s="1"/>
  <c r="R54" i="51" s="1"/>
  <c r="F56" i="51"/>
  <c r="F55" i="51" s="1"/>
  <c r="F54" i="51" s="1"/>
  <c r="E56" i="51"/>
  <c r="D56" i="51"/>
  <c r="C56" i="51"/>
  <c r="V55" i="51"/>
  <c r="V54" i="51" s="1"/>
  <c r="U55" i="51"/>
  <c r="C55" i="51"/>
  <c r="C54" i="51" s="1"/>
  <c r="L54" i="51"/>
  <c r="J54" i="51"/>
  <c r="H54" i="51"/>
  <c r="W53" i="51"/>
  <c r="T53" i="51"/>
  <c r="G53" i="51"/>
  <c r="I53" i="51" s="1"/>
  <c r="I52" i="51" s="1"/>
  <c r="V52" i="51"/>
  <c r="U52" i="51"/>
  <c r="S52" i="51"/>
  <c r="R52" i="51"/>
  <c r="L52" i="51"/>
  <c r="J52" i="51"/>
  <c r="H52" i="51"/>
  <c r="G52" i="51"/>
  <c r="F52" i="51"/>
  <c r="C52" i="51"/>
  <c r="V51" i="51"/>
  <c r="V50" i="51" s="1"/>
  <c r="U51" i="51"/>
  <c r="W51" i="51" s="1"/>
  <c r="W50" i="51" s="1"/>
  <c r="S51" i="51"/>
  <c r="S50" i="51" s="1"/>
  <c r="R51" i="51"/>
  <c r="L51" i="51"/>
  <c r="L50" i="51" s="1"/>
  <c r="J51" i="51"/>
  <c r="J50" i="51" s="1"/>
  <c r="H51" i="51"/>
  <c r="G51" i="51"/>
  <c r="G50" i="51" s="1"/>
  <c r="F51" i="51"/>
  <c r="F50" i="51" s="1"/>
  <c r="C51" i="51"/>
  <c r="C50" i="51" s="1"/>
  <c r="H50" i="51"/>
  <c r="W49" i="51"/>
  <c r="T49" i="51"/>
  <c r="G49" i="51"/>
  <c r="I49" i="51" s="1"/>
  <c r="K49" i="51" s="1"/>
  <c r="M49" i="51" s="1"/>
  <c r="W48" i="51"/>
  <c r="T48" i="51"/>
  <c r="G48" i="51"/>
  <c r="I48" i="51" s="1"/>
  <c r="K48" i="51" s="1"/>
  <c r="M48" i="51" s="1"/>
  <c r="W47" i="51"/>
  <c r="T47" i="51"/>
  <c r="G47" i="51"/>
  <c r="I47" i="51" s="1"/>
  <c r="K47" i="51" s="1"/>
  <c r="M47" i="51" s="1"/>
  <c r="W46" i="51"/>
  <c r="T46" i="51"/>
  <c r="G46" i="51"/>
  <c r="I46" i="51" s="1"/>
  <c r="V45" i="51"/>
  <c r="V44" i="51" s="1"/>
  <c r="U45" i="51"/>
  <c r="U44" i="51" s="1"/>
  <c r="S45" i="51"/>
  <c r="R45" i="51"/>
  <c r="L45" i="51"/>
  <c r="L44" i="51" s="1"/>
  <c r="J45" i="51"/>
  <c r="H45" i="51"/>
  <c r="H44" i="51" s="1"/>
  <c r="F45" i="51"/>
  <c r="F44" i="51" s="1"/>
  <c r="C45" i="51"/>
  <c r="C44" i="51" s="1"/>
  <c r="R44" i="51"/>
  <c r="J44" i="51"/>
  <c r="W43" i="51"/>
  <c r="T43" i="51"/>
  <c r="G43" i="51"/>
  <c r="I43" i="51" s="1"/>
  <c r="V42" i="51"/>
  <c r="U42" i="51"/>
  <c r="U41" i="51" s="1"/>
  <c r="S42" i="51"/>
  <c r="T42" i="51" s="1"/>
  <c r="R42" i="51"/>
  <c r="L42" i="51"/>
  <c r="L41" i="51" s="1"/>
  <c r="J42" i="51"/>
  <c r="J41" i="51" s="1"/>
  <c r="H42" i="51"/>
  <c r="H41" i="51" s="1"/>
  <c r="F42" i="51"/>
  <c r="C42" i="51"/>
  <c r="C41" i="51" s="1"/>
  <c r="V41" i="51"/>
  <c r="W41" i="51" s="1"/>
  <c r="R41" i="51"/>
  <c r="F41" i="51"/>
  <c r="W40" i="51"/>
  <c r="T40" i="51"/>
  <c r="G40" i="51"/>
  <c r="I40" i="51" s="1"/>
  <c r="V39" i="51"/>
  <c r="W39" i="51" s="1"/>
  <c r="U39" i="51"/>
  <c r="S39" i="51"/>
  <c r="R39" i="51"/>
  <c r="L39" i="51"/>
  <c r="J39" i="51"/>
  <c r="H39" i="51"/>
  <c r="F39" i="51"/>
  <c r="C39" i="51"/>
  <c r="W38" i="51"/>
  <c r="T38" i="51"/>
  <c r="G38" i="51"/>
  <c r="I38" i="51" s="1"/>
  <c r="K38" i="51" s="1"/>
  <c r="M38" i="51" s="1"/>
  <c r="W37" i="51"/>
  <c r="T37" i="51"/>
  <c r="G37" i="51"/>
  <c r="I37" i="51" s="1"/>
  <c r="K37" i="51" s="1"/>
  <c r="M37" i="51" s="1"/>
  <c r="W36" i="51"/>
  <c r="T36" i="51"/>
  <c r="G36" i="51"/>
  <c r="I36" i="51" s="1"/>
  <c r="K36" i="51" s="1"/>
  <c r="V35" i="51"/>
  <c r="U35" i="51"/>
  <c r="S35" i="51"/>
  <c r="R35" i="51"/>
  <c r="R34" i="51" s="1"/>
  <c r="R33" i="51" s="1"/>
  <c r="L35" i="51"/>
  <c r="J35" i="51"/>
  <c r="H35" i="51"/>
  <c r="H34" i="51" s="1"/>
  <c r="H33" i="51" s="1"/>
  <c r="H5" i="51" s="1"/>
  <c r="F35" i="51"/>
  <c r="F34" i="51" s="1"/>
  <c r="F33" i="51" s="1"/>
  <c r="E35" i="51"/>
  <c r="D35" i="51"/>
  <c r="C35" i="51"/>
  <c r="V34" i="51"/>
  <c r="J34" i="51"/>
  <c r="C34" i="51"/>
  <c r="C33" i="51" s="1"/>
  <c r="V33" i="51"/>
  <c r="W32" i="51"/>
  <c r="T32" i="51"/>
  <c r="I32" i="51"/>
  <c r="K32" i="51" s="1"/>
  <c r="G32" i="51"/>
  <c r="V31" i="51"/>
  <c r="U31" i="51"/>
  <c r="W31" i="51" s="1"/>
  <c r="W30" i="51" s="1"/>
  <c r="S31" i="51"/>
  <c r="S30" i="51" s="1"/>
  <c r="R31" i="51"/>
  <c r="L31" i="51"/>
  <c r="J31" i="51"/>
  <c r="H31" i="51"/>
  <c r="H30" i="51" s="1"/>
  <c r="G31" i="51"/>
  <c r="G30" i="51" s="1"/>
  <c r="F31" i="51"/>
  <c r="C31" i="51"/>
  <c r="C30" i="51" s="1"/>
  <c r="V30" i="51"/>
  <c r="R30" i="51"/>
  <c r="L30" i="51"/>
  <c r="J30" i="51"/>
  <c r="F30" i="51"/>
  <c r="W29" i="51"/>
  <c r="T29" i="51"/>
  <c r="G29" i="51"/>
  <c r="I29" i="51" s="1"/>
  <c r="K29" i="51" s="1"/>
  <c r="W28" i="51"/>
  <c r="V28" i="51"/>
  <c r="U28" i="51"/>
  <c r="S28" i="51"/>
  <c r="R28" i="51"/>
  <c r="T28" i="51" s="1"/>
  <c r="L28" i="51"/>
  <c r="J28" i="51"/>
  <c r="H28" i="51"/>
  <c r="G28" i="51"/>
  <c r="F28" i="51"/>
  <c r="C28" i="51"/>
  <c r="W27" i="51"/>
  <c r="T27" i="51"/>
  <c r="G27" i="51"/>
  <c r="I27" i="51" s="1"/>
  <c r="I26" i="51" s="1"/>
  <c r="V26" i="51"/>
  <c r="U26" i="51"/>
  <c r="S26" i="51"/>
  <c r="R26" i="51"/>
  <c r="L26" i="51"/>
  <c r="J26" i="51"/>
  <c r="H26" i="51"/>
  <c r="F26" i="51"/>
  <c r="C26" i="51"/>
  <c r="W25" i="51"/>
  <c r="T25" i="51"/>
  <c r="G25" i="51"/>
  <c r="G23" i="51" s="1"/>
  <c r="W24" i="51"/>
  <c r="T24" i="51"/>
  <c r="I24" i="51"/>
  <c r="K24" i="51" s="1"/>
  <c r="G24" i="51"/>
  <c r="V23" i="51"/>
  <c r="U23" i="51"/>
  <c r="S23" i="51"/>
  <c r="R23" i="51"/>
  <c r="L23" i="51"/>
  <c r="L22" i="51" s="1"/>
  <c r="L4" i="51" s="1"/>
  <c r="J23" i="51"/>
  <c r="H23" i="51"/>
  <c r="F23" i="51"/>
  <c r="C23" i="51"/>
  <c r="C22" i="51" s="1"/>
  <c r="U22" i="51"/>
  <c r="R22" i="51"/>
  <c r="W21" i="51"/>
  <c r="T21" i="51"/>
  <c r="I21" i="51"/>
  <c r="K21" i="51" s="1"/>
  <c r="M21" i="51" s="1"/>
  <c r="G21" i="51"/>
  <c r="W20" i="51"/>
  <c r="T20" i="51"/>
  <c r="G20" i="51"/>
  <c r="I20" i="51" s="1"/>
  <c r="W19" i="51"/>
  <c r="T19" i="51"/>
  <c r="G19" i="51"/>
  <c r="I19" i="51" s="1"/>
  <c r="K19" i="51" s="1"/>
  <c r="M19" i="51" s="1"/>
  <c r="W18" i="51"/>
  <c r="T18" i="51"/>
  <c r="G18" i="51"/>
  <c r="I18" i="51" s="1"/>
  <c r="K18" i="51" s="1"/>
  <c r="V17" i="51"/>
  <c r="U17" i="51"/>
  <c r="U16" i="51" s="1"/>
  <c r="S17" i="51"/>
  <c r="R17" i="51"/>
  <c r="R16" i="51" s="1"/>
  <c r="L17" i="51"/>
  <c r="J17" i="51"/>
  <c r="H17" i="51"/>
  <c r="G17" i="51"/>
  <c r="G16" i="51" s="1"/>
  <c r="F17" i="51"/>
  <c r="C17" i="51"/>
  <c r="C16" i="51" s="1"/>
  <c r="V16" i="51"/>
  <c r="S16" i="51"/>
  <c r="L16" i="51"/>
  <c r="J16" i="51"/>
  <c r="H16" i="51"/>
  <c r="F16" i="51"/>
  <c r="W15" i="51"/>
  <c r="T15" i="51"/>
  <c r="G15" i="51"/>
  <c r="I15" i="51" s="1"/>
  <c r="K15" i="51" s="1"/>
  <c r="M15" i="51" s="1"/>
  <c r="W14" i="51"/>
  <c r="T14" i="51"/>
  <c r="G14" i="51"/>
  <c r="I14" i="51" s="1"/>
  <c r="K14" i="51" s="1"/>
  <c r="M14" i="51" s="1"/>
  <c r="W13" i="51"/>
  <c r="T13" i="51"/>
  <c r="G13" i="51"/>
  <c r="W12" i="51"/>
  <c r="T12" i="51"/>
  <c r="I12" i="51"/>
  <c r="K12" i="51" s="1"/>
  <c r="G12" i="51"/>
  <c r="V11" i="51"/>
  <c r="U11" i="51"/>
  <c r="U10" i="51" s="1"/>
  <c r="S11" i="51"/>
  <c r="S10" i="51" s="1"/>
  <c r="R11" i="51"/>
  <c r="L11" i="51"/>
  <c r="J11" i="51"/>
  <c r="H11" i="51"/>
  <c r="H10" i="51" s="1"/>
  <c r="F11" i="51"/>
  <c r="F10" i="51" s="1"/>
  <c r="C11" i="51"/>
  <c r="C10" i="51" s="1"/>
  <c r="V10" i="51"/>
  <c r="R10" i="51"/>
  <c r="L10" i="51"/>
  <c r="J10" i="51"/>
  <c r="E5" i="51"/>
  <c r="D5" i="51"/>
  <c r="E4" i="51"/>
  <c r="D4" i="51"/>
  <c r="T60" i="51" l="1"/>
  <c r="T26" i="51"/>
  <c r="F5" i="51"/>
  <c r="W64" i="51"/>
  <c r="G92" i="51"/>
  <c r="H22" i="51"/>
  <c r="H9" i="51" s="1"/>
  <c r="R60" i="51"/>
  <c r="T17" i="51"/>
  <c r="T16" i="51" s="1"/>
  <c r="W11" i="51"/>
  <c r="W10" i="51" s="1"/>
  <c r="J33" i="51"/>
  <c r="J5" i="51" s="1"/>
  <c r="T35" i="51"/>
  <c r="T39" i="51"/>
  <c r="G45" i="51"/>
  <c r="G44" i="51" s="1"/>
  <c r="W45" i="51"/>
  <c r="W44" i="51" s="1"/>
  <c r="L60" i="51"/>
  <c r="U60" i="51"/>
  <c r="V22" i="51"/>
  <c r="T11" i="51"/>
  <c r="T10" i="51" s="1"/>
  <c r="G11" i="51"/>
  <c r="G10" i="51" s="1"/>
  <c r="F22" i="51"/>
  <c r="T23" i="51"/>
  <c r="W26" i="51"/>
  <c r="J22" i="51"/>
  <c r="U30" i="51"/>
  <c r="L34" i="51"/>
  <c r="L33" i="51" s="1"/>
  <c r="W35" i="51"/>
  <c r="W42" i="51"/>
  <c r="T45" i="51"/>
  <c r="T44" i="51" s="1"/>
  <c r="I51" i="51"/>
  <c r="I50" i="51" s="1"/>
  <c r="W52" i="51"/>
  <c r="W55" i="51"/>
  <c r="W54" i="51" s="1"/>
  <c r="W60" i="51"/>
  <c r="W72" i="51"/>
  <c r="C5" i="51"/>
  <c r="C4" i="51"/>
  <c r="F9" i="51"/>
  <c r="F128" i="51" s="1"/>
  <c r="F4" i="51"/>
  <c r="K28" i="51"/>
  <c r="M29" i="51"/>
  <c r="M28" i="51" s="1"/>
  <c r="L9" i="51"/>
  <c r="L5" i="51"/>
  <c r="K20" i="51"/>
  <c r="M20" i="51" s="1"/>
  <c r="I17" i="51"/>
  <c r="I16" i="51" s="1"/>
  <c r="K31" i="51"/>
  <c r="K30" i="51" s="1"/>
  <c r="M32" i="51"/>
  <c r="M31" i="51" s="1"/>
  <c r="M30" i="51" s="1"/>
  <c r="M12" i="51"/>
  <c r="G22" i="51"/>
  <c r="G4" i="51" s="1"/>
  <c r="W23" i="51"/>
  <c r="I25" i="51"/>
  <c r="H4" i="51"/>
  <c r="J4" i="51"/>
  <c r="I13" i="51"/>
  <c r="K13" i="51" s="1"/>
  <c r="M13" i="51" s="1"/>
  <c r="S22" i="51"/>
  <c r="S9" i="51" s="1"/>
  <c r="S128" i="51" s="1"/>
  <c r="I31" i="51"/>
  <c r="I30" i="51" s="1"/>
  <c r="S41" i="51"/>
  <c r="T41" i="51" s="1"/>
  <c r="I57" i="51"/>
  <c r="K57" i="51" s="1"/>
  <c r="M57" i="51" s="1"/>
  <c r="G56" i="51"/>
  <c r="I65" i="51"/>
  <c r="S71" i="51"/>
  <c r="S70" i="51" s="1"/>
  <c r="K84" i="51"/>
  <c r="I83" i="51"/>
  <c r="I82" i="51" s="1"/>
  <c r="I77" i="51" s="1"/>
  <c r="G26" i="51"/>
  <c r="K27" i="51"/>
  <c r="I28" i="51"/>
  <c r="T31" i="51"/>
  <c r="T30" i="51" s="1"/>
  <c r="G35" i="51"/>
  <c r="G42" i="51"/>
  <c r="G41" i="51" s="1"/>
  <c r="S44" i="51"/>
  <c r="I45" i="51"/>
  <c r="I44" i="51" s="1"/>
  <c r="K46" i="51"/>
  <c r="U50" i="51"/>
  <c r="T52" i="51"/>
  <c r="T55" i="51"/>
  <c r="T54" i="51" s="1"/>
  <c r="C60" i="51"/>
  <c r="C9" i="51" s="1"/>
  <c r="C128" i="51" s="1"/>
  <c r="J71" i="51"/>
  <c r="J70" i="51" s="1"/>
  <c r="T72" i="51"/>
  <c r="K74" i="51"/>
  <c r="I73" i="51"/>
  <c r="I72" i="51" s="1"/>
  <c r="I127" i="51"/>
  <c r="K127" i="51" s="1"/>
  <c r="M127" i="51" s="1"/>
  <c r="G126" i="51"/>
  <c r="I126" i="51" s="1"/>
  <c r="K126" i="51" s="1"/>
  <c r="M126" i="51" s="1"/>
  <c r="T34" i="51"/>
  <c r="M36" i="51"/>
  <c r="M35" i="51" s="1"/>
  <c r="K35" i="51"/>
  <c r="R50" i="51"/>
  <c r="R9" i="51" s="1"/>
  <c r="T51" i="51"/>
  <c r="T50" i="51" s="1"/>
  <c r="I61" i="51"/>
  <c r="K62" i="51"/>
  <c r="G68" i="51"/>
  <c r="I69" i="51"/>
  <c r="M90" i="51"/>
  <c r="M89" i="51" s="1"/>
  <c r="M88" i="51" s="1"/>
  <c r="K89" i="51"/>
  <c r="K88" i="51" s="1"/>
  <c r="V9" i="51"/>
  <c r="V128" i="51" s="1"/>
  <c r="M18" i="51"/>
  <c r="M17" i="51" s="1"/>
  <c r="M16" i="51" s="1"/>
  <c r="M24" i="51"/>
  <c r="S34" i="51"/>
  <c r="S33" i="51" s="1"/>
  <c r="I39" i="51"/>
  <c r="K40" i="51"/>
  <c r="K53" i="51"/>
  <c r="U54" i="51"/>
  <c r="G61" i="51"/>
  <c r="G60" i="51" s="1"/>
  <c r="C71" i="51"/>
  <c r="C70" i="51" s="1"/>
  <c r="W17" i="51"/>
  <c r="W16" i="51" s="1"/>
  <c r="U34" i="51"/>
  <c r="I35" i="51"/>
  <c r="G39" i="51"/>
  <c r="K43" i="51"/>
  <c r="I42" i="51"/>
  <c r="I41" i="51" s="1"/>
  <c r="T56" i="51"/>
  <c r="R77" i="51"/>
  <c r="R71" i="51" s="1"/>
  <c r="R70" i="51" s="1"/>
  <c r="K95" i="51"/>
  <c r="W97" i="51"/>
  <c r="W100" i="51"/>
  <c r="K115" i="51"/>
  <c r="W117" i="51"/>
  <c r="W92" i="51" s="1"/>
  <c r="T92" i="51"/>
  <c r="T119" i="51"/>
  <c r="G121" i="51"/>
  <c r="C120" i="51"/>
  <c r="C119" i="51" s="1"/>
  <c r="L77" i="51"/>
  <c r="L71" i="51" s="1"/>
  <c r="L70" i="51" s="1"/>
  <c r="T83" i="51"/>
  <c r="L92" i="51"/>
  <c r="K76" i="51"/>
  <c r="R92" i="51"/>
  <c r="H92" i="51"/>
  <c r="H71" i="51" s="1"/>
  <c r="H70" i="51" s="1"/>
  <c r="I98" i="51"/>
  <c r="T100" i="51"/>
  <c r="I101" i="51"/>
  <c r="I118" i="51"/>
  <c r="W71" i="51" l="1"/>
  <c r="W70" i="51" s="1"/>
  <c r="W22" i="51"/>
  <c r="J9" i="51"/>
  <c r="J128" i="51" s="1"/>
  <c r="I11" i="51"/>
  <c r="I10" i="51" s="1"/>
  <c r="K11" i="51"/>
  <c r="K10" i="51" s="1"/>
  <c r="T33" i="51"/>
  <c r="T9" i="51"/>
  <c r="T22" i="51"/>
  <c r="H128" i="51"/>
  <c r="W9" i="51"/>
  <c r="W128" i="51" s="1"/>
  <c r="T128" i="51"/>
  <c r="I117" i="51"/>
  <c r="K118" i="51"/>
  <c r="I121" i="51"/>
  <c r="G120" i="51"/>
  <c r="G119" i="51" s="1"/>
  <c r="G71" i="51" s="1"/>
  <c r="G70" i="51" s="1"/>
  <c r="M43" i="51"/>
  <c r="M42" i="51" s="1"/>
  <c r="M41" i="51" s="1"/>
  <c r="K42" i="51"/>
  <c r="K41" i="51" s="1"/>
  <c r="T71" i="51"/>
  <c r="T70" i="51" s="1"/>
  <c r="G55" i="51"/>
  <c r="I56" i="51"/>
  <c r="K56" i="51" s="1"/>
  <c r="M56" i="51" s="1"/>
  <c r="R128" i="51"/>
  <c r="M76" i="51"/>
  <c r="M75" i="51" s="1"/>
  <c r="K75" i="51"/>
  <c r="I34" i="51"/>
  <c r="I33" i="51" s="1"/>
  <c r="K51" i="51"/>
  <c r="K50" i="51" s="1"/>
  <c r="M53" i="51"/>
  <c r="K52" i="51"/>
  <c r="K26" i="51"/>
  <c r="M27" i="51"/>
  <c r="M26" i="51" s="1"/>
  <c r="K83" i="51"/>
  <c r="K82" i="51" s="1"/>
  <c r="K77" i="51" s="1"/>
  <c r="M84" i="51"/>
  <c r="M83" i="51" s="1"/>
  <c r="M82" i="51" s="1"/>
  <c r="M77" i="51" s="1"/>
  <c r="K25" i="51"/>
  <c r="I23" i="51"/>
  <c r="I22" i="51" s="1"/>
  <c r="I97" i="51"/>
  <c r="K98" i="51"/>
  <c r="W34" i="51"/>
  <c r="W33" i="51" s="1"/>
  <c r="U33" i="51"/>
  <c r="U9" i="51" s="1"/>
  <c r="U128" i="51" s="1"/>
  <c r="M62" i="51"/>
  <c r="M61" i="51" s="1"/>
  <c r="K61" i="51"/>
  <c r="M46" i="51"/>
  <c r="M45" i="51" s="1"/>
  <c r="M44" i="51" s="1"/>
  <c r="K45" i="51"/>
  <c r="K44" i="51" s="1"/>
  <c r="G34" i="51"/>
  <c r="G33" i="51" s="1"/>
  <c r="M11" i="51"/>
  <c r="M10" i="51" s="1"/>
  <c r="L128" i="51"/>
  <c r="K17" i="51"/>
  <c r="K16" i="51" s="1"/>
  <c r="K39" i="51"/>
  <c r="K34" i="51" s="1"/>
  <c r="K33" i="51" s="1"/>
  <c r="M40" i="51"/>
  <c r="M39" i="51" s="1"/>
  <c r="M34" i="51" s="1"/>
  <c r="M33" i="51" s="1"/>
  <c r="K73" i="51"/>
  <c r="M74" i="51"/>
  <c r="M73" i="51" s="1"/>
  <c r="M72" i="51" s="1"/>
  <c r="K65" i="51"/>
  <c r="I64" i="51"/>
  <c r="I60" i="51" s="1"/>
  <c r="I4" i="51"/>
  <c r="K69" i="51"/>
  <c r="I68" i="51"/>
  <c r="I100" i="51"/>
  <c r="I99" i="51" s="1"/>
  <c r="K101" i="51"/>
  <c r="M65" i="51" l="1"/>
  <c r="M64" i="51" s="1"/>
  <c r="K64" i="51"/>
  <c r="K60" i="51" s="1"/>
  <c r="M98" i="51"/>
  <c r="M97" i="51" s="1"/>
  <c r="K97" i="51"/>
  <c r="M25" i="51"/>
  <c r="M23" i="51" s="1"/>
  <c r="M22" i="51" s="1"/>
  <c r="K23" i="51"/>
  <c r="K22" i="51" s="1"/>
  <c r="M4" i="51"/>
  <c r="I92" i="51"/>
  <c r="I55" i="51"/>
  <c r="G54" i="51"/>
  <c r="G9" i="51" s="1"/>
  <c r="G128" i="51" s="1"/>
  <c r="M101" i="51"/>
  <c r="M100" i="51" s="1"/>
  <c r="M99" i="51" s="1"/>
  <c r="K100" i="51"/>
  <c r="K99" i="51" s="1"/>
  <c r="M69" i="51"/>
  <c r="M68" i="51" s="1"/>
  <c r="K68" i="51"/>
  <c r="K72" i="51"/>
  <c r="M52" i="51"/>
  <c r="M51" i="51"/>
  <c r="M50" i="51" s="1"/>
  <c r="I120" i="51"/>
  <c r="I119" i="51" s="1"/>
  <c r="K121" i="51"/>
  <c r="M118" i="51"/>
  <c r="M117" i="51" s="1"/>
  <c r="K117" i="51"/>
  <c r="M60" i="51" l="1"/>
  <c r="G5" i="51"/>
  <c r="I71" i="51"/>
  <c r="I70" i="51" s="1"/>
  <c r="K92" i="51"/>
  <c r="K71" i="51" s="1"/>
  <c r="K70" i="51" s="1"/>
  <c r="M92" i="51"/>
  <c r="M71" i="51" s="1"/>
  <c r="M70" i="51" s="1"/>
  <c r="K4" i="51"/>
  <c r="M121" i="51"/>
  <c r="M120" i="51" s="1"/>
  <c r="M119" i="51" s="1"/>
  <c r="K120" i="51"/>
  <c r="K119" i="51" s="1"/>
  <c r="K55" i="51"/>
  <c r="I54" i="51"/>
  <c r="I5" i="51" l="1"/>
  <c r="I9" i="51"/>
  <c r="I128" i="51" s="1"/>
  <c r="K54" i="51"/>
  <c r="M55" i="51"/>
  <c r="M54" i="51" s="1"/>
  <c r="K5" i="51" l="1"/>
  <c r="K9" i="51"/>
  <c r="K128" i="51" s="1"/>
  <c r="M9" i="51"/>
  <c r="M128" i="51" s="1"/>
  <c r="L10" i="25" s="1"/>
  <c r="M5" i="51"/>
  <c r="Q14" i="15" l="1"/>
  <c r="S14" i="15" s="1"/>
  <c r="S18" i="15"/>
  <c r="Q131" i="15" l="1"/>
  <c r="Q337" i="15" l="1"/>
  <c r="R80" i="16" l="1"/>
  <c r="R79" i="16" s="1"/>
  <c r="R78" i="16" s="1"/>
  <c r="Q80" i="16"/>
  <c r="S80" i="16" l="1"/>
  <c r="S79" i="16" s="1"/>
  <c r="S78" i="16" s="1"/>
  <c r="Q79" i="16"/>
  <c r="Q78" i="16" s="1"/>
  <c r="C14" i="49" l="1"/>
  <c r="S337" i="15" l="1"/>
  <c r="D15" i="44"/>
  <c r="E15" i="44"/>
  <c r="E12" i="44"/>
  <c r="D16" i="43"/>
  <c r="E16" i="43"/>
  <c r="E12" i="43"/>
  <c r="E13" i="43"/>
  <c r="E14" i="43"/>
  <c r="E15" i="43"/>
  <c r="E11" i="43"/>
  <c r="Q128" i="15"/>
  <c r="S128" i="15" s="1"/>
  <c r="S131" i="15"/>
  <c r="T36" i="15" l="1"/>
  <c r="R36" i="15"/>
  <c r="T32" i="15"/>
  <c r="R32" i="15"/>
  <c r="T8" i="15"/>
  <c r="R8" i="15"/>
  <c r="R7" i="15" l="1"/>
  <c r="T7" i="15"/>
  <c r="S329" i="15"/>
  <c r="T329" i="15"/>
  <c r="R329" i="15"/>
  <c r="S324" i="15"/>
  <c r="T324" i="15"/>
  <c r="R324" i="15"/>
  <c r="R304" i="15"/>
  <c r="S281" i="15"/>
  <c r="T281" i="15"/>
  <c r="R281" i="15"/>
  <c r="S277" i="15"/>
  <c r="T277" i="15"/>
  <c r="R277" i="15"/>
  <c r="S211" i="15"/>
  <c r="T211" i="15"/>
  <c r="S227" i="15"/>
  <c r="T227" i="15"/>
  <c r="S256" i="15"/>
  <c r="T256" i="15"/>
  <c r="R256" i="15"/>
  <c r="R227" i="15"/>
  <c r="R211" i="15"/>
  <c r="S176" i="15"/>
  <c r="T176" i="15"/>
  <c r="R176" i="15"/>
  <c r="S145" i="15"/>
  <c r="T145" i="15"/>
  <c r="R145" i="15"/>
  <c r="S111" i="15"/>
  <c r="T111" i="15"/>
  <c r="R111" i="15"/>
  <c r="S78" i="15"/>
  <c r="T78" i="15"/>
  <c r="R78" i="15"/>
  <c r="S58" i="15"/>
  <c r="S52" i="15"/>
  <c r="S50" i="15"/>
  <c r="S35" i="15"/>
  <c r="S32" i="15" s="1"/>
  <c r="S16" i="15"/>
  <c r="S8" i="15" s="1"/>
  <c r="R210" i="15" l="1"/>
  <c r="R209" i="15" s="1"/>
  <c r="S210" i="15"/>
  <c r="R276" i="15"/>
  <c r="T304" i="15"/>
  <c r="S304" i="15"/>
  <c r="T276" i="15"/>
  <c r="S276" i="15"/>
  <c r="S209" i="15" s="1"/>
  <c r="T210" i="15"/>
  <c r="R6" i="15"/>
  <c r="T6" i="15"/>
  <c r="R393" i="15" l="1"/>
  <c r="T209" i="15"/>
  <c r="T393" i="15" s="1"/>
  <c r="Q130" i="15"/>
  <c r="Q129" i="15" s="1"/>
  <c r="P131" i="15"/>
  <c r="U131" i="15" s="1"/>
  <c r="U130" i="15" s="1"/>
  <c r="U129" i="15" s="1"/>
  <c r="P130" i="15" l="1"/>
  <c r="P129" i="15" s="1"/>
  <c r="L356" i="16" l="1"/>
  <c r="M356" i="16"/>
  <c r="N356" i="16"/>
  <c r="K356" i="16"/>
  <c r="R177" i="16"/>
  <c r="R176" i="16" s="1"/>
  <c r="R175" i="16" s="1"/>
  <c r="R384" i="16" s="1"/>
  <c r="Q177" i="16"/>
  <c r="L187" i="15"/>
  <c r="N187" i="15" s="1"/>
  <c r="N186" i="15" s="1"/>
  <c r="N185" i="15" s="1"/>
  <c r="Q186" i="15"/>
  <c r="Q185" i="15" s="1"/>
  <c r="O186" i="15"/>
  <c r="O185" i="15" s="1"/>
  <c r="M186" i="15"/>
  <c r="M185" i="15" s="1"/>
  <c r="K186" i="15"/>
  <c r="K185" i="15" s="1"/>
  <c r="J186" i="15"/>
  <c r="J185" i="15" s="1"/>
  <c r="L186" i="15" l="1"/>
  <c r="L185" i="15" s="1"/>
  <c r="S177" i="16"/>
  <c r="S176" i="16" s="1"/>
  <c r="S175" i="16" s="1"/>
  <c r="S384" i="16" s="1"/>
  <c r="Q176" i="16"/>
  <c r="Q175" i="16" s="1"/>
  <c r="Q384" i="16" s="1"/>
  <c r="R430" i="16"/>
  <c r="U187" i="15" l="1"/>
  <c r="U186" i="15" s="1"/>
  <c r="U185" i="15" s="1"/>
  <c r="P186" i="15"/>
  <c r="P185" i="15" s="1"/>
  <c r="R249" i="16"/>
  <c r="R300" i="16"/>
  <c r="Q300" i="16"/>
  <c r="Q299" i="16" s="1"/>
  <c r="Q298" i="16" s="1"/>
  <c r="Q420" i="16" s="1"/>
  <c r="R209" i="16"/>
  <c r="S209" i="16" s="1"/>
  <c r="R252" i="16"/>
  <c r="R146" i="16"/>
  <c r="R145" i="16" s="1"/>
  <c r="Q146" i="16"/>
  <c r="Q145" i="16"/>
  <c r="Q144" i="16"/>
  <c r="Q413" i="16" s="1"/>
  <c r="R131" i="16"/>
  <c r="S131" i="16" s="1"/>
  <c r="R83" i="16"/>
  <c r="R82" i="16" s="1"/>
  <c r="R81" i="16" s="1"/>
  <c r="R411" i="16" s="1"/>
  <c r="Q83" i="16"/>
  <c r="R102" i="16"/>
  <c r="R101" i="16" s="1"/>
  <c r="R100" i="16" s="1"/>
  <c r="R418" i="16" s="1"/>
  <c r="Q102" i="16"/>
  <c r="Q233" i="15"/>
  <c r="Q214" i="15"/>
  <c r="U269" i="15"/>
  <c r="Q267" i="15"/>
  <c r="P275" i="15"/>
  <c r="U275" i="15" s="1"/>
  <c r="U274" i="15" s="1"/>
  <c r="U273" i="15" s="1"/>
  <c r="Q274" i="15"/>
  <c r="Q273" i="15" s="1"/>
  <c r="P223" i="15"/>
  <c r="U223" i="15" s="1"/>
  <c r="Q222" i="15"/>
  <c r="Q221" i="15" s="1"/>
  <c r="S300" i="16" l="1"/>
  <c r="S299" i="16" s="1"/>
  <c r="S298" i="16" s="1"/>
  <c r="S420" i="16" s="1"/>
  <c r="P222" i="15"/>
  <c r="P221" i="15" s="1"/>
  <c r="R299" i="16"/>
  <c r="R298" i="16" s="1"/>
  <c r="R420" i="16" s="1"/>
  <c r="S83" i="16"/>
  <c r="S82" i="16" s="1"/>
  <c r="S81" i="16" s="1"/>
  <c r="S411" i="16" s="1"/>
  <c r="S146" i="16"/>
  <c r="R144" i="16"/>
  <c r="R413" i="16" s="1"/>
  <c r="S145" i="16"/>
  <c r="S102" i="16"/>
  <c r="S101" i="16" s="1"/>
  <c r="S100" i="16" s="1"/>
  <c r="S418" i="16" s="1"/>
  <c r="Q82" i="16"/>
  <c r="Q81" i="16" s="1"/>
  <c r="Q411" i="16" s="1"/>
  <c r="Q101" i="16"/>
  <c r="Q100" i="16" s="1"/>
  <c r="Q418" i="16" s="1"/>
  <c r="P274" i="15"/>
  <c r="P273" i="15" s="1"/>
  <c r="U222" i="15"/>
  <c r="U221" i="15"/>
  <c r="Q158" i="15"/>
  <c r="Q154" i="15"/>
  <c r="Q162" i="15"/>
  <c r="Q157" i="15"/>
  <c r="U159" i="15"/>
  <c r="Q55" i="15"/>
  <c r="S55" i="15" s="1"/>
  <c r="S36" i="15" s="1"/>
  <c r="S7" i="15" s="1"/>
  <c r="S6" i="15" s="1"/>
  <c r="S393" i="15" s="1"/>
  <c r="U171" i="15"/>
  <c r="U170" i="15" s="1"/>
  <c r="U169" i="15" s="1"/>
  <c r="Q170" i="15"/>
  <c r="Q169" i="15" s="1"/>
  <c r="P170" i="15"/>
  <c r="P169" i="15" s="1"/>
  <c r="S144" i="16" l="1"/>
  <c r="S413" i="16" s="1"/>
  <c r="Q101" i="15" l="1"/>
  <c r="U98" i="15"/>
  <c r="Q93" i="16" l="1"/>
  <c r="R94" i="16"/>
  <c r="R93" i="16" s="1"/>
  <c r="P61" i="15"/>
  <c r="U61" i="15" s="1"/>
  <c r="U60" i="15" s="1"/>
  <c r="Q60" i="15"/>
  <c r="T264" i="16"/>
  <c r="T322" i="16"/>
  <c r="T324" i="16"/>
  <c r="K13" i="15"/>
  <c r="M13" i="15"/>
  <c r="O13" i="15"/>
  <c r="Q13" i="15"/>
  <c r="K15" i="15"/>
  <c r="M15" i="15"/>
  <c r="O15" i="15"/>
  <c r="Q15" i="15"/>
  <c r="K17" i="15"/>
  <c r="M17" i="15"/>
  <c r="O17" i="15"/>
  <c r="Q17" i="15"/>
  <c r="K22" i="15"/>
  <c r="K21" i="15" s="1"/>
  <c r="M22" i="15"/>
  <c r="M21" i="15" s="1"/>
  <c r="O22" i="15"/>
  <c r="O21" i="15" s="1"/>
  <c r="Q22" i="15"/>
  <c r="Q21" i="15" s="1"/>
  <c r="J34" i="15"/>
  <c r="J33" i="15" s="1"/>
  <c r="J32" i="15" s="1"/>
  <c r="K34" i="15"/>
  <c r="K33" i="15" s="1"/>
  <c r="K32" i="15" s="1"/>
  <c r="M34" i="15"/>
  <c r="M33" i="15" s="1"/>
  <c r="M32" i="15" s="1"/>
  <c r="O34" i="15"/>
  <c r="O33" i="15" s="1"/>
  <c r="O32" i="15" s="1"/>
  <c r="Q34" i="15"/>
  <c r="Q33" i="15" s="1"/>
  <c r="Q32" i="15" s="1"/>
  <c r="J38" i="15"/>
  <c r="K38" i="15"/>
  <c r="M38" i="15"/>
  <c r="O38" i="15"/>
  <c r="Q38" i="15"/>
  <c r="K40" i="15"/>
  <c r="O40" i="15"/>
  <c r="Q40" i="15"/>
  <c r="J43" i="15"/>
  <c r="J42" i="15" s="1"/>
  <c r="K43" i="15"/>
  <c r="K42" i="15" s="1"/>
  <c r="M43" i="15"/>
  <c r="M42" i="15" s="1"/>
  <c r="O43" i="15"/>
  <c r="O42" i="15" s="1"/>
  <c r="Q43" i="15"/>
  <c r="Q42" i="15" s="1"/>
  <c r="J46" i="15"/>
  <c r="J45" i="15" s="1"/>
  <c r="K46" i="15"/>
  <c r="K45" i="15" s="1"/>
  <c r="M46" i="15"/>
  <c r="M45" i="15" s="1"/>
  <c r="O46" i="15"/>
  <c r="O45" i="15" s="1"/>
  <c r="Q46" i="15"/>
  <c r="Q45" i="15" s="1"/>
  <c r="J49" i="15"/>
  <c r="K49" i="15"/>
  <c r="M49" i="15"/>
  <c r="O49" i="15"/>
  <c r="Q49" i="15"/>
  <c r="J51" i="15"/>
  <c r="M51" i="15"/>
  <c r="O51" i="15"/>
  <c r="Q51" i="15"/>
  <c r="J54" i="15"/>
  <c r="J53" i="15" s="1"/>
  <c r="K54" i="15"/>
  <c r="K53" i="15" s="1"/>
  <c r="M54" i="15"/>
  <c r="M53" i="15" s="1"/>
  <c r="O54" i="15"/>
  <c r="O53" i="15" s="1"/>
  <c r="Q54" i="15"/>
  <c r="Q53" i="15" s="1"/>
  <c r="J57" i="15"/>
  <c r="J56" i="15" s="1"/>
  <c r="K57" i="15"/>
  <c r="K56" i="15" s="1"/>
  <c r="M57" i="15"/>
  <c r="M56" i="15" s="1"/>
  <c r="O57" i="15"/>
  <c r="O56" i="15" s="1"/>
  <c r="Q57" i="15"/>
  <c r="Q56" i="15" s="1"/>
  <c r="J67" i="15"/>
  <c r="J66" i="15" s="1"/>
  <c r="J65" i="15" s="1"/>
  <c r="K67" i="15"/>
  <c r="K66" i="15" s="1"/>
  <c r="K65" i="15" s="1"/>
  <c r="M67" i="15"/>
  <c r="M66" i="15" s="1"/>
  <c r="M65" i="15" s="1"/>
  <c r="O67" i="15"/>
  <c r="O66" i="15" s="1"/>
  <c r="O65" i="15" s="1"/>
  <c r="Q67" i="15"/>
  <c r="Q66" i="15" s="1"/>
  <c r="Q65" i="15" s="1"/>
  <c r="J69" i="15"/>
  <c r="K69" i="15"/>
  <c r="M69" i="15"/>
  <c r="O69" i="15"/>
  <c r="Q69" i="15"/>
  <c r="J74" i="15"/>
  <c r="K74" i="15"/>
  <c r="M74" i="15"/>
  <c r="O74" i="15"/>
  <c r="Q74" i="15"/>
  <c r="J76" i="15"/>
  <c r="K76" i="15"/>
  <c r="M76" i="15"/>
  <c r="O76" i="15"/>
  <c r="Q76" i="15"/>
  <c r="J81" i="15"/>
  <c r="J80" i="15" s="1"/>
  <c r="K81" i="15"/>
  <c r="K80" i="15" s="1"/>
  <c r="L81" i="15"/>
  <c r="L80" i="15" s="1"/>
  <c r="M81" i="15"/>
  <c r="M80" i="15" s="1"/>
  <c r="O81" i="15"/>
  <c r="O80" i="15" s="1"/>
  <c r="Q81" i="15"/>
  <c r="Q80" i="15" s="1"/>
  <c r="J84" i="15"/>
  <c r="J83" i="15" s="1"/>
  <c r="K84" i="15"/>
  <c r="K83" i="15" s="1"/>
  <c r="M84" i="15"/>
  <c r="M83" i="15" s="1"/>
  <c r="O84" i="15"/>
  <c r="O83" i="15" s="1"/>
  <c r="Q84" i="15"/>
  <c r="Q83" i="15" s="1"/>
  <c r="J87" i="15"/>
  <c r="J86" i="15" s="1"/>
  <c r="K87" i="15"/>
  <c r="K86" i="15" s="1"/>
  <c r="M87" i="15"/>
  <c r="M86" i="15" s="1"/>
  <c r="O87" i="15"/>
  <c r="O86" i="15" s="1"/>
  <c r="Q87" i="15"/>
  <c r="Q86" i="15" s="1"/>
  <c r="J100" i="15"/>
  <c r="J99" i="15" s="1"/>
  <c r="K100" i="15"/>
  <c r="K99" i="15" s="1"/>
  <c r="M100" i="15"/>
  <c r="M99" i="15" s="1"/>
  <c r="O100" i="15"/>
  <c r="O99" i="15" s="1"/>
  <c r="J104" i="15"/>
  <c r="K104" i="15"/>
  <c r="M104" i="15"/>
  <c r="O104" i="15"/>
  <c r="Q104" i="15"/>
  <c r="J106" i="15"/>
  <c r="K106" i="15"/>
  <c r="M106" i="15"/>
  <c r="O106" i="15"/>
  <c r="Q106" i="15"/>
  <c r="J109" i="15"/>
  <c r="J108" i="15" s="1"/>
  <c r="K109" i="15"/>
  <c r="K108" i="15" s="1"/>
  <c r="M109" i="15"/>
  <c r="M108" i="15" s="1"/>
  <c r="O109" i="15"/>
  <c r="O108" i="15" s="1"/>
  <c r="Q109" i="15"/>
  <c r="Q108" i="15" s="1"/>
  <c r="K114" i="15"/>
  <c r="K113" i="15" s="1"/>
  <c r="K112" i="15" s="1"/>
  <c r="M114" i="15"/>
  <c r="M113" i="15" s="1"/>
  <c r="M112" i="15" s="1"/>
  <c r="O114" i="15"/>
  <c r="O113" i="15" s="1"/>
  <c r="O112" i="15" s="1"/>
  <c r="Q114" i="15"/>
  <c r="Q113" i="15" s="1"/>
  <c r="Q112" i="15" s="1"/>
  <c r="J118" i="15"/>
  <c r="J117" i="15" s="1"/>
  <c r="K118" i="15"/>
  <c r="K117" i="15" s="1"/>
  <c r="M118" i="15"/>
  <c r="M117" i="15" s="1"/>
  <c r="O118" i="15"/>
  <c r="O117" i="15" s="1"/>
  <c r="Q118" i="15"/>
  <c r="Q117" i="15" s="1"/>
  <c r="J121" i="15"/>
  <c r="J120" i="15" s="1"/>
  <c r="K121" i="15"/>
  <c r="K120" i="15" s="1"/>
  <c r="M121" i="15"/>
  <c r="M120" i="15" s="1"/>
  <c r="O121" i="15"/>
  <c r="O120" i="15" s="1"/>
  <c r="Q121" i="15"/>
  <c r="Q120" i="15" s="1"/>
  <c r="J124" i="15"/>
  <c r="J123" i="15" s="1"/>
  <c r="K124" i="15"/>
  <c r="K123" i="15" s="1"/>
  <c r="M124" i="15"/>
  <c r="M123" i="15" s="1"/>
  <c r="O124" i="15"/>
  <c r="O123" i="15" s="1"/>
  <c r="Q124" i="15"/>
  <c r="Q123" i="15" s="1"/>
  <c r="J127" i="15"/>
  <c r="J126" i="15" s="1"/>
  <c r="K127" i="15"/>
  <c r="K126" i="15" s="1"/>
  <c r="M127" i="15"/>
  <c r="M126" i="15" s="1"/>
  <c r="O127" i="15"/>
  <c r="O126" i="15" s="1"/>
  <c r="Q127" i="15"/>
  <c r="Q126" i="15" s="1"/>
  <c r="J133" i="15"/>
  <c r="K133" i="15"/>
  <c r="L133" i="15"/>
  <c r="M133" i="15"/>
  <c r="N133" i="15"/>
  <c r="O133" i="15"/>
  <c r="P133" i="15"/>
  <c r="Q133" i="15"/>
  <c r="J138" i="15"/>
  <c r="K138" i="15"/>
  <c r="M138" i="15"/>
  <c r="O138" i="15"/>
  <c r="Q138" i="15"/>
  <c r="K148" i="15"/>
  <c r="K147" i="15" s="1"/>
  <c r="M148" i="15"/>
  <c r="M147" i="15" s="1"/>
  <c r="O148" i="15"/>
  <c r="O147" i="15" s="1"/>
  <c r="Q148" i="15"/>
  <c r="Q147" i="15" s="1"/>
  <c r="K151" i="15"/>
  <c r="K150" i="15" s="1"/>
  <c r="M151" i="15"/>
  <c r="M150" i="15" s="1"/>
  <c r="O151" i="15"/>
  <c r="O150" i="15" s="1"/>
  <c r="Q151" i="15"/>
  <c r="Q150" i="15" s="1"/>
  <c r="K154" i="15"/>
  <c r="K153" i="15" s="1"/>
  <c r="M154" i="15"/>
  <c r="M153" i="15" s="1"/>
  <c r="Q153" i="15"/>
  <c r="K157" i="15"/>
  <c r="K156" i="15" s="1"/>
  <c r="M157" i="15"/>
  <c r="M156" i="15" s="1"/>
  <c r="O157" i="15"/>
  <c r="O156" i="15" s="1"/>
  <c r="Q156" i="15"/>
  <c r="J161" i="15"/>
  <c r="J160" i="15" s="1"/>
  <c r="K161" i="15"/>
  <c r="K160" i="15" s="1"/>
  <c r="M161" i="15"/>
  <c r="M160" i="15" s="1"/>
  <c r="O161" i="15"/>
  <c r="O160" i="15" s="1"/>
  <c r="Q161" i="15"/>
  <c r="Q160" i="15" s="1"/>
  <c r="J164" i="15"/>
  <c r="J163" i="15" s="1"/>
  <c r="K164" i="15"/>
  <c r="K163" i="15" s="1"/>
  <c r="M164" i="15"/>
  <c r="M163" i="15" s="1"/>
  <c r="O164" i="15"/>
  <c r="O163" i="15" s="1"/>
  <c r="Q164" i="15"/>
  <c r="Q163" i="15" s="1"/>
  <c r="J167" i="15"/>
  <c r="J166" i="15" s="1"/>
  <c r="M167" i="15"/>
  <c r="M166" i="15" s="1"/>
  <c r="O167" i="15"/>
  <c r="O166" i="15" s="1"/>
  <c r="Q167" i="15"/>
  <c r="Q166" i="15" s="1"/>
  <c r="J174" i="15"/>
  <c r="J173" i="15" s="1"/>
  <c r="K174" i="15"/>
  <c r="K173" i="15" s="1"/>
  <c r="M174" i="15"/>
  <c r="M173" i="15" s="1"/>
  <c r="O174" i="15"/>
  <c r="O173" i="15" s="1"/>
  <c r="Q174" i="15"/>
  <c r="Q173" i="15" s="1"/>
  <c r="J179" i="15"/>
  <c r="J178" i="15" s="1"/>
  <c r="K179" i="15"/>
  <c r="K178" i="15" s="1"/>
  <c r="M179" i="15"/>
  <c r="M178" i="15" s="1"/>
  <c r="O179" i="15"/>
  <c r="O178" i="15" s="1"/>
  <c r="Q179" i="15"/>
  <c r="Q178" i="15" s="1"/>
  <c r="J183" i="15"/>
  <c r="J182" i="15" s="1"/>
  <c r="K183" i="15"/>
  <c r="K182" i="15" s="1"/>
  <c r="L183" i="15"/>
  <c r="L182" i="15" s="1"/>
  <c r="M183" i="15"/>
  <c r="M182" i="15" s="1"/>
  <c r="N183" i="15"/>
  <c r="N182" i="15" s="1"/>
  <c r="O183" i="15"/>
  <c r="O182" i="15" s="1"/>
  <c r="Q183" i="15"/>
  <c r="Q182" i="15" s="1"/>
  <c r="J189" i="15"/>
  <c r="J188" i="15" s="1"/>
  <c r="K189" i="15"/>
  <c r="K188" i="15" s="1"/>
  <c r="M189" i="15"/>
  <c r="M188" i="15" s="1"/>
  <c r="O189" i="15"/>
  <c r="O188" i="15" s="1"/>
  <c r="Q189" i="15"/>
  <c r="Q188" i="15" s="1"/>
  <c r="J193" i="15"/>
  <c r="J192" i="15" s="1"/>
  <c r="K193" i="15"/>
  <c r="K192" i="15" s="1"/>
  <c r="M193" i="15"/>
  <c r="M192" i="15" s="1"/>
  <c r="O193" i="15"/>
  <c r="O192" i="15" s="1"/>
  <c r="Q193" i="15"/>
  <c r="Q192" i="15" s="1"/>
  <c r="J197" i="15"/>
  <c r="K197" i="15"/>
  <c r="M197" i="15"/>
  <c r="O197" i="15"/>
  <c r="Q197" i="15"/>
  <c r="J204" i="15"/>
  <c r="J203" i="15" s="1"/>
  <c r="K204" i="15"/>
  <c r="K203" i="15" s="1"/>
  <c r="M204" i="15"/>
  <c r="M203" i="15" s="1"/>
  <c r="O204" i="15"/>
  <c r="O203" i="15" s="1"/>
  <c r="Q204" i="15"/>
  <c r="Q203" i="15" s="1"/>
  <c r="J207" i="15"/>
  <c r="J206" i="15" s="1"/>
  <c r="K207" i="15"/>
  <c r="K206" i="15" s="1"/>
  <c r="M207" i="15"/>
  <c r="M206" i="15" s="1"/>
  <c r="O207" i="15"/>
  <c r="O206" i="15" s="1"/>
  <c r="Q207" i="15"/>
  <c r="Q206" i="15" s="1"/>
  <c r="K213" i="15"/>
  <c r="K212" i="15" s="1"/>
  <c r="M213" i="15"/>
  <c r="M212" i="15" s="1"/>
  <c r="O213" i="15"/>
  <c r="O212" i="15" s="1"/>
  <c r="Q213" i="15"/>
  <c r="Q212" i="15" s="1"/>
  <c r="K216" i="15"/>
  <c r="K215" i="15" s="1"/>
  <c r="M216" i="15"/>
  <c r="M215" i="15" s="1"/>
  <c r="O216" i="15"/>
  <c r="O215" i="15" s="1"/>
  <c r="Q216" i="15"/>
  <c r="Q215" i="15" s="1"/>
  <c r="J219" i="15"/>
  <c r="J218" i="15" s="1"/>
  <c r="K219" i="15"/>
  <c r="K218" i="15" s="1"/>
  <c r="M219" i="15"/>
  <c r="M218" i="15" s="1"/>
  <c r="O219" i="15"/>
  <c r="O218" i="15" s="1"/>
  <c r="Q219" i="15"/>
  <c r="Q218" i="15" s="1"/>
  <c r="J225" i="15"/>
  <c r="J224" i="15" s="1"/>
  <c r="K225" i="15"/>
  <c r="K224" i="15" s="1"/>
  <c r="M225" i="15"/>
  <c r="M224" i="15" s="1"/>
  <c r="O225" i="15"/>
  <c r="O224" i="15" s="1"/>
  <c r="Q225" i="15"/>
  <c r="Q224" i="15" s="1"/>
  <c r="J229" i="15"/>
  <c r="J228" i="15" s="1"/>
  <c r="K229" i="15"/>
  <c r="K228" i="15" s="1"/>
  <c r="M229" i="15"/>
  <c r="M228" i="15" s="1"/>
  <c r="O229" i="15"/>
  <c r="O228" i="15" s="1"/>
  <c r="Q229" i="15"/>
  <c r="Q228" i="15" s="1"/>
  <c r="J232" i="15"/>
  <c r="J231" i="15" s="1"/>
  <c r="K232" i="15"/>
  <c r="K231" i="15" s="1"/>
  <c r="M232" i="15"/>
  <c r="M231" i="15" s="1"/>
  <c r="O232" i="15"/>
  <c r="O231" i="15" s="1"/>
  <c r="Q232" i="15"/>
  <c r="Q231" i="15" s="1"/>
  <c r="J235" i="15"/>
  <c r="J234" i="15" s="1"/>
  <c r="K235" i="15"/>
  <c r="K234" i="15" s="1"/>
  <c r="M235" i="15"/>
  <c r="M234" i="15" s="1"/>
  <c r="O235" i="15"/>
  <c r="O234" i="15" s="1"/>
  <c r="Q235" i="15"/>
  <c r="Q234" i="15" s="1"/>
  <c r="J238" i="15"/>
  <c r="J237" i="15" s="1"/>
  <c r="K238" i="15"/>
  <c r="K237" i="15" s="1"/>
  <c r="M238" i="15"/>
  <c r="M237" i="15" s="1"/>
  <c r="O238" i="15"/>
  <c r="O237" i="15" s="1"/>
  <c r="Q238" i="15"/>
  <c r="Q237" i="15" s="1"/>
  <c r="J241" i="15"/>
  <c r="J240" i="15" s="1"/>
  <c r="K241" i="15"/>
  <c r="K240" i="15" s="1"/>
  <c r="M241" i="15"/>
  <c r="M240" i="15" s="1"/>
  <c r="O241" i="15"/>
  <c r="O240" i="15" s="1"/>
  <c r="Q241" i="15"/>
  <c r="Q240" i="15" s="1"/>
  <c r="J244" i="15"/>
  <c r="J243" i="15" s="1"/>
  <c r="K244" i="15"/>
  <c r="K243" i="15" s="1"/>
  <c r="L244" i="15"/>
  <c r="L243" i="15" s="1"/>
  <c r="M244" i="15"/>
  <c r="M243" i="15" s="1"/>
  <c r="N244" i="15"/>
  <c r="N243" i="15" s="1"/>
  <c r="O244" i="15"/>
  <c r="O243" i="15" s="1"/>
  <c r="Q244" i="15"/>
  <c r="Q243" i="15" s="1"/>
  <c r="M247" i="15"/>
  <c r="M246" i="15" s="1"/>
  <c r="O247" i="15"/>
  <c r="O246" i="15" s="1"/>
  <c r="Q247" i="15"/>
  <c r="Q246" i="15" s="1"/>
  <c r="J250" i="15"/>
  <c r="J249" i="15" s="1"/>
  <c r="K250" i="15"/>
  <c r="K249" i="15" s="1"/>
  <c r="M250" i="15"/>
  <c r="M249" i="15" s="1"/>
  <c r="O250" i="15"/>
  <c r="O249" i="15" s="1"/>
  <c r="Q250" i="15"/>
  <c r="Q249" i="15" s="1"/>
  <c r="J254" i="15"/>
  <c r="J253" i="15" s="1"/>
  <c r="K254" i="15"/>
  <c r="K253" i="15" s="1"/>
  <c r="M254" i="15"/>
  <c r="M253" i="15" s="1"/>
  <c r="O254" i="15"/>
  <c r="O253" i="15" s="1"/>
  <c r="Q254" i="15"/>
  <c r="Q253" i="15" s="1"/>
  <c r="K258" i="15"/>
  <c r="K257" i="15" s="1"/>
  <c r="M258" i="15"/>
  <c r="M257" i="15" s="1"/>
  <c r="O258" i="15"/>
  <c r="O257" i="15" s="1"/>
  <c r="Q258" i="15"/>
  <c r="Q257" i="15" s="1"/>
  <c r="K261" i="15"/>
  <c r="M261" i="15"/>
  <c r="O261" i="15"/>
  <c r="Q261" i="15"/>
  <c r="K263" i="15"/>
  <c r="O263" i="15"/>
  <c r="Q263" i="15"/>
  <c r="J265" i="15"/>
  <c r="K265" i="15"/>
  <c r="M265" i="15"/>
  <c r="O265" i="15"/>
  <c r="Q265" i="15"/>
  <c r="J267" i="15"/>
  <c r="K267" i="15"/>
  <c r="M267" i="15"/>
  <c r="O267" i="15"/>
  <c r="J271" i="15"/>
  <c r="J270" i="15" s="1"/>
  <c r="K271" i="15"/>
  <c r="K270" i="15" s="1"/>
  <c r="M271" i="15"/>
  <c r="M270" i="15" s="1"/>
  <c r="O271" i="15"/>
  <c r="O270" i="15" s="1"/>
  <c r="Q271" i="15"/>
  <c r="Q270" i="15" s="1"/>
  <c r="J279" i="15"/>
  <c r="J278" i="15" s="1"/>
  <c r="K279" i="15"/>
  <c r="K278" i="15" s="1"/>
  <c r="M279" i="15"/>
  <c r="M278" i="15" s="1"/>
  <c r="O279" i="15"/>
  <c r="O278" i="15" s="1"/>
  <c r="Q279" i="15"/>
  <c r="Q278" i="15" s="1"/>
  <c r="J283" i="15"/>
  <c r="J282" i="15" s="1"/>
  <c r="K283" i="15"/>
  <c r="K282" i="15" s="1"/>
  <c r="M283" i="15"/>
  <c r="M282" i="15" s="1"/>
  <c r="O283" i="15"/>
  <c r="O282" i="15" s="1"/>
  <c r="Q283" i="15"/>
  <c r="Q282" i="15" s="1"/>
  <c r="K286" i="15"/>
  <c r="M286" i="15"/>
  <c r="O286" i="15"/>
  <c r="Q286" i="15"/>
  <c r="K288" i="15"/>
  <c r="M288" i="15"/>
  <c r="O288" i="15"/>
  <c r="Q288" i="15"/>
  <c r="J291" i="15"/>
  <c r="J290" i="15" s="1"/>
  <c r="K291" i="15"/>
  <c r="K290" i="15" s="1"/>
  <c r="M291" i="15"/>
  <c r="M290" i="15" s="1"/>
  <c r="O291" i="15"/>
  <c r="O290" i="15" s="1"/>
  <c r="Q291" i="15"/>
  <c r="Q290" i="15" s="1"/>
  <c r="K295" i="15"/>
  <c r="M295" i="15"/>
  <c r="O295" i="15"/>
  <c r="Q295" i="15"/>
  <c r="K297" i="15"/>
  <c r="O297" i="15"/>
  <c r="Q297" i="15"/>
  <c r="J300" i="15"/>
  <c r="K300" i="15"/>
  <c r="M300" i="15"/>
  <c r="O300" i="15"/>
  <c r="Q300" i="15"/>
  <c r="J302" i="15"/>
  <c r="K302" i="15"/>
  <c r="M302" i="15"/>
  <c r="O302" i="15"/>
  <c r="Q302" i="15"/>
  <c r="Q143" i="15"/>
  <c r="Q308" i="15"/>
  <c r="K308" i="15"/>
  <c r="M308" i="15"/>
  <c r="O308" i="15"/>
  <c r="K310" i="15"/>
  <c r="M310" i="15"/>
  <c r="O310" i="15"/>
  <c r="Q310" i="15"/>
  <c r="Q312" i="15"/>
  <c r="K312" i="15"/>
  <c r="M312" i="15"/>
  <c r="O312" i="15"/>
  <c r="J317" i="15"/>
  <c r="J316" i="15" s="1"/>
  <c r="K317" i="15"/>
  <c r="K316" i="15" s="1"/>
  <c r="M317" i="15"/>
  <c r="M316" i="15" s="1"/>
  <c r="O317" i="15"/>
  <c r="O316" i="15" s="1"/>
  <c r="Q317" i="15"/>
  <c r="Q316" i="15" s="1"/>
  <c r="J322" i="15"/>
  <c r="J321" i="15" s="1"/>
  <c r="K322" i="15"/>
  <c r="K321" i="15" s="1"/>
  <c r="M322" i="15"/>
  <c r="M321" i="15" s="1"/>
  <c r="O322" i="15"/>
  <c r="O321" i="15" s="1"/>
  <c r="Q322" i="15"/>
  <c r="Q321" i="15" s="1"/>
  <c r="J345" i="15"/>
  <c r="J344" i="15" s="1"/>
  <c r="K345" i="15"/>
  <c r="K344" i="15" s="1"/>
  <c r="M345" i="15"/>
  <c r="M344" i="15" s="1"/>
  <c r="O345" i="15"/>
  <c r="O344" i="15" s="1"/>
  <c r="Q345" i="15"/>
  <c r="Q344" i="15" s="1"/>
  <c r="K372" i="15"/>
  <c r="K371" i="15" s="1"/>
  <c r="M372" i="15"/>
  <c r="M371" i="15" s="1"/>
  <c r="O372" i="15"/>
  <c r="O371" i="15" s="1"/>
  <c r="Q372" i="15"/>
  <c r="Q371" i="15" s="1"/>
  <c r="K376" i="15"/>
  <c r="M376" i="15"/>
  <c r="O376" i="15"/>
  <c r="Q376" i="15"/>
  <c r="Q378" i="15"/>
  <c r="K378" i="15"/>
  <c r="M378" i="15"/>
  <c r="O378" i="15"/>
  <c r="K380" i="15"/>
  <c r="M380" i="15"/>
  <c r="O380" i="15"/>
  <c r="Q380" i="15"/>
  <c r="K386" i="15"/>
  <c r="M386" i="15"/>
  <c r="O386" i="15"/>
  <c r="Q386" i="15"/>
  <c r="J388" i="15"/>
  <c r="K388" i="15"/>
  <c r="M388" i="15"/>
  <c r="M385" i="15" s="1"/>
  <c r="O388" i="15"/>
  <c r="Q388" i="15"/>
  <c r="J332" i="15"/>
  <c r="K332" i="15"/>
  <c r="L332" i="15"/>
  <c r="L331" i="15" s="1"/>
  <c r="M332" i="15"/>
  <c r="M331" i="15" s="1"/>
  <c r="O332" i="15"/>
  <c r="O331" i="15" s="1"/>
  <c r="Q332" i="15"/>
  <c r="Q331" i="15" s="1"/>
  <c r="L336" i="15"/>
  <c r="M336" i="15"/>
  <c r="O336" i="15"/>
  <c r="Q336" i="15"/>
  <c r="U134" i="15"/>
  <c r="U133" i="15" s="1"/>
  <c r="U132" i="15" s="1"/>
  <c r="P132" i="15"/>
  <c r="Q100" i="15"/>
  <c r="Q99" i="15" s="1"/>
  <c r="U97" i="15"/>
  <c r="U96" i="15" s="1"/>
  <c r="Q97" i="15"/>
  <c r="Q96" i="15" s="1"/>
  <c r="P97" i="15"/>
  <c r="P96" i="15" s="1"/>
  <c r="Q94" i="15"/>
  <c r="Q93" i="15" s="1"/>
  <c r="P94" i="15"/>
  <c r="P93" i="15" s="1"/>
  <c r="U95" i="15"/>
  <c r="U94" i="15" s="1"/>
  <c r="U93" i="15" s="1"/>
  <c r="M103" i="15" l="1"/>
  <c r="Q73" i="15"/>
  <c r="J73" i="15"/>
  <c r="Q385" i="15"/>
  <c r="M307" i="15"/>
  <c r="Q307" i="15"/>
  <c r="Q181" i="15"/>
  <c r="Q146" i="15"/>
  <c r="Q211" i="15"/>
  <c r="J103" i="15"/>
  <c r="K103" i="15"/>
  <c r="O73" i="15"/>
  <c r="K385" i="15"/>
  <c r="K307" i="15"/>
  <c r="K73" i="15"/>
  <c r="M48" i="15"/>
  <c r="Q37" i="15"/>
  <c r="K375" i="15"/>
  <c r="Q260" i="15"/>
  <c r="Q256" i="15" s="1"/>
  <c r="O37" i="15"/>
  <c r="M12" i="15"/>
  <c r="O385" i="15"/>
  <c r="O307" i="15"/>
  <c r="Q103" i="15"/>
  <c r="K37" i="15"/>
  <c r="Q12" i="15"/>
  <c r="Q92" i="15"/>
  <c r="S94" i="16"/>
  <c r="S93" i="16" s="1"/>
  <c r="P60" i="15"/>
  <c r="Q48" i="15"/>
  <c r="O375" i="15"/>
  <c r="J299" i="15"/>
  <c r="O294" i="15"/>
  <c r="K294" i="15"/>
  <c r="M375" i="15"/>
  <c r="Q285" i="15"/>
  <c r="M285" i="15"/>
  <c r="O299" i="15"/>
  <c r="K299" i="15"/>
  <c r="Q375" i="15"/>
  <c r="Q299" i="15"/>
  <c r="M299" i="15"/>
  <c r="Q294" i="15"/>
  <c r="O285" i="15"/>
  <c r="K285" i="15"/>
  <c r="L104" i="15"/>
  <c r="M73" i="15"/>
  <c r="O48" i="15"/>
  <c r="O12" i="15"/>
  <c r="O103" i="15"/>
  <c r="K12" i="15"/>
  <c r="O260" i="15"/>
  <c r="K260" i="15"/>
  <c r="J48" i="15"/>
  <c r="Q202" i="15"/>
  <c r="Q201" i="15" s="1"/>
  <c r="Q132" i="15"/>
  <c r="Q116" i="15" s="1"/>
  <c r="N104" i="15" l="1"/>
  <c r="S442" i="16" l="1"/>
  <c r="R442" i="16"/>
  <c r="R334" i="16"/>
  <c r="R333" i="16" s="1"/>
  <c r="R332" i="16" s="1"/>
  <c r="R358" i="16" s="1"/>
  <c r="R331" i="16"/>
  <c r="R330" i="16" s="1"/>
  <c r="R329" i="16"/>
  <c r="R328" i="16" s="1"/>
  <c r="R325" i="16"/>
  <c r="R324" i="16" s="1"/>
  <c r="R323" i="16"/>
  <c r="R322" i="16" s="1"/>
  <c r="R321" i="16"/>
  <c r="R320" i="16" s="1"/>
  <c r="R318" i="16"/>
  <c r="R317" i="16" s="1"/>
  <c r="R316" i="16" s="1"/>
  <c r="R353" i="16" s="1"/>
  <c r="R314" i="16"/>
  <c r="R313" i="16" s="1"/>
  <c r="R312" i="16" s="1"/>
  <c r="R311" i="16" s="1"/>
  <c r="R310" i="16"/>
  <c r="R309" i="16" s="1"/>
  <c r="R308" i="16"/>
  <c r="R307" i="16" s="1"/>
  <c r="R305" i="16"/>
  <c r="R304" i="16" s="1"/>
  <c r="R303" i="16" s="1"/>
  <c r="R356" i="16" s="1"/>
  <c r="R297" i="16"/>
  <c r="R296" i="16" s="1"/>
  <c r="R295" i="16" s="1"/>
  <c r="R417" i="16" s="1"/>
  <c r="R294" i="16"/>
  <c r="R293" i="16" s="1"/>
  <c r="R292" i="16" s="1"/>
  <c r="R291" i="16"/>
  <c r="R290" i="16" s="1"/>
  <c r="R289" i="16" s="1"/>
  <c r="R408" i="16" s="1"/>
  <c r="R288" i="16"/>
  <c r="R287" i="16" s="1"/>
  <c r="R286" i="16" s="1"/>
  <c r="R285" i="16" s="1"/>
  <c r="R383" i="16" s="1"/>
  <c r="R284" i="16"/>
  <c r="R283" i="16"/>
  <c r="R279" i="16"/>
  <c r="R278" i="16"/>
  <c r="R274" i="16"/>
  <c r="R273" i="16" s="1"/>
  <c r="R272" i="16" s="1"/>
  <c r="R271" i="16"/>
  <c r="R270" i="16" s="1"/>
  <c r="R269" i="16" s="1"/>
  <c r="R267" i="16"/>
  <c r="R265" i="16"/>
  <c r="R264" i="16" s="1"/>
  <c r="R263" i="16"/>
  <c r="R262" i="16" s="1"/>
  <c r="R258" i="16"/>
  <c r="R255" i="16"/>
  <c r="R251" i="16"/>
  <c r="R250" i="16" s="1"/>
  <c r="R406" i="16" s="1"/>
  <c r="R246" i="16"/>
  <c r="R245" i="16" s="1"/>
  <c r="R244" i="16"/>
  <c r="R243" i="16" s="1"/>
  <c r="R242" i="16"/>
  <c r="R241" i="16" s="1"/>
  <c r="R240" i="16"/>
  <c r="R239" i="16" s="1"/>
  <c r="R237" i="16"/>
  <c r="R236" i="16" s="1"/>
  <c r="R387" i="16" s="1"/>
  <c r="R234" i="16"/>
  <c r="R231" i="16"/>
  <c r="R228" i="16"/>
  <c r="R227" i="16" s="1"/>
  <c r="R226" i="16"/>
  <c r="R225" i="16" s="1"/>
  <c r="R223" i="16"/>
  <c r="R220" i="16"/>
  <c r="R219" i="16" s="1"/>
  <c r="R218" i="16" s="1"/>
  <c r="R376" i="16" s="1"/>
  <c r="R217" i="16"/>
  <c r="R214" i="16"/>
  <c r="R213" i="16" s="1"/>
  <c r="R212" i="16"/>
  <c r="R211" i="16" s="1"/>
  <c r="R208" i="16"/>
  <c r="R207" i="16" s="1"/>
  <c r="R206" i="16"/>
  <c r="R205" i="16" s="1"/>
  <c r="R204" i="16"/>
  <c r="R203" i="16" s="1"/>
  <c r="R202" i="16"/>
  <c r="R201" i="16" s="1"/>
  <c r="R199" i="16"/>
  <c r="R198" i="16" s="1"/>
  <c r="R197" i="16" s="1"/>
  <c r="R366" i="16" s="1"/>
  <c r="R196" i="16"/>
  <c r="R195" i="16" s="1"/>
  <c r="R194" i="16" s="1"/>
  <c r="R365" i="16" s="1"/>
  <c r="R193" i="16"/>
  <c r="R192" i="16" s="1"/>
  <c r="R191" i="16" s="1"/>
  <c r="R364" i="16" s="1"/>
  <c r="R190" i="16"/>
  <c r="R189" i="16" s="1"/>
  <c r="R188" i="16" s="1"/>
  <c r="R185" i="16"/>
  <c r="R184" i="16" s="1"/>
  <c r="R183" i="16" s="1"/>
  <c r="R394" i="16" s="1"/>
  <c r="R180" i="16"/>
  <c r="R179" i="16" s="1"/>
  <c r="R178" i="16" s="1"/>
  <c r="R172" i="16"/>
  <c r="R171" i="16" s="1"/>
  <c r="R170" i="16" s="1"/>
  <c r="R410" i="16" s="1"/>
  <c r="R169" i="16"/>
  <c r="R168" i="16" s="1"/>
  <c r="R167" i="16"/>
  <c r="R166" i="16" s="1"/>
  <c r="R164" i="16"/>
  <c r="R163" i="16" s="1"/>
  <c r="R162" i="16" s="1"/>
  <c r="R385" i="16" s="1"/>
  <c r="R159" i="16"/>
  <c r="R158" i="16" s="1"/>
  <c r="R157" i="16" s="1"/>
  <c r="R391" i="16" s="1"/>
  <c r="R156" i="16"/>
  <c r="R155" i="16" s="1"/>
  <c r="R154" i="16" s="1"/>
  <c r="R390" i="16" s="1"/>
  <c r="R151" i="16"/>
  <c r="R150" i="16" s="1"/>
  <c r="R149" i="16" s="1"/>
  <c r="R369" i="16" s="1"/>
  <c r="R143" i="16"/>
  <c r="R142" i="16" s="1"/>
  <c r="R140" i="16"/>
  <c r="R139" i="16" s="1"/>
  <c r="R138" i="16" s="1"/>
  <c r="R399" i="16" s="1"/>
  <c r="R137" i="16"/>
  <c r="R136" i="16" s="1"/>
  <c r="R135" i="16" s="1"/>
  <c r="R398" i="16" s="1"/>
  <c r="R134" i="16"/>
  <c r="R133" i="16" s="1"/>
  <c r="R132" i="16" s="1"/>
  <c r="R130" i="16"/>
  <c r="R127" i="16"/>
  <c r="R126" i="16" s="1"/>
  <c r="R125" i="16" s="1"/>
  <c r="R362" i="16" s="1"/>
  <c r="R124" i="16"/>
  <c r="R123" i="16" s="1"/>
  <c r="R122" i="16" s="1"/>
  <c r="R361" i="16" s="1"/>
  <c r="R121" i="16"/>
  <c r="R120" i="16" s="1"/>
  <c r="R119" i="16" s="1"/>
  <c r="R360" i="16" s="1"/>
  <c r="R116" i="16"/>
  <c r="R115" i="16" s="1"/>
  <c r="R114" i="16" s="1"/>
  <c r="R401" i="16" s="1"/>
  <c r="R113" i="16"/>
  <c r="R112" i="16" s="1"/>
  <c r="R400" i="16" s="1"/>
  <c r="R107" i="16"/>
  <c r="R105" i="16"/>
  <c r="R104" i="16" s="1"/>
  <c r="R103" i="16" s="1"/>
  <c r="R419" i="16" s="1"/>
  <c r="R99" i="16"/>
  <c r="R98" i="16" s="1"/>
  <c r="R97" i="16" s="1"/>
  <c r="R416" i="16" s="1"/>
  <c r="R96" i="16"/>
  <c r="R91" i="16"/>
  <c r="R90" i="16" s="1"/>
  <c r="R88" i="16"/>
  <c r="R87" i="16" s="1"/>
  <c r="R86" i="16"/>
  <c r="R85" i="16" s="1"/>
  <c r="R77" i="16"/>
  <c r="R76" i="16" s="1"/>
  <c r="R75" i="16" s="1"/>
  <c r="R405" i="16" s="1"/>
  <c r="R74" i="16"/>
  <c r="R73" i="16" s="1"/>
  <c r="R71" i="16"/>
  <c r="R70" i="16" s="1"/>
  <c r="R68" i="16"/>
  <c r="R67" i="16" s="1"/>
  <c r="R66" i="16"/>
  <c r="R65" i="16" s="1"/>
  <c r="R63" i="16"/>
  <c r="R62" i="16" s="1"/>
  <c r="R61" i="16" s="1"/>
  <c r="R396" i="16" s="1"/>
  <c r="R60" i="16"/>
  <c r="R59" i="16" s="1"/>
  <c r="R58" i="16" s="1"/>
  <c r="R395" i="16" s="1"/>
  <c r="R57" i="16"/>
  <c r="R56" i="16" s="1"/>
  <c r="R55" i="16"/>
  <c r="R54" i="16" s="1"/>
  <c r="R52" i="16"/>
  <c r="R51" i="16" s="1"/>
  <c r="R50" i="16"/>
  <c r="R49" i="16" s="1"/>
  <c r="R47" i="16"/>
  <c r="R46" i="16" s="1"/>
  <c r="R45" i="16" s="1"/>
  <c r="R389" i="16" s="1"/>
  <c r="R44" i="16"/>
  <c r="R43" i="16" s="1"/>
  <c r="R42" i="16" s="1"/>
  <c r="R388" i="16" s="1"/>
  <c r="R41" i="16"/>
  <c r="R40" i="16" s="1"/>
  <c r="R39" i="16" s="1"/>
  <c r="R373" i="16" s="1"/>
  <c r="R38" i="16"/>
  <c r="R37" i="16" s="1"/>
  <c r="R36" i="16"/>
  <c r="R35" i="16" s="1"/>
  <c r="R33" i="16"/>
  <c r="R32" i="16" s="1"/>
  <c r="R31" i="16"/>
  <c r="R30" i="16" s="1"/>
  <c r="R28" i="16"/>
  <c r="R27" i="16" s="1"/>
  <c r="R26" i="16" s="1"/>
  <c r="R370" i="16" s="1"/>
  <c r="R25" i="16"/>
  <c r="R24" i="16" s="1"/>
  <c r="R23" i="16" s="1"/>
  <c r="R22" i="16"/>
  <c r="R21" i="16" s="1"/>
  <c r="R20" i="16" s="1"/>
  <c r="R359" i="16" s="1"/>
  <c r="R19" i="16"/>
  <c r="R18" i="16"/>
  <c r="R17" i="16"/>
  <c r="R15" i="16"/>
  <c r="R14" i="16" s="1"/>
  <c r="R13" i="16"/>
  <c r="R12" i="16" s="1"/>
  <c r="R10" i="16"/>
  <c r="R9" i="16" s="1"/>
  <c r="R8" i="16" s="1"/>
  <c r="R352" i="16" s="1"/>
  <c r="Q408" i="15"/>
  <c r="Q391" i="15"/>
  <c r="Q390" i="15" s="1"/>
  <c r="Q366" i="15"/>
  <c r="Q365" i="15" s="1"/>
  <c r="Q364" i="15" s="1"/>
  <c r="Q362" i="15"/>
  <c r="Q361" i="15"/>
  <c r="Q357" i="15"/>
  <c r="Q356" i="15" s="1"/>
  <c r="Q355" i="15" s="1"/>
  <c r="Q351" i="15"/>
  <c r="Q350" i="15" s="1"/>
  <c r="Q349" i="15" s="1"/>
  <c r="Q343" i="15"/>
  <c r="Q341" i="15"/>
  <c r="Q340" i="15" s="1"/>
  <c r="Q339" i="15" s="1"/>
  <c r="Q335" i="15"/>
  <c r="Q334" i="15" s="1"/>
  <c r="Q330" i="15"/>
  <c r="Q327" i="15"/>
  <c r="Q326" i="15" s="1"/>
  <c r="Q325" i="15" s="1"/>
  <c r="Q324" i="15" s="1"/>
  <c r="Q252" i="15"/>
  <c r="Q199" i="15"/>
  <c r="Q196" i="15" s="1"/>
  <c r="Q177" i="15"/>
  <c r="Q140" i="15"/>
  <c r="Q137" i="15"/>
  <c r="Q90" i="15"/>
  <c r="Q89" i="15" s="1"/>
  <c r="Q62" i="15"/>
  <c r="Q59" i="15" s="1"/>
  <c r="Q30" i="15"/>
  <c r="Q29" i="15" s="1"/>
  <c r="Q28" i="15" s="1"/>
  <c r="Q26" i="15"/>
  <c r="Q10" i="15"/>
  <c r="Q9" i="15" s="1"/>
  <c r="R368" i="16" l="1"/>
  <c r="R407" i="16"/>
  <c r="R174" i="16"/>
  <c r="R173" i="16" s="1"/>
  <c r="R374" i="16"/>
  <c r="R129" i="16"/>
  <c r="R128" i="16" s="1"/>
  <c r="R363" i="16" s="1"/>
  <c r="R95" i="16"/>
  <c r="R92" i="16" s="1"/>
  <c r="R415" i="16" s="1"/>
  <c r="Q429" i="15"/>
  <c r="Q136" i="15"/>
  <c r="Q135" i="15" s="1"/>
  <c r="Q427" i="15"/>
  <c r="Q191" i="15"/>
  <c r="R319" i="16"/>
  <c r="Q374" i="15"/>
  <c r="R72" i="16"/>
  <c r="R403" i="16" s="1"/>
  <c r="R282" i="16"/>
  <c r="R281" i="16" s="1"/>
  <c r="R280" i="16" s="1"/>
  <c r="R381" i="16" s="1"/>
  <c r="Q419" i="15"/>
  <c r="Q306" i="15"/>
  <c r="Q360" i="15"/>
  <c r="Q354" i="15" s="1"/>
  <c r="R53" i="16"/>
  <c r="R393" i="16" s="1"/>
  <c r="R277" i="16"/>
  <c r="R276" i="16" s="1"/>
  <c r="R382" i="16" s="1"/>
  <c r="R69" i="16"/>
  <c r="R402" i="16" s="1"/>
  <c r="R64" i="16"/>
  <c r="R327" i="16"/>
  <c r="R354" i="16" s="1"/>
  <c r="R48" i="16"/>
  <c r="R392" i="16" s="1"/>
  <c r="R200" i="16"/>
  <c r="R367" i="16" s="1"/>
  <c r="R34" i="16"/>
  <c r="R165" i="16"/>
  <c r="R404" i="16" s="1"/>
  <c r="R84" i="16"/>
  <c r="R412" i="16" s="1"/>
  <c r="R16" i="16"/>
  <c r="R11" i="16" s="1"/>
  <c r="R29" i="16"/>
  <c r="R371" i="16" s="1"/>
  <c r="R257" i="16"/>
  <c r="R256" i="16" s="1"/>
  <c r="R414" i="16" s="1"/>
  <c r="R425" i="16" s="1"/>
  <c r="R306" i="16"/>
  <c r="R357" i="16" s="1"/>
  <c r="R233" i="16"/>
  <c r="R232" i="16" s="1"/>
  <c r="R380" i="16" s="1"/>
  <c r="R89" i="16"/>
  <c r="R106" i="16"/>
  <c r="R224" i="16"/>
  <c r="R378" i="16" s="1"/>
  <c r="R210" i="16"/>
  <c r="R238" i="16"/>
  <c r="R386" i="16" s="1"/>
  <c r="R141" i="16"/>
  <c r="R153" i="16"/>
  <c r="R152" i="16" s="1"/>
  <c r="R148" i="16"/>
  <c r="R147" i="16" s="1"/>
  <c r="R182" i="16"/>
  <c r="R181" i="16" s="1"/>
  <c r="R266" i="16"/>
  <c r="R261" i="16" s="1"/>
  <c r="R111" i="16"/>
  <c r="R110" i="16" s="1"/>
  <c r="R109" i="16" s="1"/>
  <c r="R216" i="16"/>
  <c r="R215" i="16" s="1"/>
  <c r="R375" i="16" s="1"/>
  <c r="R248" i="16"/>
  <c r="R247" i="16" s="1"/>
  <c r="R222" i="16"/>
  <c r="R221" i="16" s="1"/>
  <c r="R377" i="16" s="1"/>
  <c r="R230" i="16"/>
  <c r="R229" i="16" s="1"/>
  <c r="R379" i="16" s="1"/>
  <c r="R235" i="16"/>
  <c r="R254" i="16"/>
  <c r="R253" i="16" s="1"/>
  <c r="R409" i="16" s="1"/>
  <c r="Q72" i="15"/>
  <c r="Q71" i="15" s="1"/>
  <c r="Q102" i="15"/>
  <c r="Q36" i="15"/>
  <c r="Q79" i="15"/>
  <c r="Q172" i="15"/>
  <c r="Q25" i="15"/>
  <c r="Q329" i="15"/>
  <c r="Q338" i="15"/>
  <c r="Q348" i="15"/>
  <c r="Q315" i="15"/>
  <c r="Q281" i="15"/>
  <c r="Q293" i="15"/>
  <c r="Q411" i="15"/>
  <c r="Q320" i="15"/>
  <c r="Q319" i="15" s="1"/>
  <c r="Q370" i="15"/>
  <c r="Q384" i="15"/>
  <c r="Q383" i="15" s="1"/>
  <c r="Q382" i="15" s="1"/>
  <c r="R7" i="16" l="1"/>
  <c r="R426" i="16"/>
  <c r="R397" i="16"/>
  <c r="R315" i="16"/>
  <c r="R355" i="16"/>
  <c r="R372" i="16"/>
  <c r="R424" i="16" s="1"/>
  <c r="R118" i="16"/>
  <c r="R117" i="16" s="1"/>
  <c r="Q430" i="15"/>
  <c r="Q424" i="15"/>
  <c r="Q412" i="15" s="1"/>
  <c r="R302" i="16"/>
  <c r="R429" i="16"/>
  <c r="Q64" i="15"/>
  <c r="Q398" i="15" s="1"/>
  <c r="R275" i="16"/>
  <c r="Q111" i="15"/>
  <c r="Q401" i="15" s="1"/>
  <c r="R326" i="16"/>
  <c r="R161" i="16"/>
  <c r="R160" i="16" s="1"/>
  <c r="R187" i="16"/>
  <c r="R186" i="16" s="1"/>
  <c r="Q369" i="15"/>
  <c r="Q368" i="15" s="1"/>
  <c r="Q418" i="15"/>
  <c r="Q277" i="15"/>
  <c r="Q276" i="15" s="1"/>
  <c r="Q78" i="15"/>
  <c r="Q417" i="15"/>
  <c r="Q8" i="15"/>
  <c r="Q347" i="15"/>
  <c r="Q305" i="15"/>
  <c r="Q227" i="15"/>
  <c r="Q195" i="15"/>
  <c r="Q176" i="15" s="1"/>
  <c r="Q24" i="15"/>
  <c r="Q145" i="15"/>
  <c r="Q399" i="15"/>
  <c r="K10" i="25"/>
  <c r="P305" i="16"/>
  <c r="P304" i="16" s="1"/>
  <c r="P303" i="16" s="1"/>
  <c r="P356" i="16" s="1"/>
  <c r="O304" i="16"/>
  <c r="O303" i="16" s="1"/>
  <c r="O356" i="16" s="1"/>
  <c r="R423" i="16" l="1"/>
  <c r="R432" i="16"/>
  <c r="R421" i="16"/>
  <c r="R260" i="16"/>
  <c r="R259" i="16" s="1"/>
  <c r="R301" i="16"/>
  <c r="R440" i="16"/>
  <c r="Q425" i="15"/>
  <c r="Q395" i="15"/>
  <c r="K9" i="25"/>
  <c r="K8" i="25" s="1"/>
  <c r="K7" i="25" s="1"/>
  <c r="Q210" i="15"/>
  <c r="Q7" i="15"/>
  <c r="R6" i="16"/>
  <c r="Q407" i="15"/>
  <c r="Q428" i="15"/>
  <c r="Q416" i="15"/>
  <c r="Q404" i="15"/>
  <c r="Q400" i="15"/>
  <c r="Q403" i="15"/>
  <c r="Q304" i="15"/>
  <c r="Q405" i="15"/>
  <c r="Q305" i="16"/>
  <c r="E10" i="9"/>
  <c r="E11" i="9"/>
  <c r="E12" i="9"/>
  <c r="E13" i="9"/>
  <c r="E14" i="9"/>
  <c r="E9" i="9"/>
  <c r="E15" i="9"/>
  <c r="D15" i="9"/>
  <c r="R427" i="16" l="1"/>
  <c r="R335" i="16"/>
  <c r="R337" i="16" s="1"/>
  <c r="Q209" i="15"/>
  <c r="Q402" i="15"/>
  <c r="Q6" i="15"/>
  <c r="Q397" i="15"/>
  <c r="Q304" i="16"/>
  <c r="Q303" i="16" s="1"/>
  <c r="Q356" i="16" s="1"/>
  <c r="S305" i="16"/>
  <c r="S304" i="16" s="1"/>
  <c r="S303" i="16" s="1"/>
  <c r="S356" i="16" s="1"/>
  <c r="Q393" i="15" l="1"/>
  <c r="R441" i="16"/>
  <c r="R443" i="16"/>
  <c r="R438" i="16"/>
  <c r="R439" i="16" s="1"/>
  <c r="R346" i="16"/>
  <c r="R349" i="16" s="1"/>
  <c r="Q409" i="15"/>
  <c r="P308" i="16"/>
  <c r="P307" i="16" s="1"/>
  <c r="P310" i="16"/>
  <c r="Q436" i="15" l="1"/>
  <c r="Q435" i="15"/>
  <c r="Q439" i="15"/>
  <c r="Q410" i="15"/>
  <c r="R435" i="16"/>
  <c r="R422" i="16" s="1"/>
  <c r="R339" i="16"/>
  <c r="R340" i="16" s="1"/>
  <c r="Q394" i="15"/>
  <c r="R345" i="16"/>
  <c r="R348" i="16" s="1"/>
  <c r="Q420" i="15"/>
  <c r="K14" i="25"/>
  <c r="K13" i="25" s="1"/>
  <c r="K12" i="25" s="1"/>
  <c r="K11" i="25" s="1"/>
  <c r="K6" i="25" s="1"/>
  <c r="K15" i="25" s="1"/>
  <c r="R437" i="16"/>
  <c r="Q308" i="16"/>
  <c r="O307" i="16"/>
  <c r="N333" i="15"/>
  <c r="N332" i="15" s="1"/>
  <c r="N331" i="15" s="1"/>
  <c r="P184" i="15"/>
  <c r="L190" i="15"/>
  <c r="U184" i="15" l="1"/>
  <c r="U183" i="15" s="1"/>
  <c r="U182" i="15" s="1"/>
  <c r="P183" i="15"/>
  <c r="P182" i="15" s="1"/>
  <c r="N190" i="15"/>
  <c r="L189" i="15"/>
  <c r="L188" i="15" s="1"/>
  <c r="Q307" i="16"/>
  <c r="S308" i="16"/>
  <c r="S307" i="16" s="1"/>
  <c r="O181" i="15"/>
  <c r="P190" i="15" l="1"/>
  <c r="N189" i="15"/>
  <c r="N188" i="15" s="1"/>
  <c r="N181" i="15" s="1"/>
  <c r="O155" i="15"/>
  <c r="O154" i="15" s="1"/>
  <c r="O153" i="15" s="1"/>
  <c r="U190" i="15" l="1"/>
  <c r="U189" i="15" s="1"/>
  <c r="U188" i="15" s="1"/>
  <c r="U181" i="15" s="1"/>
  <c r="P189" i="15"/>
  <c r="P188" i="15" s="1"/>
  <c r="P181" i="15" s="1"/>
  <c r="P234" i="16" l="1"/>
  <c r="P233" i="16" s="1"/>
  <c r="P232" i="16" s="1"/>
  <c r="P380" i="16" s="1"/>
  <c r="O233" i="16"/>
  <c r="O232" i="16" s="1"/>
  <c r="O380" i="16" s="1"/>
  <c r="P245" i="15"/>
  <c r="O30" i="15"/>
  <c r="O29" i="15" s="1"/>
  <c r="O28" i="15" s="1"/>
  <c r="N30" i="15"/>
  <c r="N29" i="15" s="1"/>
  <c r="N28" i="15" s="1"/>
  <c r="P31" i="15"/>
  <c r="U245" i="15" l="1"/>
  <c r="U244" i="15" s="1"/>
  <c r="U243" i="15" s="1"/>
  <c r="P244" i="15"/>
  <c r="P243" i="15" s="1"/>
  <c r="P30" i="15"/>
  <c r="P29" i="15" s="1"/>
  <c r="P28" i="15" s="1"/>
  <c r="U31" i="15"/>
  <c r="U30" i="15" s="1"/>
  <c r="U29" i="15" s="1"/>
  <c r="U28" i="15" s="1"/>
  <c r="Q234" i="16"/>
  <c r="Q233" i="16" l="1"/>
  <c r="Q232" i="16" s="1"/>
  <c r="Q380" i="16" s="1"/>
  <c r="S234" i="16"/>
  <c r="S233" i="16" s="1"/>
  <c r="S232" i="16" s="1"/>
  <c r="S380" i="16" s="1"/>
  <c r="Q442" i="16"/>
  <c r="P334" i="16"/>
  <c r="P331" i="16"/>
  <c r="P330" i="16" s="1"/>
  <c r="P329" i="16"/>
  <c r="P328" i="16" s="1"/>
  <c r="P325" i="16"/>
  <c r="P324" i="16" s="1"/>
  <c r="P323" i="16"/>
  <c r="P322" i="16" s="1"/>
  <c r="P321" i="16"/>
  <c r="P320" i="16" s="1"/>
  <c r="P318" i="16"/>
  <c r="P317" i="16" s="1"/>
  <c r="P316" i="16" s="1"/>
  <c r="P314" i="16"/>
  <c r="P313" i="16" s="1"/>
  <c r="P312" i="16" s="1"/>
  <c r="P309" i="16"/>
  <c r="P306" i="16" s="1"/>
  <c r="P302" i="16" s="1"/>
  <c r="P297" i="16"/>
  <c r="P296" i="16" s="1"/>
  <c r="P295" i="16" s="1"/>
  <c r="P417" i="16" s="1"/>
  <c r="P294" i="16"/>
  <c r="P293" i="16" s="1"/>
  <c r="P292" i="16" s="1"/>
  <c r="P291" i="16"/>
  <c r="P290" i="16" s="1"/>
  <c r="P289" i="16" s="1"/>
  <c r="P408" i="16" s="1"/>
  <c r="P288" i="16"/>
  <c r="P287" i="16" s="1"/>
  <c r="P286" i="16" s="1"/>
  <c r="P285" i="16" s="1"/>
  <c r="P383" i="16" s="1"/>
  <c r="P284" i="16"/>
  <c r="P283" i="16"/>
  <c r="P279" i="16"/>
  <c r="P278" i="16"/>
  <c r="P274" i="16"/>
  <c r="P273" i="16" s="1"/>
  <c r="P272" i="16" s="1"/>
  <c r="P271" i="16"/>
  <c r="P270" i="16" s="1"/>
  <c r="P269" i="16" s="1"/>
  <c r="P267" i="16"/>
  <c r="P266" i="16" s="1"/>
  <c r="P265" i="16"/>
  <c r="P264" i="16" s="1"/>
  <c r="P263" i="16"/>
  <c r="P262" i="16" s="1"/>
  <c r="P258" i="16"/>
  <c r="P255" i="16"/>
  <c r="P254" i="16" s="1"/>
  <c r="P253" i="16" s="1"/>
  <c r="P409" i="16" s="1"/>
  <c r="P252" i="16"/>
  <c r="P249" i="16"/>
  <c r="P248" i="16" s="1"/>
  <c r="P247" i="16" s="1"/>
  <c r="P246" i="16"/>
  <c r="P244" i="16"/>
  <c r="P242" i="16"/>
  <c r="P241" i="16" s="1"/>
  <c r="P240" i="16"/>
  <c r="P237" i="16"/>
  <c r="P236" i="16" s="1"/>
  <c r="P231" i="16"/>
  <c r="P228" i="16"/>
  <c r="P227" i="16" s="1"/>
  <c r="P226" i="16"/>
  <c r="P225" i="16" s="1"/>
  <c r="P223" i="16"/>
  <c r="P220" i="16"/>
  <c r="P219" i="16" s="1"/>
  <c r="P218" i="16" s="1"/>
  <c r="P376" i="16" s="1"/>
  <c r="P217" i="16"/>
  <c r="P216" i="16" s="1"/>
  <c r="P215" i="16" s="1"/>
  <c r="P375" i="16" s="1"/>
  <c r="P214" i="16"/>
  <c r="P213" i="16" s="1"/>
  <c r="P212" i="16"/>
  <c r="P211" i="16" s="1"/>
  <c r="P208" i="16"/>
  <c r="P206" i="16"/>
  <c r="P204" i="16"/>
  <c r="P202" i="16"/>
  <c r="P201" i="16" s="1"/>
  <c r="P199" i="16"/>
  <c r="P198" i="16" s="1"/>
  <c r="P197" i="16" s="1"/>
  <c r="P366" i="16" s="1"/>
  <c r="P196" i="16"/>
  <c r="P195" i="16" s="1"/>
  <c r="P194" i="16" s="1"/>
  <c r="P365" i="16" s="1"/>
  <c r="P193" i="16"/>
  <c r="P192" i="16" s="1"/>
  <c r="P191" i="16" s="1"/>
  <c r="P364" i="16" s="1"/>
  <c r="P190" i="16"/>
  <c r="P189" i="16" s="1"/>
  <c r="P188" i="16" s="1"/>
  <c r="P185" i="16"/>
  <c r="P184" i="16" s="1"/>
  <c r="P183" i="16" s="1"/>
  <c r="P180" i="16"/>
  <c r="P172" i="16"/>
  <c r="P171" i="16" s="1"/>
  <c r="P170" i="16" s="1"/>
  <c r="P410" i="16" s="1"/>
  <c r="P169" i="16"/>
  <c r="P168" i="16" s="1"/>
  <c r="P167" i="16"/>
  <c r="P166" i="16" s="1"/>
  <c r="P164" i="16"/>
  <c r="P163" i="16" s="1"/>
  <c r="P162" i="16" s="1"/>
  <c r="P159" i="16"/>
  <c r="P156" i="16"/>
  <c r="P155" i="16" s="1"/>
  <c r="P154" i="16" s="1"/>
  <c r="P151" i="16"/>
  <c r="P150" i="16" s="1"/>
  <c r="P149" i="16" s="1"/>
  <c r="P143" i="16"/>
  <c r="P142" i="16" s="1"/>
  <c r="P140" i="16"/>
  <c r="P139" i="16" s="1"/>
  <c r="P138" i="16" s="1"/>
  <c r="P399" i="16" s="1"/>
  <c r="P137" i="16"/>
  <c r="P136" i="16" s="1"/>
  <c r="P135" i="16" s="1"/>
  <c r="P398" i="16" s="1"/>
  <c r="P134" i="16"/>
  <c r="P133" i="16" s="1"/>
  <c r="P132" i="16" s="1"/>
  <c r="P130" i="16"/>
  <c r="P129" i="16" s="1"/>
  <c r="P128" i="16" s="1"/>
  <c r="P363" i="16" s="1"/>
  <c r="P127" i="16"/>
  <c r="P124" i="16"/>
  <c r="P123" i="16" s="1"/>
  <c r="P122" i="16" s="1"/>
  <c r="P361" i="16" s="1"/>
  <c r="P121" i="16"/>
  <c r="P120" i="16" s="1"/>
  <c r="P119" i="16" s="1"/>
  <c r="P116" i="16"/>
  <c r="P115" i="16" s="1"/>
  <c r="P114" i="16" s="1"/>
  <c r="P401" i="16" s="1"/>
  <c r="P113" i="16"/>
  <c r="P112" i="16" s="1"/>
  <c r="P400" i="16" s="1"/>
  <c r="P108" i="16"/>
  <c r="P107" i="16" s="1"/>
  <c r="P105" i="16"/>
  <c r="P104" i="16" s="1"/>
  <c r="P103" i="16" s="1"/>
  <c r="P419" i="16" s="1"/>
  <c r="P99" i="16"/>
  <c r="P98" i="16" s="1"/>
  <c r="P97" i="16" s="1"/>
  <c r="P416" i="16" s="1"/>
  <c r="P96" i="16"/>
  <c r="P95" i="16" s="1"/>
  <c r="P92" i="16" s="1"/>
  <c r="P415" i="16" s="1"/>
  <c r="P91" i="16"/>
  <c r="P90" i="16" s="1"/>
  <c r="P88" i="16"/>
  <c r="P87" i="16" s="1"/>
  <c r="P86" i="16"/>
  <c r="P85" i="16" s="1"/>
  <c r="P77" i="16"/>
  <c r="P76" i="16" s="1"/>
  <c r="P75" i="16" s="1"/>
  <c r="P405" i="16" s="1"/>
  <c r="P74" i="16"/>
  <c r="P73" i="16" s="1"/>
  <c r="P71" i="16"/>
  <c r="P70" i="16" s="1"/>
  <c r="P68" i="16"/>
  <c r="P67" i="16" s="1"/>
  <c r="P66" i="16"/>
  <c r="P65" i="16" s="1"/>
  <c r="P63" i="16"/>
  <c r="P62" i="16" s="1"/>
  <c r="P61" i="16" s="1"/>
  <c r="P396" i="16" s="1"/>
  <c r="P60" i="16"/>
  <c r="P59" i="16" s="1"/>
  <c r="P58" i="16" s="1"/>
  <c r="P395" i="16" s="1"/>
  <c r="P57" i="16"/>
  <c r="P55" i="16"/>
  <c r="P52" i="16"/>
  <c r="P51" i="16" s="1"/>
  <c r="P50" i="16"/>
  <c r="P47" i="16"/>
  <c r="P46" i="16" s="1"/>
  <c r="P45" i="16" s="1"/>
  <c r="P389" i="16" s="1"/>
  <c r="P44" i="16"/>
  <c r="P43" i="16" s="1"/>
  <c r="P42" i="16" s="1"/>
  <c r="P388" i="16" s="1"/>
  <c r="P41" i="16"/>
  <c r="P40" i="16" s="1"/>
  <c r="P39" i="16" s="1"/>
  <c r="P373" i="16" s="1"/>
  <c r="P38" i="16"/>
  <c r="P36" i="16"/>
  <c r="P35" i="16" s="1"/>
  <c r="P33" i="16"/>
  <c r="P32" i="16" s="1"/>
  <c r="P31" i="16"/>
  <c r="P30" i="16" s="1"/>
  <c r="P28" i="16"/>
  <c r="P27" i="16" s="1"/>
  <c r="P26" i="16" s="1"/>
  <c r="P370" i="16" s="1"/>
  <c r="P25" i="16"/>
  <c r="P24" i="16" s="1"/>
  <c r="P23" i="16" s="1"/>
  <c r="P368" i="16" s="1"/>
  <c r="P22" i="16"/>
  <c r="P19" i="16"/>
  <c r="P18" i="16"/>
  <c r="P17" i="16"/>
  <c r="P15" i="16"/>
  <c r="P14" i="16" s="1"/>
  <c r="P13" i="16"/>
  <c r="P12" i="16" s="1"/>
  <c r="P10" i="16"/>
  <c r="P9" i="16" s="1"/>
  <c r="P8" i="16" s="1"/>
  <c r="O408" i="15"/>
  <c r="O391" i="15"/>
  <c r="O390" i="15" s="1"/>
  <c r="O370" i="15"/>
  <c r="O366" i="15"/>
  <c r="O365" i="15" s="1"/>
  <c r="O362" i="15"/>
  <c r="O361" i="15"/>
  <c r="O357" i="15"/>
  <c r="O356" i="15" s="1"/>
  <c r="O355" i="15" s="1"/>
  <c r="O351" i="15"/>
  <c r="O350" i="15" s="1"/>
  <c r="O349" i="15" s="1"/>
  <c r="O341" i="15"/>
  <c r="O335" i="15"/>
  <c r="O334" i="15" s="1"/>
  <c r="O327" i="15"/>
  <c r="O326" i="15" s="1"/>
  <c r="O325" i="15" s="1"/>
  <c r="O324" i="15" s="1"/>
  <c r="O199" i="15"/>
  <c r="O196" i="15" s="1"/>
  <c r="O143" i="15"/>
  <c r="O137" i="15"/>
  <c r="O92" i="15"/>
  <c r="O90" i="15"/>
  <c r="O89" i="15" s="1"/>
  <c r="O62" i="15"/>
  <c r="O59" i="15" s="1"/>
  <c r="O26" i="15"/>
  <c r="O25" i="15" s="1"/>
  <c r="O24" i="15" s="1"/>
  <c r="O10" i="15"/>
  <c r="O9" i="15" s="1"/>
  <c r="L415" i="16"/>
  <c r="K415" i="16"/>
  <c r="L296" i="16"/>
  <c r="L295" i="16" s="1"/>
  <c r="L279" i="16"/>
  <c r="N279" i="16"/>
  <c r="L66" i="16"/>
  <c r="L65" i="16" s="1"/>
  <c r="N66" i="16"/>
  <c r="N65" i="16" s="1"/>
  <c r="M28" i="16"/>
  <c r="M27" i="16" s="1"/>
  <c r="M26" i="16" s="1"/>
  <c r="M96" i="16"/>
  <c r="M95" i="16" s="1"/>
  <c r="M92" i="16" s="1"/>
  <c r="M415" i="16" s="1"/>
  <c r="M288" i="16"/>
  <c r="M287" i="16" s="1"/>
  <c r="M286" i="16" s="1"/>
  <c r="M285" i="16" s="1"/>
  <c r="M291" i="16"/>
  <c r="M290" i="16" s="1"/>
  <c r="M289" i="16" s="1"/>
  <c r="M297" i="16"/>
  <c r="M296" i="16" s="1"/>
  <c r="M295" i="16" s="1"/>
  <c r="N96" i="16"/>
  <c r="N95" i="16" s="1"/>
  <c r="N92" i="16" s="1"/>
  <c r="N415" i="16" s="1"/>
  <c r="M62" i="15"/>
  <c r="M59" i="15" s="1"/>
  <c r="L62" i="15"/>
  <c r="L59" i="15" s="1"/>
  <c r="N63" i="15"/>
  <c r="P63" i="15" s="1"/>
  <c r="P374" i="16" l="1"/>
  <c r="O340" i="15"/>
  <c r="O339" i="15" s="1"/>
  <c r="O116" i="15"/>
  <c r="O111" i="15" s="1"/>
  <c r="O8" i="15"/>
  <c r="O195" i="15"/>
  <c r="P62" i="15"/>
  <c r="P59" i="15" s="1"/>
  <c r="U63" i="15"/>
  <c r="U62" i="15" s="1"/>
  <c r="U59" i="15" s="1"/>
  <c r="P72" i="16"/>
  <c r="P403" i="16" s="1"/>
  <c r="O202" i="15"/>
  <c r="O201" i="15" s="1"/>
  <c r="O102" i="15"/>
  <c r="N62" i="15"/>
  <c r="N59" i="15" s="1"/>
  <c r="P29" i="16"/>
  <c r="P371" i="16" s="1"/>
  <c r="P210" i="16"/>
  <c r="P282" i="16"/>
  <c r="P281" i="16" s="1"/>
  <c r="P280" i="16" s="1"/>
  <c r="P381" i="16" s="1"/>
  <c r="O191" i="15"/>
  <c r="P327" i="16"/>
  <c r="P354" i="16" s="1"/>
  <c r="P64" i="16"/>
  <c r="P397" i="16" s="1"/>
  <c r="P84" i="16"/>
  <c r="P412" i="16" s="1"/>
  <c r="P277" i="16"/>
  <c r="P276" i="16" s="1"/>
  <c r="P275" i="16" s="1"/>
  <c r="P224" i="16"/>
  <c r="P378" i="16" s="1"/>
  <c r="P261" i="16"/>
  <c r="P319" i="16"/>
  <c r="P315" i="16" s="1"/>
  <c r="P69" i="16"/>
  <c r="P402" i="16" s="1"/>
  <c r="P16" i="16"/>
  <c r="P11" i="16" s="1"/>
  <c r="P165" i="16"/>
  <c r="P404" i="16" s="1"/>
  <c r="P207" i="16"/>
  <c r="P251" i="16"/>
  <c r="P250" i="16" s="1"/>
  <c r="P406" i="16" s="1"/>
  <c r="P126" i="16"/>
  <c r="P125" i="16" s="1"/>
  <c r="P362" i="16" s="1"/>
  <c r="P158" i="16"/>
  <c r="P157" i="16" s="1"/>
  <c r="P391" i="16" s="1"/>
  <c r="P179" i="16"/>
  <c r="P178" i="16" s="1"/>
  <c r="P407" i="16" s="1"/>
  <c r="P243" i="16"/>
  <c r="P257" i="16"/>
  <c r="P256" i="16" s="1"/>
  <c r="P414" i="16" s="1"/>
  <c r="P425" i="16" s="1"/>
  <c r="P352" i="16"/>
  <c r="P89" i="16"/>
  <c r="P390" i="16"/>
  <c r="P387" i="16"/>
  <c r="P235" i="16"/>
  <c r="P21" i="16"/>
  <c r="P20" i="16" s="1"/>
  <c r="P359" i="16" s="1"/>
  <c r="P37" i="16"/>
  <c r="P34" i="16" s="1"/>
  <c r="P49" i="16"/>
  <c r="P48" i="16" s="1"/>
  <c r="P392" i="16" s="1"/>
  <c r="P141" i="16"/>
  <c r="P54" i="16"/>
  <c r="P106" i="16"/>
  <c r="P360" i="16"/>
  <c r="P369" i="16"/>
  <c r="P148" i="16"/>
  <c r="P147" i="16" s="1"/>
  <c r="P56" i="16"/>
  <c r="P385" i="16"/>
  <c r="P394" i="16"/>
  <c r="P182" i="16"/>
  <c r="P181" i="16" s="1"/>
  <c r="P311" i="16"/>
  <c r="P203" i="16"/>
  <c r="P239" i="16"/>
  <c r="P245" i="16"/>
  <c r="P357" i="16"/>
  <c r="P353" i="16"/>
  <c r="P111" i="16"/>
  <c r="P110" i="16" s="1"/>
  <c r="P109" i="16" s="1"/>
  <c r="P205" i="16"/>
  <c r="P222" i="16"/>
  <c r="P221" i="16" s="1"/>
  <c r="P377" i="16" s="1"/>
  <c r="P230" i="16"/>
  <c r="P229" i="16" s="1"/>
  <c r="P379" i="16" s="1"/>
  <c r="P333" i="16"/>
  <c r="P332" i="16" s="1"/>
  <c r="P358" i="16" s="1"/>
  <c r="O64" i="15"/>
  <c r="O79" i="15"/>
  <c r="O72" i="15"/>
  <c r="O71" i="15" s="1"/>
  <c r="O140" i="15"/>
  <c r="O136" i="15" s="1"/>
  <c r="O135" i="15" s="1"/>
  <c r="O177" i="15"/>
  <c r="O348" i="15"/>
  <c r="O330" i="15"/>
  <c r="O329" i="15" s="1"/>
  <c r="O172" i="15"/>
  <c r="O306" i="15"/>
  <c r="O343" i="15"/>
  <c r="O364" i="15"/>
  <c r="O96" i="16"/>
  <c r="O95" i="16" s="1"/>
  <c r="O92" i="16" s="1"/>
  <c r="O415" i="16" s="1"/>
  <c r="O429" i="15"/>
  <c r="P426" i="16" l="1"/>
  <c r="P382" i="16"/>
  <c r="P372" i="16"/>
  <c r="O146" i="15"/>
  <c r="O145" i="15" s="1"/>
  <c r="O78" i="15"/>
  <c r="O227" i="15"/>
  <c r="P174" i="16"/>
  <c r="P173" i="16" s="1"/>
  <c r="P118" i="16"/>
  <c r="P117" i="16" s="1"/>
  <c r="P260" i="16"/>
  <c r="P259" i="16" s="1"/>
  <c r="P355" i="16"/>
  <c r="O419" i="15"/>
  <c r="O430" i="15" s="1"/>
  <c r="P161" i="16"/>
  <c r="P160" i="16" s="1"/>
  <c r="P200" i="16"/>
  <c r="Q96" i="16"/>
  <c r="P153" i="16"/>
  <c r="P152" i="16" s="1"/>
  <c r="P326" i="16"/>
  <c r="P301" i="16" s="1"/>
  <c r="P53" i="16"/>
  <c r="P393" i="16" s="1"/>
  <c r="P238" i="16"/>
  <c r="P386" i="16" s="1"/>
  <c r="O36" i="15"/>
  <c r="O256" i="15"/>
  <c r="O320" i="15"/>
  <c r="O319" i="15" s="1"/>
  <c r="O398" i="15" s="1"/>
  <c r="O411" i="15"/>
  <c r="O360" i="15"/>
  <c r="O354" i="15" s="1"/>
  <c r="O347" i="15" s="1"/>
  <c r="O277" i="15"/>
  <c r="O176" i="15"/>
  <c r="O338" i="15"/>
  <c r="O399" i="15"/>
  <c r="O401" i="15"/>
  <c r="O384" i="15"/>
  <c r="O383" i="15" s="1"/>
  <c r="O382" i="15" s="1"/>
  <c r="O315" i="15"/>
  <c r="O305" i="15" s="1"/>
  <c r="O405" i="15"/>
  <c r="O374" i="15"/>
  <c r="O369" i="15" s="1"/>
  <c r="O368" i="15" s="1"/>
  <c r="O252" i="15"/>
  <c r="O211" i="15"/>
  <c r="O418" i="15"/>
  <c r="O281" i="15"/>
  <c r="O427" i="15"/>
  <c r="P424" i="16" l="1"/>
  <c r="O424" i="15"/>
  <c r="O412" i="15" s="1"/>
  <c r="O400" i="15"/>
  <c r="O417" i="15"/>
  <c r="O416" i="15" s="1"/>
  <c r="O210" i="15"/>
  <c r="O402" i="15" s="1"/>
  <c r="Q95" i="16"/>
  <c r="S96" i="16"/>
  <c r="P7" i="16"/>
  <c r="P6" i="16" s="1"/>
  <c r="O7" i="15"/>
  <c r="P367" i="16"/>
  <c r="P423" i="16" s="1"/>
  <c r="P187" i="16"/>
  <c r="P186" i="16" s="1"/>
  <c r="P429" i="16"/>
  <c r="O304" i="15"/>
  <c r="O407" i="15"/>
  <c r="O403" i="15"/>
  <c r="O293" i="15"/>
  <c r="O276" i="15" s="1"/>
  <c r="C15" i="44"/>
  <c r="C16" i="43"/>
  <c r="S95" i="16" l="1"/>
  <c r="S92" i="16" s="1"/>
  <c r="S415" i="16" s="1"/>
  <c r="Q92" i="16"/>
  <c r="Q415" i="16" s="1"/>
  <c r="P432" i="16"/>
  <c r="O428" i="15"/>
  <c r="P421" i="16"/>
  <c r="P427" i="16" s="1"/>
  <c r="O6" i="15"/>
  <c r="O397" i="15"/>
  <c r="P335" i="16"/>
  <c r="O209" i="15"/>
  <c r="O404" i="15"/>
  <c r="P337" i="16" l="1"/>
  <c r="I10" i="25"/>
  <c r="I9" i="25" s="1"/>
  <c r="I8" i="25" s="1"/>
  <c r="I7" i="25" s="1"/>
  <c r="O409" i="15"/>
  <c r="O393" i="15"/>
  <c r="P438" i="16"/>
  <c r="P439" i="16" s="1"/>
  <c r="P346" i="16"/>
  <c r="P349" i="16" s="1"/>
  <c r="O425" i="15"/>
  <c r="O395" i="15"/>
  <c r="P440" i="16"/>
  <c r="Q16" i="5"/>
  <c r="O16" i="5"/>
  <c r="M13" i="5"/>
  <c r="I14" i="25" l="1"/>
  <c r="I13" i="25" s="1"/>
  <c r="I12" i="25" s="1"/>
  <c r="I11" i="25" s="1"/>
  <c r="I6" i="25" s="1"/>
  <c r="I15" i="25" s="1"/>
  <c r="O435" i="15"/>
  <c r="P345" i="16"/>
  <c r="P348" i="16" s="1"/>
  <c r="O410" i="15"/>
  <c r="P339" i="16"/>
  <c r="P340" i="16" s="1"/>
  <c r="P435" i="16"/>
  <c r="P422" i="16" s="1"/>
  <c r="O420" i="15"/>
  <c r="O394" i="15"/>
  <c r="P437" i="16"/>
  <c r="P441" i="16"/>
  <c r="M33" i="5"/>
  <c r="O33" i="5"/>
  <c r="P33" i="5"/>
  <c r="L33" i="5"/>
  <c r="M28" i="5"/>
  <c r="O28" i="5"/>
  <c r="P28" i="5"/>
  <c r="L28" i="5"/>
  <c r="L16" i="5"/>
  <c r="M63" i="5"/>
  <c r="L253" i="5" l="1"/>
  <c r="L255" i="5"/>
  <c r="N255" i="5"/>
  <c r="P232" i="5" l="1"/>
  <c r="P231" i="5" s="1"/>
  <c r="M232" i="5"/>
  <c r="M231" i="5" s="1"/>
  <c r="Q212" i="5"/>
  <c r="Q213" i="5"/>
  <c r="Q221" i="5"/>
  <c r="Q233" i="5"/>
  <c r="Q232" i="5" s="1"/>
  <c r="Q231" i="5" s="1"/>
  <c r="N212" i="5"/>
  <c r="N213" i="5"/>
  <c r="N221" i="5"/>
  <c r="N233" i="5"/>
  <c r="N232" i="5" s="1"/>
  <c r="N231" i="5" s="1"/>
  <c r="P55" i="5"/>
  <c r="P54" i="5" s="1"/>
  <c r="P50" i="5"/>
  <c r="P49" i="5" s="1"/>
  <c r="M61" i="5"/>
  <c r="M60" i="5" s="1"/>
  <c r="P61" i="5"/>
  <c r="P60" i="5" s="1"/>
  <c r="Q56" i="5"/>
  <c r="Q55" i="5" s="1"/>
  <c r="Q54" i="5" s="1"/>
  <c r="Q62" i="5"/>
  <c r="Q61" i="5" s="1"/>
  <c r="N64" i="5"/>
  <c r="N63" i="5" s="1"/>
  <c r="N49" i="5"/>
  <c r="N51" i="5"/>
  <c r="Q51" i="5"/>
  <c r="Q50" i="5" s="1"/>
  <c r="M55" i="5"/>
  <c r="M54" i="5" s="1"/>
  <c r="M9" i="5" s="1"/>
  <c r="M8" i="5" s="1"/>
  <c r="M266" i="5" s="1"/>
  <c r="N56" i="5"/>
  <c r="P9" i="5" l="1"/>
  <c r="P8" i="5" s="1"/>
  <c r="P266" i="5" s="1"/>
  <c r="M362" i="15"/>
  <c r="L362" i="15"/>
  <c r="L287" i="16"/>
  <c r="K287" i="16"/>
  <c r="L383" i="16" l="1"/>
  <c r="K383" i="16"/>
  <c r="L408" i="16"/>
  <c r="K408" i="16"/>
  <c r="N288" i="16"/>
  <c r="N297" i="16"/>
  <c r="M417" i="16"/>
  <c r="L417" i="16"/>
  <c r="K296" i="16"/>
  <c r="K295" i="16" s="1"/>
  <c r="K417" i="16" s="1"/>
  <c r="N291" i="16"/>
  <c r="M408" i="16"/>
  <c r="N290" i="16" l="1"/>
  <c r="N289" i="16" s="1"/>
  <c r="N408" i="16" s="1"/>
  <c r="O291" i="16"/>
  <c r="N296" i="16"/>
  <c r="N295" i="16" s="1"/>
  <c r="N417" i="16" s="1"/>
  <c r="O297" i="16"/>
  <c r="N287" i="16"/>
  <c r="N286" i="16" s="1"/>
  <c r="N285" i="16" s="1"/>
  <c r="N383" i="16" s="1"/>
  <c r="O288" i="16"/>
  <c r="M383" i="16"/>
  <c r="O296" i="16" l="1"/>
  <c r="O295" i="16" s="1"/>
  <c r="O417" i="16" s="1"/>
  <c r="Q297" i="16"/>
  <c r="O290" i="16"/>
  <c r="O289" i="16" s="1"/>
  <c r="O408" i="16" s="1"/>
  <c r="Q291" i="16"/>
  <c r="O287" i="16"/>
  <c r="O286" i="16" s="1"/>
  <c r="O285" i="16" s="1"/>
  <c r="O383" i="16" s="1"/>
  <c r="Q288" i="16"/>
  <c r="N337" i="15"/>
  <c r="M335" i="15"/>
  <c r="M334" i="15" s="1"/>
  <c r="P333" i="15"/>
  <c r="M330" i="15"/>
  <c r="K330" i="15"/>
  <c r="K329" i="15" s="1"/>
  <c r="J330" i="15"/>
  <c r="J329" i="15" s="1"/>
  <c r="C14" i="41"/>
  <c r="M144" i="15"/>
  <c r="M264" i="15"/>
  <c r="M263" i="15" s="1"/>
  <c r="M260" i="15" s="1"/>
  <c r="M298" i="15"/>
  <c r="M297" i="15" s="1"/>
  <c r="M294" i="15" s="1"/>
  <c r="M41" i="15"/>
  <c r="M40" i="15" s="1"/>
  <c r="M37" i="15" s="1"/>
  <c r="N363" i="15"/>
  <c r="M361" i="15"/>
  <c r="U333" i="15" l="1"/>
  <c r="U332" i="15" s="1"/>
  <c r="U331" i="15" s="1"/>
  <c r="P332" i="15"/>
  <c r="P331" i="15" s="1"/>
  <c r="P337" i="15"/>
  <c r="N336" i="15"/>
  <c r="Q287" i="16"/>
  <c r="Q286" i="16" s="1"/>
  <c r="Q285" i="16" s="1"/>
  <c r="Q383" i="16" s="1"/>
  <c r="S288" i="16"/>
  <c r="S287" i="16" s="1"/>
  <c r="S286" i="16" s="1"/>
  <c r="S285" i="16" s="1"/>
  <c r="S383" i="16" s="1"/>
  <c r="Q290" i="16"/>
  <c r="Q289" i="16" s="1"/>
  <c r="Q408" i="16" s="1"/>
  <c r="S291" i="16"/>
  <c r="S290" i="16" s="1"/>
  <c r="S289" i="16" s="1"/>
  <c r="S408" i="16" s="1"/>
  <c r="Q296" i="16"/>
  <c r="Q295" i="16" s="1"/>
  <c r="Q417" i="16" s="1"/>
  <c r="S297" i="16"/>
  <c r="S296" i="16" s="1"/>
  <c r="S295" i="16" s="1"/>
  <c r="S417" i="16" s="1"/>
  <c r="N361" i="15"/>
  <c r="P363" i="15"/>
  <c r="U363" i="15" s="1"/>
  <c r="N362" i="15"/>
  <c r="M329" i="15"/>
  <c r="L330" i="15"/>
  <c r="L335" i="15"/>
  <c r="L334" i="15" s="1"/>
  <c r="L361" i="15"/>
  <c r="U337" i="15" l="1"/>
  <c r="U336" i="15" s="1"/>
  <c r="P336" i="15"/>
  <c r="U362" i="15"/>
  <c r="U361" i="15"/>
  <c r="N330" i="15"/>
  <c r="N335" i="15"/>
  <c r="N334" i="15" s="1"/>
  <c r="P361" i="15"/>
  <c r="P362" i="15"/>
  <c r="L329" i="15"/>
  <c r="P335" i="15" l="1"/>
  <c r="P334" i="15" s="1"/>
  <c r="U335" i="15"/>
  <c r="U334" i="15" s="1"/>
  <c r="P330" i="15"/>
  <c r="U330" i="15"/>
  <c r="N329" i="15"/>
  <c r="P329" i="15" l="1"/>
  <c r="U329" i="15"/>
  <c r="L370" i="16"/>
  <c r="K370" i="16"/>
  <c r="N28" i="16" l="1"/>
  <c r="M370" i="16"/>
  <c r="N82" i="15"/>
  <c r="P82" i="15" l="1"/>
  <c r="N81" i="15"/>
  <c r="N80" i="15" s="1"/>
  <c r="N27" i="16"/>
  <c r="N26" i="16" s="1"/>
  <c r="N370" i="16" s="1"/>
  <c r="O28" i="16"/>
  <c r="U82" i="15" l="1"/>
  <c r="U81" i="15" s="1"/>
  <c r="U80" i="15" s="1"/>
  <c r="P81" i="15"/>
  <c r="P80" i="15" s="1"/>
  <c r="O27" i="16"/>
  <c r="O26" i="16" s="1"/>
  <c r="O370" i="16" s="1"/>
  <c r="Q28" i="16"/>
  <c r="D14" i="10"/>
  <c r="E13" i="10"/>
  <c r="E12" i="10"/>
  <c r="E11" i="10"/>
  <c r="E10" i="10"/>
  <c r="E9" i="10"/>
  <c r="E8" i="10"/>
  <c r="Q27" i="16" l="1"/>
  <c r="Q26" i="16" s="1"/>
  <c r="Q370" i="16" s="1"/>
  <c r="S28" i="16"/>
  <c r="S27" i="16" s="1"/>
  <c r="S26" i="16" s="1"/>
  <c r="S370" i="16" s="1"/>
  <c r="E14" i="10"/>
  <c r="E8" i="38"/>
  <c r="E9" i="38"/>
  <c r="E10" i="38"/>
  <c r="E11" i="38"/>
  <c r="E12" i="38"/>
  <c r="E7" i="38"/>
  <c r="D13" i="38"/>
  <c r="H9" i="12"/>
  <c r="G15" i="12"/>
  <c r="H14" i="12"/>
  <c r="H13" i="12"/>
  <c r="H12" i="12"/>
  <c r="H11" i="12"/>
  <c r="H10" i="12"/>
  <c r="D15" i="12"/>
  <c r="E14" i="12"/>
  <c r="E13" i="12"/>
  <c r="E12" i="12"/>
  <c r="E11" i="12"/>
  <c r="E10" i="12"/>
  <c r="E9" i="12"/>
  <c r="D13" i="11"/>
  <c r="D14" i="26"/>
  <c r="N273" i="17"/>
  <c r="L274" i="17"/>
  <c r="L273" i="17" s="1"/>
  <c r="M274" i="17"/>
  <c r="M273" i="17" s="1"/>
  <c r="N274" i="17"/>
  <c r="O274" i="17"/>
  <c r="O273" i="17" s="1"/>
  <c r="P274" i="17"/>
  <c r="P273" i="17" s="1"/>
  <c r="N269" i="17"/>
  <c r="L270" i="17"/>
  <c r="L269" i="17" s="1"/>
  <c r="M270" i="17"/>
  <c r="M269" i="17" s="1"/>
  <c r="N270" i="17"/>
  <c r="O270" i="17"/>
  <c r="O269" i="17" s="1"/>
  <c r="P270" i="17"/>
  <c r="P269" i="17" s="1"/>
  <c r="L104" i="17"/>
  <c r="M104" i="17"/>
  <c r="M101" i="17" s="1"/>
  <c r="N104" i="17"/>
  <c r="N101" i="17" s="1"/>
  <c r="O104" i="17"/>
  <c r="P104" i="17"/>
  <c r="P101" i="17" s="1"/>
  <c r="O101" i="17"/>
  <c r="N102" i="17"/>
  <c r="O102" i="17"/>
  <c r="P102" i="17"/>
  <c r="L102" i="17"/>
  <c r="L101" i="17" s="1"/>
  <c r="M102" i="17"/>
  <c r="N49" i="17"/>
  <c r="L50" i="17"/>
  <c r="L49" i="17" s="1"/>
  <c r="M50" i="17"/>
  <c r="M49" i="17" s="1"/>
  <c r="N50" i="17"/>
  <c r="O50" i="17"/>
  <c r="O49" i="17" s="1"/>
  <c r="L47" i="17"/>
  <c r="M47" i="17"/>
  <c r="N47" i="17"/>
  <c r="O47" i="17"/>
  <c r="P47" i="17"/>
  <c r="L45" i="17"/>
  <c r="L44" i="17" s="1"/>
  <c r="M45" i="17"/>
  <c r="N45" i="17"/>
  <c r="O45" i="17"/>
  <c r="O44" i="17" s="1"/>
  <c r="E13" i="38" l="1"/>
  <c r="E15" i="12"/>
  <c r="H15" i="12"/>
  <c r="N44" i="17"/>
  <c r="N32" i="17" s="1"/>
  <c r="M44" i="17"/>
  <c r="L8" i="17"/>
  <c r="L7" i="17" s="1"/>
  <c r="L6" i="17" s="1"/>
  <c r="M8" i="17"/>
  <c r="N8" i="17"/>
  <c r="O8" i="17"/>
  <c r="O7" i="17" s="1"/>
  <c r="P8" i="17"/>
  <c r="L24" i="17"/>
  <c r="M24" i="17"/>
  <c r="N24" i="17"/>
  <c r="O24" i="17"/>
  <c r="P24" i="17"/>
  <c r="L28" i="17"/>
  <c r="M28" i="17"/>
  <c r="N28" i="17"/>
  <c r="O28" i="17"/>
  <c r="P28" i="17"/>
  <c r="L32" i="17"/>
  <c r="M32" i="17"/>
  <c r="M7" i="17" s="1"/>
  <c r="M6" i="17" s="1"/>
  <c r="O32" i="17"/>
  <c r="N55" i="17"/>
  <c r="L56" i="17"/>
  <c r="L55" i="17" s="1"/>
  <c r="M56" i="17"/>
  <c r="M55" i="17" s="1"/>
  <c r="N56" i="17"/>
  <c r="O56" i="17"/>
  <c r="O55" i="17" s="1"/>
  <c r="P56" i="17"/>
  <c r="P55" i="17" s="1"/>
  <c r="N62" i="17"/>
  <c r="L63" i="17"/>
  <c r="L62" i="17" s="1"/>
  <c r="M63" i="17"/>
  <c r="M62" i="17" s="1"/>
  <c r="N63" i="17"/>
  <c r="O63" i="17"/>
  <c r="O62" i="17" s="1"/>
  <c r="P63" i="17"/>
  <c r="P62" i="17" s="1"/>
  <c r="N69" i="17"/>
  <c r="L70" i="17"/>
  <c r="L69" i="17" s="1"/>
  <c r="M70" i="17"/>
  <c r="M69" i="17" s="1"/>
  <c r="N70" i="17"/>
  <c r="O70" i="17"/>
  <c r="O69" i="17" s="1"/>
  <c r="P70" i="17"/>
  <c r="P69" i="17" s="1"/>
  <c r="L77" i="17"/>
  <c r="M77" i="17"/>
  <c r="N77" i="17"/>
  <c r="O77" i="17"/>
  <c r="P77" i="17"/>
  <c r="L81" i="17"/>
  <c r="M81" i="17"/>
  <c r="N81" i="17"/>
  <c r="O81" i="17"/>
  <c r="P81" i="17"/>
  <c r="N90" i="17"/>
  <c r="L91" i="17"/>
  <c r="L90" i="17" s="1"/>
  <c r="M91" i="17"/>
  <c r="M90" i="17" s="1"/>
  <c r="N91" i="17"/>
  <c r="O91" i="17"/>
  <c r="O90" i="17" s="1"/>
  <c r="P91" i="17"/>
  <c r="P90" i="17" s="1"/>
  <c r="L95" i="17"/>
  <c r="M95" i="17"/>
  <c r="N95" i="17"/>
  <c r="O95" i="17"/>
  <c r="P95" i="17"/>
  <c r="L100" i="17"/>
  <c r="L99" i="17" s="1"/>
  <c r="M100" i="17"/>
  <c r="M99" i="17" s="1"/>
  <c r="N100" i="17"/>
  <c r="N99" i="17" s="1"/>
  <c r="O100" i="17"/>
  <c r="O99" i="17" s="1"/>
  <c r="P100" i="17"/>
  <c r="P99" i="17" s="1"/>
  <c r="N106" i="17"/>
  <c r="L107" i="17"/>
  <c r="L106" i="17" s="1"/>
  <c r="M107" i="17"/>
  <c r="M106" i="17" s="1"/>
  <c r="N107" i="17"/>
  <c r="O107" i="17"/>
  <c r="O106" i="17" s="1"/>
  <c r="P107" i="17"/>
  <c r="P106" i="17" s="1"/>
  <c r="L129" i="17"/>
  <c r="M129" i="17"/>
  <c r="N129" i="17"/>
  <c r="O129" i="17"/>
  <c r="P129" i="17"/>
  <c r="N133" i="17"/>
  <c r="L134" i="17"/>
  <c r="L133" i="17" s="1"/>
  <c r="M134" i="17"/>
  <c r="M133" i="17" s="1"/>
  <c r="N134" i="17"/>
  <c r="O134" i="17"/>
  <c r="O133" i="17" s="1"/>
  <c r="P134" i="17"/>
  <c r="P133" i="17" s="1"/>
  <c r="L138" i="17"/>
  <c r="M138" i="17"/>
  <c r="N138" i="17"/>
  <c r="O138" i="17"/>
  <c r="P138" i="17"/>
  <c r="L142" i="17"/>
  <c r="M142" i="17"/>
  <c r="N142" i="17"/>
  <c r="O142" i="17"/>
  <c r="P142" i="17"/>
  <c r="L146" i="17"/>
  <c r="M146" i="17"/>
  <c r="N146" i="17"/>
  <c r="O146" i="17"/>
  <c r="P146" i="17"/>
  <c r="N152" i="17"/>
  <c r="L153" i="17"/>
  <c r="L152" i="17" s="1"/>
  <c r="M153" i="17"/>
  <c r="M152" i="17" s="1"/>
  <c r="N153" i="17"/>
  <c r="O153" i="17"/>
  <c r="O152" i="17" s="1"/>
  <c r="P153" i="17"/>
  <c r="P152" i="17" s="1"/>
  <c r="M161" i="17"/>
  <c r="M160" i="17" s="1"/>
  <c r="L162" i="17"/>
  <c r="L161" i="17" s="1"/>
  <c r="L160" i="17" s="1"/>
  <c r="M162" i="17"/>
  <c r="N162" i="17"/>
  <c r="N161" i="17" s="1"/>
  <c r="N160" i="17" s="1"/>
  <c r="O162" i="17"/>
  <c r="O161" i="17" s="1"/>
  <c r="O160" i="17" s="1"/>
  <c r="P162" i="17"/>
  <c r="P161" i="17" s="1"/>
  <c r="P160" i="17" s="1"/>
  <c r="N214" i="17"/>
  <c r="L215" i="17"/>
  <c r="L214" i="17" s="1"/>
  <c r="M215" i="17"/>
  <c r="M214" i="17" s="1"/>
  <c r="N215" i="17"/>
  <c r="O215" i="17"/>
  <c r="O214" i="17" s="1"/>
  <c r="P215" i="17"/>
  <c r="P214" i="17" s="1"/>
  <c r="L219" i="17"/>
  <c r="M219" i="17"/>
  <c r="N219" i="17"/>
  <c r="O219" i="17"/>
  <c r="P219" i="17"/>
  <c r="L231" i="17"/>
  <c r="M231" i="17"/>
  <c r="N231" i="17"/>
  <c r="O231" i="17"/>
  <c r="P231" i="17"/>
  <c r="M243" i="17"/>
  <c r="L244" i="17"/>
  <c r="L243" i="17" s="1"/>
  <c r="M244" i="17"/>
  <c r="N244" i="17"/>
  <c r="N243" i="17" s="1"/>
  <c r="O244" i="17"/>
  <c r="O243" i="17" s="1"/>
  <c r="P244" i="17"/>
  <c r="P243" i="17" s="1"/>
  <c r="L253" i="17"/>
  <c r="M253" i="17"/>
  <c r="N253" i="17"/>
  <c r="O253" i="17"/>
  <c r="P253" i="17"/>
  <c r="N257" i="17"/>
  <c r="L258" i="17"/>
  <c r="L257" i="17" s="1"/>
  <c r="M258" i="17"/>
  <c r="M257" i="17" s="1"/>
  <c r="N258" i="17"/>
  <c r="O258" i="17"/>
  <c r="O257" i="17" s="1"/>
  <c r="P258" i="17"/>
  <c r="P257" i="17" s="1"/>
  <c r="N262" i="17"/>
  <c r="L263" i="17"/>
  <c r="L262" i="17" s="1"/>
  <c r="M263" i="17"/>
  <c r="M262" i="17" s="1"/>
  <c r="N263" i="17"/>
  <c r="O263" i="17"/>
  <c r="O262" i="17" s="1"/>
  <c r="P263" i="17"/>
  <c r="P262" i="17" s="1"/>
  <c r="L268" i="17"/>
  <c r="O268" i="17"/>
  <c r="L272" i="17"/>
  <c r="O272" i="17"/>
  <c r="L277" i="17"/>
  <c r="L276" i="17" s="1"/>
  <c r="O277" i="17"/>
  <c r="O276" i="17" s="1"/>
  <c r="L282" i="17"/>
  <c r="L281" i="17" s="1"/>
  <c r="L280" i="17" s="1"/>
  <c r="O282" i="17"/>
  <c r="O281" i="17" s="1"/>
  <c r="O280" i="17" s="1"/>
  <c r="L286" i="17"/>
  <c r="O286" i="17"/>
  <c r="K288" i="17"/>
  <c r="K290" i="17"/>
  <c r="K292" i="17"/>
  <c r="K298" i="17"/>
  <c r="K300" i="17"/>
  <c r="K303" i="17"/>
  <c r="K302" i="17" s="1"/>
  <c r="L296" i="17"/>
  <c r="L295" i="17" s="1"/>
  <c r="L294" i="17" s="1"/>
  <c r="O296" i="17"/>
  <c r="O295" i="17" s="1"/>
  <c r="O294" i="17" s="1"/>
  <c r="P301" i="17"/>
  <c r="P299" i="17"/>
  <c r="P293" i="17"/>
  <c r="P291" i="17"/>
  <c r="P289" i="17"/>
  <c r="P285" i="17"/>
  <c r="P275" i="17"/>
  <c r="P271" i="17"/>
  <c r="P266" i="17"/>
  <c r="P261" i="17"/>
  <c r="P256" i="17"/>
  <c r="P252" i="17"/>
  <c r="P251" i="17"/>
  <c r="P241" i="17"/>
  <c r="P239" i="17"/>
  <c r="P236" i="17"/>
  <c r="P234" i="17"/>
  <c r="P230" i="17"/>
  <c r="P222" i="17"/>
  <c r="P218" i="17"/>
  <c r="P213" i="17"/>
  <c r="P210" i="17"/>
  <c r="P208" i="17"/>
  <c r="P201" i="17"/>
  <c r="P197" i="17"/>
  <c r="P193" i="17"/>
  <c r="P187" i="17"/>
  <c r="P184" i="17"/>
  <c r="P171" i="17"/>
  <c r="P159" i="17"/>
  <c r="P156" i="17"/>
  <c r="P151" i="17"/>
  <c r="P149" i="17"/>
  <c r="P145" i="17"/>
  <c r="P141" i="17"/>
  <c r="P137" i="17"/>
  <c r="P132" i="17"/>
  <c r="P128" i="17"/>
  <c r="P125" i="17"/>
  <c r="P122" i="17"/>
  <c r="P119" i="17"/>
  <c r="P116" i="17"/>
  <c r="P105" i="17"/>
  <c r="P103" i="17"/>
  <c r="P98" i="17"/>
  <c r="P89" i="17"/>
  <c r="P86" i="17"/>
  <c r="P84" i="17"/>
  <c r="P80" i="17"/>
  <c r="P76" i="17"/>
  <c r="P73" i="17"/>
  <c r="P68" i="17"/>
  <c r="P66" i="17"/>
  <c r="P61" i="17"/>
  <c r="P59" i="17"/>
  <c r="P54" i="17"/>
  <c r="P51" i="17"/>
  <c r="P50" i="17" s="1"/>
  <c r="P49" i="17" s="1"/>
  <c r="P48" i="17"/>
  <c r="P46" i="17"/>
  <c r="P45" i="17" s="1"/>
  <c r="P44" i="17" s="1"/>
  <c r="P43" i="17"/>
  <c r="P40" i="17"/>
  <c r="P35" i="17"/>
  <c r="P31" i="17"/>
  <c r="P27" i="17"/>
  <c r="P23" i="17"/>
  <c r="P20" i="17"/>
  <c r="P19" i="17"/>
  <c r="P16" i="17"/>
  <c r="P14" i="17"/>
  <c r="P11" i="17"/>
  <c r="P10" i="17"/>
  <c r="P9" i="17" s="1"/>
  <c r="M14" i="17"/>
  <c r="M16" i="17"/>
  <c r="M19" i="17"/>
  <c r="M20" i="17"/>
  <c r="M23" i="17"/>
  <c r="M27" i="17"/>
  <c r="M31" i="17"/>
  <c r="M35" i="17"/>
  <c r="M40" i="17"/>
  <c r="M43" i="17"/>
  <c r="M46" i="17"/>
  <c r="M48" i="17"/>
  <c r="M51" i="17"/>
  <c r="M54" i="17"/>
  <c r="M59" i="17"/>
  <c r="M61" i="17"/>
  <c r="M66" i="17"/>
  <c r="M68" i="17"/>
  <c r="M73" i="17"/>
  <c r="M76" i="17"/>
  <c r="M80" i="17"/>
  <c r="M84" i="17"/>
  <c r="M86" i="17"/>
  <c r="M89" i="17"/>
  <c r="M98" i="17"/>
  <c r="M103" i="17"/>
  <c r="M105" i="17"/>
  <c r="M116" i="17"/>
  <c r="M119" i="17"/>
  <c r="M122" i="17"/>
  <c r="M125" i="17"/>
  <c r="M128" i="17"/>
  <c r="M132" i="17"/>
  <c r="M137" i="17"/>
  <c r="M141" i="17"/>
  <c r="M145" i="17"/>
  <c r="M149" i="17"/>
  <c r="M151" i="17"/>
  <c r="M156" i="17"/>
  <c r="M159" i="17"/>
  <c r="M171" i="17"/>
  <c r="M184" i="17"/>
  <c r="M187" i="17"/>
  <c r="M193" i="17"/>
  <c r="M197" i="17"/>
  <c r="M201" i="17"/>
  <c r="M208" i="17"/>
  <c r="M210" i="17"/>
  <c r="M213" i="17"/>
  <c r="M218" i="17"/>
  <c r="M222" i="17"/>
  <c r="M230" i="17"/>
  <c r="M234" i="17"/>
  <c r="M236" i="17"/>
  <c r="M239" i="17"/>
  <c r="M241" i="17"/>
  <c r="M251" i="17"/>
  <c r="M252" i="17"/>
  <c r="M256" i="17"/>
  <c r="M261" i="17"/>
  <c r="M266" i="17"/>
  <c r="M271" i="17"/>
  <c r="M275" i="17"/>
  <c r="M285" i="17"/>
  <c r="M11" i="17"/>
  <c r="M10" i="17" s="1"/>
  <c r="M9" i="17" s="1"/>
  <c r="O9" i="17"/>
  <c r="L10" i="17"/>
  <c r="L9" i="17" s="1"/>
  <c r="N10" i="17"/>
  <c r="N9" i="17" s="1"/>
  <c r="O10" i="17"/>
  <c r="L242" i="17" l="1"/>
  <c r="O6" i="17"/>
  <c r="P32" i="17"/>
  <c r="P7" i="17"/>
  <c r="P6" i="17" s="1"/>
  <c r="N7" i="17"/>
  <c r="N6" i="17" s="1"/>
  <c r="K287" i="17"/>
  <c r="O267" i="17"/>
  <c r="O242" i="17" s="1"/>
  <c r="O305" i="17" s="1"/>
  <c r="H14" i="26" s="1"/>
  <c r="H13" i="26" s="1"/>
  <c r="H12" i="26" s="1"/>
  <c r="H11" i="26" s="1"/>
  <c r="L267" i="17"/>
  <c r="K297" i="17"/>
  <c r="K296" i="17" s="1"/>
  <c r="K295" i="17" s="1"/>
  <c r="K294" i="17" s="1"/>
  <c r="L305" i="17"/>
  <c r="E14" i="26" s="1"/>
  <c r="E13" i="26" s="1"/>
  <c r="E12" i="26" s="1"/>
  <c r="E11" i="26" s="1"/>
  <c r="M301" i="17"/>
  <c r="M300" i="17" l="1"/>
  <c r="M299" i="17" l="1"/>
  <c r="O442" i="16"/>
  <c r="N334" i="16"/>
  <c r="N331" i="16"/>
  <c r="N330" i="16" s="1"/>
  <c r="N329" i="16"/>
  <c r="N328" i="16" s="1"/>
  <c r="N325" i="16"/>
  <c r="N324" i="16" s="1"/>
  <c r="N323" i="16"/>
  <c r="N322" i="16" s="1"/>
  <c r="N321" i="16"/>
  <c r="N320" i="16" s="1"/>
  <c r="N318" i="16"/>
  <c r="N314" i="16"/>
  <c r="N313" i="16" s="1"/>
  <c r="N312" i="16" s="1"/>
  <c r="N311" i="16" s="1"/>
  <c r="N310" i="16"/>
  <c r="N309" i="16" s="1"/>
  <c r="N306" i="16" s="1"/>
  <c r="N302" i="16" s="1"/>
  <c r="N294" i="16"/>
  <c r="N293" i="16" s="1"/>
  <c r="N292" i="16" s="1"/>
  <c r="N284" i="16"/>
  <c r="N283" i="16"/>
  <c r="N278" i="16"/>
  <c r="N274" i="16"/>
  <c r="N273" i="16" s="1"/>
  <c r="N272" i="16" s="1"/>
  <c r="N271" i="16"/>
  <c r="N270" i="16" s="1"/>
  <c r="N269" i="16" s="1"/>
  <c r="N267" i="16"/>
  <c r="N266" i="16" s="1"/>
  <c r="N265" i="16"/>
  <c r="N264" i="16" s="1"/>
  <c r="N263" i="16"/>
  <c r="N262" i="16" s="1"/>
  <c r="N258" i="16"/>
  <c r="N255" i="16"/>
  <c r="N252" i="16"/>
  <c r="N249" i="16"/>
  <c r="N248" i="16" s="1"/>
  <c r="N247" i="16" s="1"/>
  <c r="N246" i="16"/>
  <c r="N245" i="16" s="1"/>
  <c r="N244" i="16"/>
  <c r="N243" i="16" s="1"/>
  <c r="N242" i="16"/>
  <c r="N241" i="16" s="1"/>
  <c r="N240" i="16"/>
  <c r="N239" i="16" s="1"/>
  <c r="N237" i="16"/>
  <c r="N236" i="16" s="1"/>
  <c r="N235" i="16" s="1"/>
  <c r="N231" i="16"/>
  <c r="N228" i="16"/>
  <c r="N227" i="16" s="1"/>
  <c r="N226" i="16"/>
  <c r="N225" i="16" s="1"/>
  <c r="N223" i="16"/>
  <c r="N220" i="16"/>
  <c r="N217" i="16"/>
  <c r="N214" i="16"/>
  <c r="N213" i="16" s="1"/>
  <c r="N212" i="16"/>
  <c r="N211" i="16" s="1"/>
  <c r="N208" i="16"/>
  <c r="N207" i="16" s="1"/>
  <c r="N206" i="16"/>
  <c r="N205" i="16" s="1"/>
  <c r="N204" i="16"/>
  <c r="N203" i="16" s="1"/>
  <c r="N202" i="16"/>
  <c r="N201" i="16" s="1"/>
  <c r="N199" i="16"/>
  <c r="N196" i="16"/>
  <c r="N193" i="16"/>
  <c r="N190" i="16"/>
  <c r="N189" i="16" s="1"/>
  <c r="N188" i="16" s="1"/>
  <c r="N185" i="16"/>
  <c r="N184" i="16" s="1"/>
  <c r="N183" i="16" s="1"/>
  <c r="N182" i="16" s="1"/>
  <c r="N180" i="16"/>
  <c r="N179" i="16" s="1"/>
  <c r="N178" i="16" s="1"/>
  <c r="N174" i="16" s="1"/>
  <c r="N173" i="16" s="1"/>
  <c r="N172" i="16"/>
  <c r="N169" i="16"/>
  <c r="N168" i="16" s="1"/>
  <c r="N167" i="16"/>
  <c r="N166" i="16" s="1"/>
  <c r="N164" i="16"/>
  <c r="N159" i="16"/>
  <c r="N156" i="16"/>
  <c r="N151" i="16"/>
  <c r="N150" i="16" s="1"/>
  <c r="N149" i="16" s="1"/>
  <c r="N148" i="16" s="1"/>
  <c r="N147" i="16" s="1"/>
  <c r="N143" i="16"/>
  <c r="N142" i="16" s="1"/>
  <c r="N141" i="16" s="1"/>
  <c r="N140" i="16"/>
  <c r="N137" i="16"/>
  <c r="N134" i="16"/>
  <c r="N133" i="16" s="1"/>
  <c r="N132" i="16" s="1"/>
  <c r="N130" i="16"/>
  <c r="N127" i="16"/>
  <c r="N124" i="16"/>
  <c r="N121" i="16"/>
  <c r="N116" i="16"/>
  <c r="N113" i="16"/>
  <c r="N112" i="16" s="1"/>
  <c r="N111" i="16" s="1"/>
  <c r="N108" i="16"/>
  <c r="N105" i="16"/>
  <c r="N99" i="16"/>
  <c r="N91" i="16"/>
  <c r="N90" i="16" s="1"/>
  <c r="N89" i="16" s="1"/>
  <c r="N88" i="16"/>
  <c r="N87" i="16" s="1"/>
  <c r="N86" i="16"/>
  <c r="N85" i="16" s="1"/>
  <c r="N77" i="16"/>
  <c r="N76" i="16" s="1"/>
  <c r="N75" i="16" s="1"/>
  <c r="N74" i="16"/>
  <c r="N71" i="16"/>
  <c r="N68" i="16"/>
  <c r="N67" i="16" s="1"/>
  <c r="N64" i="16" s="1"/>
  <c r="N63" i="16"/>
  <c r="N60" i="16"/>
  <c r="N57" i="16"/>
  <c r="N56" i="16" s="1"/>
  <c r="N55" i="16"/>
  <c r="N54" i="16" s="1"/>
  <c r="N52" i="16"/>
  <c r="N51" i="16" s="1"/>
  <c r="N50" i="16"/>
  <c r="N49" i="16" s="1"/>
  <c r="N47" i="16"/>
  <c r="N44" i="16"/>
  <c r="N41" i="16"/>
  <c r="N38" i="16"/>
  <c r="N37" i="16" s="1"/>
  <c r="N36" i="16"/>
  <c r="N35" i="16" s="1"/>
  <c r="N33" i="16"/>
  <c r="N32" i="16" s="1"/>
  <c r="N31" i="16"/>
  <c r="N30" i="16" s="1"/>
  <c r="N25" i="16"/>
  <c r="N24" i="16" s="1"/>
  <c r="N23" i="16" s="1"/>
  <c r="N22" i="16"/>
  <c r="N19" i="16"/>
  <c r="N18" i="16"/>
  <c r="N17" i="16"/>
  <c r="N15" i="16"/>
  <c r="N14" i="16" s="1"/>
  <c r="N13" i="16"/>
  <c r="N12" i="16" s="1"/>
  <c r="N10" i="16"/>
  <c r="N9" i="16" s="1"/>
  <c r="N8" i="16" s="1"/>
  <c r="M408" i="15"/>
  <c r="M391" i="15"/>
  <c r="M390" i="15" s="1"/>
  <c r="M370" i="15"/>
  <c r="M366" i="15"/>
  <c r="M365" i="15" s="1"/>
  <c r="M364" i="15" s="1"/>
  <c r="M360" i="15" s="1"/>
  <c r="M357" i="15"/>
  <c r="M356" i="15" s="1"/>
  <c r="M355" i="15" s="1"/>
  <c r="M351" i="15"/>
  <c r="M350" i="15" s="1"/>
  <c r="M349" i="15" s="1"/>
  <c r="M343" i="15"/>
  <c r="M341" i="15"/>
  <c r="M327" i="15"/>
  <c r="M326" i="15" s="1"/>
  <c r="M325" i="15" s="1"/>
  <c r="M324" i="15" s="1"/>
  <c r="M252" i="15"/>
  <c r="M199" i="15"/>
  <c r="M196" i="15" s="1"/>
  <c r="M181" i="15"/>
  <c r="M172" i="15"/>
  <c r="M143" i="15"/>
  <c r="M137" i="15"/>
  <c r="M90" i="15"/>
  <c r="M89" i="15" s="1"/>
  <c r="M26" i="15"/>
  <c r="M25" i="15" s="1"/>
  <c r="M10" i="15"/>
  <c r="M9" i="15" s="1"/>
  <c r="N53" i="16" l="1"/>
  <c r="M340" i="15"/>
  <c r="M339" i="15" s="1"/>
  <c r="N84" i="16"/>
  <c r="N16" i="16"/>
  <c r="N11" i="16" s="1"/>
  <c r="N224" i="16"/>
  <c r="N378" i="16" s="1"/>
  <c r="N48" i="16"/>
  <c r="N392" i="16" s="1"/>
  <c r="N238" i="16"/>
  <c r="N319" i="16"/>
  <c r="N327" i="16"/>
  <c r="N43" i="16"/>
  <c r="N42" i="16" s="1"/>
  <c r="N388" i="16" s="1"/>
  <c r="N104" i="16"/>
  <c r="N103" i="16" s="1"/>
  <c r="N419" i="16" s="1"/>
  <c r="N120" i="16"/>
  <c r="N119" i="16" s="1"/>
  <c r="N165" i="16"/>
  <c r="N198" i="16"/>
  <c r="N197" i="16" s="1"/>
  <c r="N366" i="16" s="1"/>
  <c r="N219" i="16"/>
  <c r="N218" i="16" s="1"/>
  <c r="N376" i="16" s="1"/>
  <c r="N230" i="16"/>
  <c r="N229" i="16" s="1"/>
  <c r="N379" i="16" s="1"/>
  <c r="N254" i="16"/>
  <c r="N253" i="16" s="1"/>
  <c r="N409" i="16" s="1"/>
  <c r="N282" i="16"/>
  <c r="N281" i="16" s="1"/>
  <c r="N280" i="16" s="1"/>
  <c r="N381" i="16" s="1"/>
  <c r="N21" i="16"/>
  <c r="N20" i="16" s="1"/>
  <c r="N359" i="16" s="1"/>
  <c r="N34" i="16"/>
  <c r="N46" i="16"/>
  <c r="N45" i="16" s="1"/>
  <c r="N389" i="16" s="1"/>
  <c r="N69" i="16"/>
  <c r="N402" i="16" s="1"/>
  <c r="N70" i="16"/>
  <c r="N123" i="16"/>
  <c r="N122" i="16" s="1"/>
  <c r="N361" i="16" s="1"/>
  <c r="N136" i="16"/>
  <c r="N135" i="16" s="1"/>
  <c r="N398" i="16" s="1"/>
  <c r="N155" i="16"/>
  <c r="N154" i="16" s="1"/>
  <c r="N200" i="16"/>
  <c r="N367" i="16" s="1"/>
  <c r="N210" i="16"/>
  <c r="N222" i="16"/>
  <c r="N221" i="16" s="1"/>
  <c r="N377" i="16" s="1"/>
  <c r="N257" i="16"/>
  <c r="N256" i="16" s="1"/>
  <c r="N414" i="16" s="1"/>
  <c r="N317" i="16"/>
  <c r="N316" i="16" s="1"/>
  <c r="N59" i="16"/>
  <c r="N58" i="16" s="1"/>
  <c r="N395" i="16" s="1"/>
  <c r="N72" i="16"/>
  <c r="N403" i="16" s="1"/>
  <c r="N73" i="16"/>
  <c r="N126" i="16"/>
  <c r="N125" i="16" s="1"/>
  <c r="N362" i="16" s="1"/>
  <c r="N139" i="16"/>
  <c r="N138" i="16" s="1"/>
  <c r="N399" i="16" s="1"/>
  <c r="N158" i="16"/>
  <c r="N157" i="16" s="1"/>
  <c r="N391" i="16" s="1"/>
  <c r="N171" i="16"/>
  <c r="N170" i="16" s="1"/>
  <c r="N410" i="16" s="1"/>
  <c r="N425" i="16" s="1"/>
  <c r="N192" i="16"/>
  <c r="N191" i="16" s="1"/>
  <c r="N364" i="16" s="1"/>
  <c r="N261" i="16"/>
  <c r="N29" i="16"/>
  <c r="N371" i="16" s="1"/>
  <c r="N40" i="16"/>
  <c r="N39" i="16" s="1"/>
  <c r="N373" i="16" s="1"/>
  <c r="N62" i="16"/>
  <c r="N61" i="16" s="1"/>
  <c r="N396" i="16" s="1"/>
  <c r="N98" i="16"/>
  <c r="N97" i="16" s="1"/>
  <c r="N416" i="16" s="1"/>
  <c r="N115" i="16"/>
  <c r="N114" i="16" s="1"/>
  <c r="N110" i="16" s="1"/>
  <c r="N109" i="16" s="1"/>
  <c r="N129" i="16"/>
  <c r="N128" i="16" s="1"/>
  <c r="N363" i="16" s="1"/>
  <c r="N163" i="16"/>
  <c r="N162" i="16" s="1"/>
  <c r="N195" i="16"/>
  <c r="N194" i="16" s="1"/>
  <c r="N365" i="16" s="1"/>
  <c r="N216" i="16"/>
  <c r="N215" i="16" s="1"/>
  <c r="N375" i="16" s="1"/>
  <c r="N251" i="16"/>
  <c r="N250" i="16" s="1"/>
  <c r="N406" i="16" s="1"/>
  <c r="N333" i="16"/>
  <c r="N332" i="16" s="1"/>
  <c r="N358" i="16" s="1"/>
  <c r="M354" i="15"/>
  <c r="M140" i="15"/>
  <c r="M136" i="15" s="1"/>
  <c r="M135" i="15" s="1"/>
  <c r="N352" i="16"/>
  <c r="N374" i="16"/>
  <c r="M79" i="15"/>
  <c r="N400" i="16"/>
  <c r="N369" i="16"/>
  <c r="N181" i="16"/>
  <c r="N394" i="16"/>
  <c r="N357" i="16"/>
  <c r="N407" i="16"/>
  <c r="N387" i="16"/>
  <c r="M298" i="17"/>
  <c r="N397" i="16"/>
  <c r="M281" i="15"/>
  <c r="N393" i="16"/>
  <c r="N386" i="16"/>
  <c r="N368" i="16"/>
  <c r="N277" i="16"/>
  <c r="N276" i="16" s="1"/>
  <c r="N275" i="16" s="1"/>
  <c r="N412" i="16"/>
  <c r="N405" i="16"/>
  <c r="N107" i="16"/>
  <c r="N106" i="16" s="1"/>
  <c r="M102" i="15"/>
  <c r="M24" i="15"/>
  <c r="M64" i="15"/>
  <c r="M92" i="15"/>
  <c r="M8" i="15"/>
  <c r="M72" i="15"/>
  <c r="M71" i="15" s="1"/>
  <c r="M191" i="15"/>
  <c r="M277" i="15"/>
  <c r="M320" i="15"/>
  <c r="M319" i="15" s="1"/>
  <c r="M177" i="15"/>
  <c r="M202" i="15"/>
  <c r="M227" i="15"/>
  <c r="M293" i="15"/>
  <c r="M315" i="15"/>
  <c r="M374" i="15"/>
  <c r="M369" i="15" s="1"/>
  <c r="M368" i="15" s="1"/>
  <c r="M411" i="15"/>
  <c r="M116" i="15"/>
  <c r="M338" i="15"/>
  <c r="M348" i="15"/>
  <c r="M347" i="15" s="1"/>
  <c r="L223" i="16"/>
  <c r="K222" i="16"/>
  <c r="K221" i="16" s="1"/>
  <c r="K377" i="16" s="1"/>
  <c r="L239" i="15"/>
  <c r="L238" i="15" s="1"/>
  <c r="L237" i="15" s="1"/>
  <c r="N426" i="16" l="1"/>
  <c r="M146" i="15"/>
  <c r="M145" i="15" s="1"/>
  <c r="N315" i="16"/>
  <c r="N161" i="16"/>
  <c r="N160" i="16" s="1"/>
  <c r="N260" i="16"/>
  <c r="N259" i="16" s="1"/>
  <c r="M36" i="15"/>
  <c r="M7" i="15" s="1"/>
  <c r="N7" i="16"/>
  <c r="N326" i="16"/>
  <c r="N187" i="16"/>
  <c r="N186" i="16" s="1"/>
  <c r="L222" i="16"/>
  <c r="L221" i="16" s="1"/>
  <c r="L377" i="16" s="1"/>
  <c r="M223" i="16"/>
  <c r="N353" i="16"/>
  <c r="N153" i="16"/>
  <c r="N152" i="16" s="1"/>
  <c r="N118" i="16"/>
  <c r="N117" i="16" s="1"/>
  <c r="N385" i="16"/>
  <c r="N401" i="16"/>
  <c r="N390" i="16"/>
  <c r="N360" i="16"/>
  <c r="N372" i="16"/>
  <c r="N404" i="16"/>
  <c r="N355" i="16"/>
  <c r="N354" i="16"/>
  <c r="N382" i="16"/>
  <c r="M256" i="15"/>
  <c r="M297" i="17"/>
  <c r="M296" i="17" s="1"/>
  <c r="M295" i="17" s="1"/>
  <c r="M294" i="17" s="1"/>
  <c r="M78" i="15"/>
  <c r="M400" i="15" s="1"/>
  <c r="N239" i="15"/>
  <c r="N238" i="15" s="1"/>
  <c r="N237" i="15" s="1"/>
  <c r="M306" i="15"/>
  <c r="M305" i="15" s="1"/>
  <c r="M304" i="15" s="1"/>
  <c r="M195" i="15"/>
  <c r="M176" i="15" s="1"/>
  <c r="M398" i="15"/>
  <c r="M418" i="15"/>
  <c r="M276" i="15"/>
  <c r="M403" i="15"/>
  <c r="M417" i="15"/>
  <c r="M407" i="15"/>
  <c r="M211" i="15"/>
  <c r="M111" i="15"/>
  <c r="M419" i="15"/>
  <c r="M384" i="15"/>
  <c r="M383" i="15" s="1"/>
  <c r="M382" i="15" s="1"/>
  <c r="M201" i="15"/>
  <c r="M399" i="15"/>
  <c r="M210" i="15" l="1"/>
  <c r="M402" i="15" s="1"/>
  <c r="N424" i="16"/>
  <c r="N423" i="16"/>
  <c r="N301" i="16"/>
  <c r="P239" i="15"/>
  <c r="P238" i="15" s="1"/>
  <c r="P237" i="15" s="1"/>
  <c r="N6" i="16"/>
  <c r="M222" i="16"/>
  <c r="M221" i="16" s="1"/>
  <c r="M377" i="16" s="1"/>
  <c r="O223" i="16"/>
  <c r="N421" i="16"/>
  <c r="M293" i="17"/>
  <c r="M397" i="15"/>
  <c r="M6" i="15"/>
  <c r="M404" i="15"/>
  <c r="M401" i="15"/>
  <c r="M405" i="15"/>
  <c r="M416" i="15"/>
  <c r="M209" i="15" l="1"/>
  <c r="N427" i="16"/>
  <c r="U239" i="15"/>
  <c r="U238" i="15" s="1"/>
  <c r="U237" i="15" s="1"/>
  <c r="O222" i="16"/>
  <c r="O221" i="16" s="1"/>
  <c r="O377" i="16" s="1"/>
  <c r="Q223" i="16"/>
  <c r="N335" i="16"/>
  <c r="M292" i="17"/>
  <c r="M393" i="15"/>
  <c r="M435" i="15" s="1"/>
  <c r="M409" i="15"/>
  <c r="N337" i="16" l="1"/>
  <c r="Q222" i="16"/>
  <c r="Q221" i="16" s="1"/>
  <c r="Q377" i="16" s="1"/>
  <c r="S223" i="16"/>
  <c r="S222" i="16" s="1"/>
  <c r="S221" i="16" s="1"/>
  <c r="S377" i="16" s="1"/>
  <c r="G14" i="25"/>
  <c r="G13" i="25" s="1"/>
  <c r="G12" i="25" s="1"/>
  <c r="G11" i="25" s="1"/>
  <c r="M291" i="17"/>
  <c r="N339" i="16"/>
  <c r="N340" i="16" s="1"/>
  <c r="N435" i="16"/>
  <c r="N345" i="16"/>
  <c r="N348" i="16" s="1"/>
  <c r="M410" i="15"/>
  <c r="M420" i="15"/>
  <c r="N437" i="16" l="1"/>
  <c r="N422" i="16"/>
  <c r="M290" i="17"/>
  <c r="N438" i="16"/>
  <c r="N439" i="16" s="1"/>
  <c r="N346" i="16"/>
  <c r="N349" i="16" s="1"/>
  <c r="M289" i="17" l="1"/>
  <c r="M288" i="17" l="1"/>
  <c r="M287" i="17"/>
  <c r="M286" i="17" s="1"/>
  <c r="E10" i="26" l="1"/>
  <c r="E9" i="26" s="1"/>
  <c r="E8" i="26" s="1"/>
  <c r="E7" i="26" s="1"/>
  <c r="E6" i="26" s="1"/>
  <c r="E15" i="26" s="1"/>
  <c r="G10" i="26"/>
  <c r="D10" i="26"/>
  <c r="F9" i="26"/>
  <c r="F8" i="26" s="1"/>
  <c r="F7" i="26" s="1"/>
  <c r="I9" i="26"/>
  <c r="I8" i="26" s="1"/>
  <c r="I7" i="26" s="1"/>
  <c r="H10" i="26"/>
  <c r="H9" i="26" s="1"/>
  <c r="H8" i="26" s="1"/>
  <c r="H7" i="26" s="1"/>
  <c r="H6" i="26" s="1"/>
  <c r="H15" i="26" s="1"/>
  <c r="M429" i="15" l="1"/>
  <c r="M430" i="15" s="1"/>
  <c r="M427" i="15" l="1"/>
  <c r="M428" i="15" s="1"/>
  <c r="N429" i="16" l="1"/>
  <c r="N432" i="16" s="1"/>
  <c r="M424" i="15"/>
  <c r="M412" i="15" s="1"/>
  <c r="K357" i="15"/>
  <c r="K356" i="15" s="1"/>
  <c r="K355" i="15" s="1"/>
  <c r="J357" i="15"/>
  <c r="J356" i="15" s="1"/>
  <c r="J355" i="15" s="1"/>
  <c r="K283" i="16"/>
  <c r="L283" i="16"/>
  <c r="L358" i="15"/>
  <c r="N358" i="15" s="1"/>
  <c r="P358" i="15" s="1"/>
  <c r="U358" i="15" s="1"/>
  <c r="M283" i="16" l="1"/>
  <c r="K168" i="15"/>
  <c r="K167" i="15" s="1"/>
  <c r="K166" i="15" s="1"/>
  <c r="K248" i="15"/>
  <c r="K247" i="15" s="1"/>
  <c r="K246" i="15" s="1"/>
  <c r="O283" i="16" l="1"/>
  <c r="Q283" i="16" s="1"/>
  <c r="S283" i="16" s="1"/>
  <c r="G10" i="25"/>
  <c r="G9" i="25" s="1"/>
  <c r="G8" i="25" s="1"/>
  <c r="G7" i="25" s="1"/>
  <c r="G6" i="25" s="1"/>
  <c r="G15" i="25" s="1"/>
  <c r="M395" i="15"/>
  <c r="M394" i="15" s="1"/>
  <c r="N440" i="16"/>
  <c r="M425" i="15"/>
  <c r="L77" i="16"/>
  <c r="K76" i="16"/>
  <c r="K75" i="16" s="1"/>
  <c r="K405" i="16" s="1"/>
  <c r="L25" i="16"/>
  <c r="K24" i="16"/>
  <c r="K23" i="16" s="1"/>
  <c r="K368" i="16" s="1"/>
  <c r="L76" i="16" l="1"/>
  <c r="L75" i="16" s="1"/>
  <c r="L405" i="16" s="1"/>
  <c r="M77" i="16"/>
  <c r="M25" i="16"/>
  <c r="L24" i="16"/>
  <c r="L23" i="16" s="1"/>
  <c r="L368" i="16" s="1"/>
  <c r="N441" i="16"/>
  <c r="K142" i="16"/>
  <c r="K141" i="16" s="1"/>
  <c r="L143" i="16"/>
  <c r="M143" i="16" s="1"/>
  <c r="O143" i="16" s="1"/>
  <c r="Q143" i="16" s="1"/>
  <c r="S143" i="16" s="1"/>
  <c r="L108" i="16"/>
  <c r="M108" i="16" s="1"/>
  <c r="O108" i="16" s="1"/>
  <c r="Q108" i="16" s="1"/>
  <c r="S108" i="16" s="1"/>
  <c r="M76" i="16" l="1"/>
  <c r="M75" i="16" s="1"/>
  <c r="M405" i="16" s="1"/>
  <c r="O77" i="16"/>
  <c r="M24" i="16"/>
  <c r="M23" i="16" s="1"/>
  <c r="M368" i="16" s="1"/>
  <c r="O25" i="16"/>
  <c r="L142" i="16"/>
  <c r="L128" i="15"/>
  <c r="K52" i="15"/>
  <c r="K51" i="15" s="1"/>
  <c r="K48" i="15" s="1"/>
  <c r="N128" i="15" l="1"/>
  <c r="L127" i="15"/>
  <c r="L126" i="15" s="1"/>
  <c r="O76" i="16"/>
  <c r="O75" i="16" s="1"/>
  <c r="O405" i="16" s="1"/>
  <c r="Q77" i="16"/>
  <c r="O24" i="16"/>
  <c r="O23" i="16" s="1"/>
  <c r="O368" i="16" s="1"/>
  <c r="Q25" i="16"/>
  <c r="L141" i="16"/>
  <c r="M141" i="16" s="1"/>
  <c r="O141" i="16" s="1"/>
  <c r="Q141" i="16" s="1"/>
  <c r="S141" i="16" s="1"/>
  <c r="M142" i="16"/>
  <c r="O142" i="16" s="1"/>
  <c r="Q142" i="16" s="1"/>
  <c r="S142" i="16" s="1"/>
  <c r="P128" i="15" l="1"/>
  <c r="N127" i="15"/>
  <c r="N126" i="15" s="1"/>
  <c r="Q24" i="16"/>
  <c r="Q23" i="16" s="1"/>
  <c r="Q368" i="16" s="1"/>
  <c r="S25" i="16"/>
  <c r="S24" i="16" s="1"/>
  <c r="S23" i="16" s="1"/>
  <c r="Q76" i="16"/>
  <c r="Q75" i="16" s="1"/>
  <c r="Q405" i="16" s="1"/>
  <c r="S77" i="16"/>
  <c r="S76" i="16" s="1"/>
  <c r="S75" i="16" s="1"/>
  <c r="S405" i="16" s="1"/>
  <c r="L116" i="16"/>
  <c r="K115" i="16"/>
  <c r="K114" i="16" s="1"/>
  <c r="K401" i="16" s="1"/>
  <c r="L342" i="15"/>
  <c r="N342" i="15" s="1"/>
  <c r="P342" i="15" s="1"/>
  <c r="U342" i="15" s="1"/>
  <c r="K341" i="15"/>
  <c r="J341" i="15"/>
  <c r="S368" i="16" l="1"/>
  <c r="U128" i="15"/>
  <c r="U127" i="15" s="1"/>
  <c r="U126" i="15" s="1"/>
  <c r="P127" i="15"/>
  <c r="P126" i="15" s="1"/>
  <c r="K340" i="15"/>
  <c r="K339" i="15" s="1"/>
  <c r="L115" i="16"/>
  <c r="L114" i="16" s="1"/>
  <c r="L401" i="16" s="1"/>
  <c r="M116" i="16"/>
  <c r="L341" i="15"/>
  <c r="J340" i="15"/>
  <c r="L340" i="15" l="1"/>
  <c r="N340" i="15" s="1"/>
  <c r="N341" i="15"/>
  <c r="M115" i="16"/>
  <c r="M114" i="16" s="1"/>
  <c r="M401" i="16" s="1"/>
  <c r="O116" i="16"/>
  <c r="L339" i="15"/>
  <c r="J339" i="15"/>
  <c r="J141" i="15"/>
  <c r="L141" i="15" s="1"/>
  <c r="N141" i="15" s="1"/>
  <c r="P141" i="15" s="1"/>
  <c r="U141" i="15" s="1"/>
  <c r="K140" i="15"/>
  <c r="L139" i="15"/>
  <c r="K137" i="15"/>
  <c r="J137" i="15"/>
  <c r="L119" i="15"/>
  <c r="N119" i="15" l="1"/>
  <c r="L118" i="15"/>
  <c r="L117" i="15" s="1"/>
  <c r="N139" i="15"/>
  <c r="L138" i="15"/>
  <c r="P341" i="15"/>
  <c r="N339" i="15"/>
  <c r="P340" i="15"/>
  <c r="O115" i="16"/>
  <c r="O114" i="16" s="1"/>
  <c r="O401" i="16" s="1"/>
  <c r="Q116" i="16"/>
  <c r="K136" i="15"/>
  <c r="J140" i="15"/>
  <c r="J136" i="15" s="1"/>
  <c r="P139" i="15" l="1"/>
  <c r="N138" i="15"/>
  <c r="P119" i="15"/>
  <c r="N118" i="15"/>
  <c r="N117" i="15" s="1"/>
  <c r="U341" i="15"/>
  <c r="P339" i="15"/>
  <c r="U340" i="15"/>
  <c r="U339" i="15" s="1"/>
  <c r="Q115" i="16"/>
  <c r="Q114" i="16" s="1"/>
  <c r="Q401" i="16" s="1"/>
  <c r="S116" i="16"/>
  <c r="S115" i="16" s="1"/>
  <c r="S114" i="16" s="1"/>
  <c r="S401" i="16" s="1"/>
  <c r="L137" i="15"/>
  <c r="L107" i="16"/>
  <c r="K107" i="16"/>
  <c r="K106" i="16" s="1"/>
  <c r="L74" i="16"/>
  <c r="K73" i="16"/>
  <c r="K72" i="16"/>
  <c r="K403" i="16" s="1"/>
  <c r="L125" i="15"/>
  <c r="L278" i="16"/>
  <c r="M278" i="16" s="1"/>
  <c r="O278" i="16" s="1"/>
  <c r="Q278" i="16" s="1"/>
  <c r="S278" i="16" s="1"/>
  <c r="K351" i="15"/>
  <c r="K350" i="15" s="1"/>
  <c r="K349" i="15" s="1"/>
  <c r="L352" i="15"/>
  <c r="J351" i="15"/>
  <c r="J350" i="15" s="1"/>
  <c r="J349" i="15" s="1"/>
  <c r="N125" i="15" l="1"/>
  <c r="L124" i="15"/>
  <c r="L123" i="15" s="1"/>
  <c r="U119" i="15"/>
  <c r="U118" i="15" s="1"/>
  <c r="U117" i="15" s="1"/>
  <c r="P118" i="15"/>
  <c r="P117" i="15" s="1"/>
  <c r="U139" i="15"/>
  <c r="U138" i="15" s="1"/>
  <c r="P138" i="15"/>
  <c r="N137" i="15"/>
  <c r="L72" i="16"/>
  <c r="L73" i="16"/>
  <c r="M74" i="16"/>
  <c r="L106" i="16"/>
  <c r="M106" i="16" s="1"/>
  <c r="O106" i="16" s="1"/>
  <c r="Q106" i="16" s="1"/>
  <c r="S106" i="16" s="1"/>
  <c r="M107" i="16"/>
  <c r="O107" i="16" s="1"/>
  <c r="Q107" i="16" s="1"/>
  <c r="S107" i="16" s="1"/>
  <c r="L351" i="15"/>
  <c r="N352" i="15"/>
  <c r="P352" i="15" s="1"/>
  <c r="P125" i="15" l="1"/>
  <c r="N124" i="15"/>
  <c r="N123" i="15" s="1"/>
  <c r="P351" i="15"/>
  <c r="U352" i="15"/>
  <c r="U351" i="15" s="1"/>
  <c r="P137" i="15"/>
  <c r="U137" i="15"/>
  <c r="M73" i="16"/>
  <c r="O74" i="16"/>
  <c r="Q74" i="16" s="1"/>
  <c r="S74" i="16" s="1"/>
  <c r="M72" i="16"/>
  <c r="N351" i="15"/>
  <c r="L403" i="16"/>
  <c r="U125" i="15" l="1"/>
  <c r="U124" i="15" s="1"/>
  <c r="U123" i="15" s="1"/>
  <c r="P124" i="15"/>
  <c r="P123" i="15" s="1"/>
  <c r="S73" i="16"/>
  <c r="S72" i="16"/>
  <c r="S403" i="16" s="1"/>
  <c r="Q72" i="16"/>
  <c r="Q403" i="16" s="1"/>
  <c r="Q73" i="16"/>
  <c r="O72" i="16"/>
  <c r="O403" i="16" s="1"/>
  <c r="O73" i="16"/>
  <c r="M403" i="16"/>
  <c r="K90" i="15"/>
  <c r="K89" i="15" s="1"/>
  <c r="L91" i="15"/>
  <c r="J90" i="15"/>
  <c r="J89" i="15" s="1"/>
  <c r="K327" i="15"/>
  <c r="K326" i="15" s="1"/>
  <c r="K325" i="15" s="1"/>
  <c r="K324" i="15" s="1"/>
  <c r="L328" i="15"/>
  <c r="J327" i="15"/>
  <c r="J326" i="15" s="1"/>
  <c r="J325" i="15" s="1"/>
  <c r="J324" i="15" s="1"/>
  <c r="L90" i="15" l="1"/>
  <c r="L89" i="15" s="1"/>
  <c r="N91" i="15"/>
  <c r="L327" i="15"/>
  <c r="L326" i="15" s="1"/>
  <c r="L325" i="15" s="1"/>
  <c r="L324" i="15" s="1"/>
  <c r="N328" i="15"/>
  <c r="N90" i="15" l="1"/>
  <c r="N89" i="15" s="1"/>
  <c r="P91" i="15"/>
  <c r="P90" i="15" s="1"/>
  <c r="N327" i="15"/>
  <c r="N326" i="15" s="1"/>
  <c r="N325" i="15" s="1"/>
  <c r="N324" i="15" s="1"/>
  <c r="P328" i="15"/>
  <c r="K391" i="15"/>
  <c r="K390" i="15" s="1"/>
  <c r="L11" i="15"/>
  <c r="L18" i="15"/>
  <c r="L20" i="15"/>
  <c r="L27" i="15"/>
  <c r="L35" i="15"/>
  <c r="L34" i="15" s="1"/>
  <c r="L33" i="15" s="1"/>
  <c r="L32" i="15" s="1"/>
  <c r="L39" i="15"/>
  <c r="L38" i="15" s="1"/>
  <c r="L44" i="15"/>
  <c r="L43" i="15" s="1"/>
  <c r="L42" i="15" s="1"/>
  <c r="L47" i="15"/>
  <c r="L46" i="15" s="1"/>
  <c r="L45" i="15" s="1"/>
  <c r="L50" i="15"/>
  <c r="L49" i="15" s="1"/>
  <c r="L52" i="15"/>
  <c r="L51" i="15" s="1"/>
  <c r="L55" i="15"/>
  <c r="L54" i="15" s="1"/>
  <c r="L53" i="15" s="1"/>
  <c r="L58" i="15"/>
  <c r="L57" i="15" s="1"/>
  <c r="L56" i="15" s="1"/>
  <c r="L68" i="15"/>
  <c r="L67" i="15" s="1"/>
  <c r="L70" i="15"/>
  <c r="L69" i="15" s="1"/>
  <c r="L75" i="15"/>
  <c r="L74" i="15" s="1"/>
  <c r="L77" i="15"/>
  <c r="L76" i="15" s="1"/>
  <c r="L85" i="15"/>
  <c r="L84" i="15" s="1"/>
  <c r="L83" i="15" s="1"/>
  <c r="L88" i="15"/>
  <c r="L87" i="15" s="1"/>
  <c r="L86" i="15" s="1"/>
  <c r="L101" i="15"/>
  <c r="L100" i="15" s="1"/>
  <c r="L99" i="15" s="1"/>
  <c r="L105" i="15"/>
  <c r="L107" i="15"/>
  <c r="L106" i="15" s="1"/>
  <c r="L103" i="15" s="1"/>
  <c r="L110" i="15"/>
  <c r="L109" i="15" s="1"/>
  <c r="L108" i="15" s="1"/>
  <c r="L122" i="15"/>
  <c r="L142" i="15"/>
  <c r="L162" i="15"/>
  <c r="L165" i="15"/>
  <c r="L168" i="15"/>
  <c r="L175" i="15"/>
  <c r="L180" i="15"/>
  <c r="L194" i="15"/>
  <c r="L198" i="15"/>
  <c r="L200" i="15"/>
  <c r="N200" i="15" s="1"/>
  <c r="P200" i="15" s="1"/>
  <c r="U200" i="15" s="1"/>
  <c r="L205" i="15"/>
  <c r="L208" i="15"/>
  <c r="L220" i="15"/>
  <c r="L226" i="15"/>
  <c r="L230" i="15"/>
  <c r="L233" i="15"/>
  <c r="L236" i="15"/>
  <c r="L242" i="15"/>
  <c r="L251" i="15"/>
  <c r="L255" i="15"/>
  <c r="L266" i="15"/>
  <c r="L268" i="15"/>
  <c r="L272" i="15"/>
  <c r="L280" i="15"/>
  <c r="L284" i="15"/>
  <c r="L292" i="15"/>
  <c r="L301" i="15"/>
  <c r="L303" i="15"/>
  <c r="L314" i="15"/>
  <c r="N314" i="15" s="1"/>
  <c r="P314" i="15" s="1"/>
  <c r="U314" i="15" s="1"/>
  <c r="L318" i="15"/>
  <c r="L323" i="15"/>
  <c r="L346" i="15"/>
  <c r="L353" i="15"/>
  <c r="M279" i="16" s="1"/>
  <c r="L359" i="15"/>
  <c r="L367" i="15"/>
  <c r="N367" i="15" s="1"/>
  <c r="P367" i="15" s="1"/>
  <c r="L389" i="15"/>
  <c r="L392" i="15"/>
  <c r="N318" i="15" l="1"/>
  <c r="L317" i="15"/>
  <c r="L316" i="15" s="1"/>
  <c r="N292" i="15"/>
  <c r="L291" i="15"/>
  <c r="L290" i="15" s="1"/>
  <c r="N268" i="15"/>
  <c r="L267" i="15"/>
  <c r="N242" i="15"/>
  <c r="L241" i="15"/>
  <c r="L240" i="15" s="1"/>
  <c r="N226" i="15"/>
  <c r="L225" i="15"/>
  <c r="L224" i="15" s="1"/>
  <c r="N175" i="15"/>
  <c r="L174" i="15"/>
  <c r="L173" i="15" s="1"/>
  <c r="N284" i="15"/>
  <c r="L283" i="15"/>
  <c r="L282" i="15" s="1"/>
  <c r="N266" i="15"/>
  <c r="L265" i="15"/>
  <c r="N236" i="15"/>
  <c r="L235" i="15"/>
  <c r="L234" i="15" s="1"/>
  <c r="N220" i="15"/>
  <c r="L219" i="15"/>
  <c r="L218" i="15" s="1"/>
  <c r="N198" i="15"/>
  <c r="L197" i="15"/>
  <c r="N168" i="15"/>
  <c r="L167" i="15"/>
  <c r="L166" i="15" s="1"/>
  <c r="N122" i="15"/>
  <c r="L121" i="15"/>
  <c r="L120" i="15" s="1"/>
  <c r="L73" i="15"/>
  <c r="N389" i="15"/>
  <c r="L388" i="15"/>
  <c r="N346" i="15"/>
  <c r="L345" i="15"/>
  <c r="L344" i="15" s="1"/>
  <c r="N303" i="15"/>
  <c r="L302" i="15"/>
  <c r="N280" i="15"/>
  <c r="L279" i="15"/>
  <c r="L278" i="15" s="1"/>
  <c r="N255" i="15"/>
  <c r="L254" i="15"/>
  <c r="L253" i="15" s="1"/>
  <c r="N233" i="15"/>
  <c r="L232" i="15"/>
  <c r="L231" i="15" s="1"/>
  <c r="N208" i="15"/>
  <c r="L207" i="15"/>
  <c r="L206" i="15" s="1"/>
  <c r="N194" i="15"/>
  <c r="L193" i="15"/>
  <c r="L192" i="15" s="1"/>
  <c r="N165" i="15"/>
  <c r="L164" i="15"/>
  <c r="L163" i="15" s="1"/>
  <c r="N301" i="15"/>
  <c r="L300" i="15"/>
  <c r="N272" i="15"/>
  <c r="L271" i="15"/>
  <c r="L270" i="15" s="1"/>
  <c r="N251" i="15"/>
  <c r="L250" i="15"/>
  <c r="L249" i="15" s="1"/>
  <c r="N230" i="15"/>
  <c r="L229" i="15"/>
  <c r="L228" i="15" s="1"/>
  <c r="N205" i="15"/>
  <c r="L204" i="15"/>
  <c r="L203" i="15" s="1"/>
  <c r="N180" i="15"/>
  <c r="L179" i="15"/>
  <c r="L178" i="15" s="1"/>
  <c r="N162" i="15"/>
  <c r="L161" i="15"/>
  <c r="L160" i="15" s="1"/>
  <c r="L66" i="15"/>
  <c r="L65" i="15" s="1"/>
  <c r="L48" i="15"/>
  <c r="N323" i="15"/>
  <c r="L322" i="15"/>
  <c r="L321" i="15" s="1"/>
  <c r="P327" i="15"/>
  <c r="P326" i="15" s="1"/>
  <c r="P325" i="15" s="1"/>
  <c r="P324" i="15" s="1"/>
  <c r="U328" i="15"/>
  <c r="U327" i="15" s="1"/>
  <c r="U326" i="15" s="1"/>
  <c r="U325" i="15" s="1"/>
  <c r="U324" i="15" s="1"/>
  <c r="P89" i="15"/>
  <c r="U91" i="15"/>
  <c r="U90" i="15" s="1"/>
  <c r="U89" i="15" s="1"/>
  <c r="P408" i="15"/>
  <c r="U367" i="15"/>
  <c r="U408" i="15" s="1"/>
  <c r="N142" i="15"/>
  <c r="M66" i="16"/>
  <c r="M65" i="16" s="1"/>
  <c r="N105" i="15"/>
  <c r="P105" i="15" s="1"/>
  <c r="N27" i="15"/>
  <c r="P27" i="15" s="1"/>
  <c r="U27" i="15" s="1"/>
  <c r="N101" i="15"/>
  <c r="N75" i="15"/>
  <c r="N55" i="15"/>
  <c r="N44" i="15"/>
  <c r="N20" i="15"/>
  <c r="P20" i="15" s="1"/>
  <c r="U20" i="15" s="1"/>
  <c r="N77" i="15"/>
  <c r="N58" i="15"/>
  <c r="N110" i="15"/>
  <c r="N88" i="15"/>
  <c r="N70" i="15"/>
  <c r="N52" i="15"/>
  <c r="N39" i="15"/>
  <c r="N18" i="15"/>
  <c r="N47" i="15"/>
  <c r="N107" i="15"/>
  <c r="N85" i="15"/>
  <c r="N68" i="15"/>
  <c r="N50" i="15"/>
  <c r="N35" i="15"/>
  <c r="N11" i="15"/>
  <c r="L350" i="15"/>
  <c r="L349" i="15" s="1"/>
  <c r="N353" i="15"/>
  <c r="L391" i="15"/>
  <c r="L390" i="15" s="1"/>
  <c r="N392" i="15"/>
  <c r="P392" i="15" s="1"/>
  <c r="P391" i="15" s="1"/>
  <c r="P390" i="15" s="1"/>
  <c r="N408" i="15"/>
  <c r="N359" i="15"/>
  <c r="P359" i="15" s="1"/>
  <c r="L357" i="15"/>
  <c r="L356" i="15" s="1"/>
  <c r="L355" i="15" s="1"/>
  <c r="L299" i="15" l="1"/>
  <c r="P85" i="15"/>
  <c r="N84" i="15"/>
  <c r="N83" i="15" s="1"/>
  <c r="P39" i="15"/>
  <c r="N38" i="15"/>
  <c r="P110" i="15"/>
  <c r="N109" i="15"/>
  <c r="N108" i="15" s="1"/>
  <c r="P44" i="15"/>
  <c r="N43" i="15"/>
  <c r="N42" i="15" s="1"/>
  <c r="P162" i="15"/>
  <c r="N161" i="15"/>
  <c r="N160" i="15" s="1"/>
  <c r="P205" i="15"/>
  <c r="N204" i="15"/>
  <c r="N203" i="15" s="1"/>
  <c r="P251" i="15"/>
  <c r="N250" i="15"/>
  <c r="N249" i="15" s="1"/>
  <c r="P301" i="15"/>
  <c r="N300" i="15"/>
  <c r="P165" i="15"/>
  <c r="N164" i="15"/>
  <c r="N163" i="15" s="1"/>
  <c r="P208" i="15"/>
  <c r="N207" i="15"/>
  <c r="N206" i="15" s="1"/>
  <c r="P255" i="15"/>
  <c r="N254" i="15"/>
  <c r="N253" i="15" s="1"/>
  <c r="P303" i="15"/>
  <c r="N302" i="15"/>
  <c r="P389" i="15"/>
  <c r="P388" i="15" s="1"/>
  <c r="N388" i="15"/>
  <c r="P52" i="15"/>
  <c r="N51" i="15"/>
  <c r="P58" i="15"/>
  <c r="N57" i="15"/>
  <c r="N56" i="15" s="1"/>
  <c r="P55" i="15"/>
  <c r="N54" i="15"/>
  <c r="N53" i="15" s="1"/>
  <c r="U105" i="15"/>
  <c r="U104" i="15" s="1"/>
  <c r="P104" i="15"/>
  <c r="P168" i="15"/>
  <c r="N167" i="15"/>
  <c r="N166" i="15" s="1"/>
  <c r="P220" i="15"/>
  <c r="N219" i="15"/>
  <c r="N218" i="15" s="1"/>
  <c r="P266" i="15"/>
  <c r="N265" i="15"/>
  <c r="P175" i="15"/>
  <c r="N174" i="15"/>
  <c r="N173" i="15" s="1"/>
  <c r="P242" i="15"/>
  <c r="N241" i="15"/>
  <c r="N240" i="15" s="1"/>
  <c r="P292" i="15"/>
  <c r="N291" i="15"/>
  <c r="N290" i="15" s="1"/>
  <c r="P107" i="15"/>
  <c r="N106" i="15"/>
  <c r="N103" i="15" s="1"/>
  <c r="P50" i="15"/>
  <c r="N49" i="15"/>
  <c r="P47" i="15"/>
  <c r="N46" i="15"/>
  <c r="N45" i="15" s="1"/>
  <c r="P70" i="15"/>
  <c r="N69" i="15"/>
  <c r="P77" i="15"/>
  <c r="N76" i="15"/>
  <c r="P75" i="15"/>
  <c r="N74" i="15"/>
  <c r="P180" i="15"/>
  <c r="N179" i="15"/>
  <c r="N178" i="15" s="1"/>
  <c r="P230" i="15"/>
  <c r="N229" i="15"/>
  <c r="N228" i="15" s="1"/>
  <c r="P272" i="15"/>
  <c r="N271" i="15"/>
  <c r="N270" i="15" s="1"/>
  <c r="P194" i="15"/>
  <c r="N193" i="15"/>
  <c r="N192" i="15" s="1"/>
  <c r="P233" i="15"/>
  <c r="N232" i="15"/>
  <c r="N231" i="15" s="1"/>
  <c r="P280" i="15"/>
  <c r="N279" i="15"/>
  <c r="N278" i="15" s="1"/>
  <c r="P346" i="15"/>
  <c r="N345" i="15"/>
  <c r="N344" i="15" s="1"/>
  <c r="P35" i="15"/>
  <c r="N34" i="15"/>
  <c r="N33" i="15" s="1"/>
  <c r="N32" i="15" s="1"/>
  <c r="P68" i="15"/>
  <c r="N67" i="15"/>
  <c r="N66" i="15" s="1"/>
  <c r="N65" i="15" s="1"/>
  <c r="P18" i="15"/>
  <c r="P88" i="15"/>
  <c r="N87" i="15"/>
  <c r="N86" i="15" s="1"/>
  <c r="P101" i="15"/>
  <c r="N100" i="15"/>
  <c r="N99" i="15" s="1"/>
  <c r="P122" i="15"/>
  <c r="N121" i="15"/>
  <c r="N120" i="15" s="1"/>
  <c r="P198" i="15"/>
  <c r="N197" i="15"/>
  <c r="P236" i="15"/>
  <c r="N235" i="15"/>
  <c r="N234" i="15" s="1"/>
  <c r="P284" i="15"/>
  <c r="N283" i="15"/>
  <c r="N282" i="15" s="1"/>
  <c r="P226" i="15"/>
  <c r="N225" i="15"/>
  <c r="N224" i="15" s="1"/>
  <c r="P268" i="15"/>
  <c r="P267" i="15" s="1"/>
  <c r="N267" i="15"/>
  <c r="P318" i="15"/>
  <c r="N317" i="15"/>
  <c r="N316" i="15" s="1"/>
  <c r="P323" i="15"/>
  <c r="N322" i="15"/>
  <c r="N321" i="15" s="1"/>
  <c r="P357" i="15"/>
  <c r="P356" i="15" s="1"/>
  <c r="P355" i="15" s="1"/>
  <c r="U359" i="15"/>
  <c r="U357" i="15" s="1"/>
  <c r="U356" i="15" s="1"/>
  <c r="U355" i="15" s="1"/>
  <c r="U392" i="15"/>
  <c r="U391" i="15" s="1"/>
  <c r="U390" i="15" s="1"/>
  <c r="P353" i="15"/>
  <c r="U353" i="15" s="1"/>
  <c r="O279" i="16"/>
  <c r="P142" i="15"/>
  <c r="O66" i="16"/>
  <c r="O65" i="16" s="1"/>
  <c r="N10" i="15"/>
  <c r="N9" i="15" s="1"/>
  <c r="P11" i="15"/>
  <c r="U11" i="15" s="1"/>
  <c r="N357" i="15"/>
  <c r="N356" i="15" s="1"/>
  <c r="N355" i="15" s="1"/>
  <c r="N391" i="15"/>
  <c r="N390" i="15" s="1"/>
  <c r="N350" i="15"/>
  <c r="N349" i="15" s="1"/>
  <c r="M429" i="16"/>
  <c r="N73" i="15" l="1"/>
  <c r="N48" i="15"/>
  <c r="U268" i="15"/>
  <c r="U267" i="15" s="1"/>
  <c r="U346" i="15"/>
  <c r="U345" i="15" s="1"/>
  <c r="U344" i="15" s="1"/>
  <c r="P345" i="15"/>
  <c r="P344" i="15" s="1"/>
  <c r="U233" i="15"/>
  <c r="U232" i="15" s="1"/>
  <c r="U231" i="15" s="1"/>
  <c r="P232" i="15"/>
  <c r="P231" i="15" s="1"/>
  <c r="U272" i="15"/>
  <c r="U271" i="15" s="1"/>
  <c r="U270" i="15" s="1"/>
  <c r="P271" i="15"/>
  <c r="P270" i="15" s="1"/>
  <c r="U180" i="15"/>
  <c r="U179" i="15" s="1"/>
  <c r="U178" i="15" s="1"/>
  <c r="P179" i="15"/>
  <c r="P178" i="15" s="1"/>
  <c r="U77" i="15"/>
  <c r="U76" i="15" s="1"/>
  <c r="P76" i="15"/>
  <c r="U47" i="15"/>
  <c r="U46" i="15" s="1"/>
  <c r="U45" i="15" s="1"/>
  <c r="P46" i="15"/>
  <c r="P45" i="15" s="1"/>
  <c r="U107" i="15"/>
  <c r="U106" i="15" s="1"/>
  <c r="U103" i="15" s="1"/>
  <c r="P106" i="15"/>
  <c r="P103" i="15" s="1"/>
  <c r="U242" i="15"/>
  <c r="U241" i="15" s="1"/>
  <c r="U240" i="15" s="1"/>
  <c r="P241" i="15"/>
  <c r="P240" i="15" s="1"/>
  <c r="U266" i="15"/>
  <c r="U265" i="15" s="1"/>
  <c r="P265" i="15"/>
  <c r="U168" i="15"/>
  <c r="U167" i="15" s="1"/>
  <c r="U166" i="15" s="1"/>
  <c r="P167" i="15"/>
  <c r="P166" i="15" s="1"/>
  <c r="U55" i="15"/>
  <c r="U54" i="15" s="1"/>
  <c r="U53" i="15" s="1"/>
  <c r="P54" i="15"/>
  <c r="P53" i="15" s="1"/>
  <c r="U52" i="15"/>
  <c r="U51" i="15" s="1"/>
  <c r="P51" i="15"/>
  <c r="N299" i="15"/>
  <c r="U284" i="15"/>
  <c r="U283" i="15" s="1"/>
  <c r="U282" i="15" s="1"/>
  <c r="P283" i="15"/>
  <c r="P282" i="15" s="1"/>
  <c r="U198" i="15"/>
  <c r="U197" i="15" s="1"/>
  <c r="P197" i="15"/>
  <c r="U101" i="15"/>
  <c r="U100" i="15" s="1"/>
  <c r="U99" i="15" s="1"/>
  <c r="U92" i="15" s="1"/>
  <c r="P100" i="15"/>
  <c r="P99" i="15" s="1"/>
  <c r="P92" i="15" s="1"/>
  <c r="U18" i="15"/>
  <c r="U35" i="15"/>
  <c r="U34" i="15" s="1"/>
  <c r="U33" i="15" s="1"/>
  <c r="U32" i="15" s="1"/>
  <c r="P34" i="15"/>
  <c r="P33" i="15" s="1"/>
  <c r="P32" i="15" s="1"/>
  <c r="U303" i="15"/>
  <c r="U302" i="15" s="1"/>
  <c r="P302" i="15"/>
  <c r="U208" i="15"/>
  <c r="U207" i="15" s="1"/>
  <c r="U206" i="15" s="1"/>
  <c r="P207" i="15"/>
  <c r="P206" i="15" s="1"/>
  <c r="U301" i="15"/>
  <c r="U300" i="15" s="1"/>
  <c r="U299" i="15" s="1"/>
  <c r="P300" i="15"/>
  <c r="P299" i="15" s="1"/>
  <c r="U205" i="15"/>
  <c r="U204" i="15" s="1"/>
  <c r="U203" i="15" s="1"/>
  <c r="U202" i="15" s="1"/>
  <c r="U201" i="15" s="1"/>
  <c r="P204" i="15"/>
  <c r="P203" i="15" s="1"/>
  <c r="P202" i="15" s="1"/>
  <c r="P201" i="15" s="1"/>
  <c r="U44" i="15"/>
  <c r="U43" i="15" s="1"/>
  <c r="U42" i="15" s="1"/>
  <c r="P43" i="15"/>
  <c r="P42" i="15" s="1"/>
  <c r="U39" i="15"/>
  <c r="U38" i="15" s="1"/>
  <c r="P38" i="15"/>
  <c r="U280" i="15"/>
  <c r="U279" i="15" s="1"/>
  <c r="U278" i="15" s="1"/>
  <c r="P279" i="15"/>
  <c r="P278" i="15" s="1"/>
  <c r="U194" i="15"/>
  <c r="U193" i="15" s="1"/>
  <c r="U192" i="15" s="1"/>
  <c r="P193" i="15"/>
  <c r="P192" i="15" s="1"/>
  <c r="U230" i="15"/>
  <c r="U229" i="15" s="1"/>
  <c r="U228" i="15" s="1"/>
  <c r="P229" i="15"/>
  <c r="P228" i="15" s="1"/>
  <c r="U75" i="15"/>
  <c r="U74" i="15" s="1"/>
  <c r="P74" i="15"/>
  <c r="U70" i="15"/>
  <c r="U69" i="15" s="1"/>
  <c r="P69" i="15"/>
  <c r="U50" i="15"/>
  <c r="U49" i="15" s="1"/>
  <c r="P49" i="15"/>
  <c r="P48" i="15" s="1"/>
  <c r="U292" i="15"/>
  <c r="U291" i="15" s="1"/>
  <c r="U290" i="15" s="1"/>
  <c r="P291" i="15"/>
  <c r="P290" i="15" s="1"/>
  <c r="U175" i="15"/>
  <c r="U174" i="15" s="1"/>
  <c r="U173" i="15" s="1"/>
  <c r="P174" i="15"/>
  <c r="P173" i="15" s="1"/>
  <c r="U220" i="15"/>
  <c r="U219" i="15" s="1"/>
  <c r="U218" i="15" s="1"/>
  <c r="P219" i="15"/>
  <c r="P218" i="15" s="1"/>
  <c r="U58" i="15"/>
  <c r="U57" i="15" s="1"/>
  <c r="U56" i="15" s="1"/>
  <c r="P57" i="15"/>
  <c r="P56" i="15" s="1"/>
  <c r="U318" i="15"/>
  <c r="U317" i="15" s="1"/>
  <c r="U316" i="15" s="1"/>
  <c r="P317" i="15"/>
  <c r="P316" i="15" s="1"/>
  <c r="U226" i="15"/>
  <c r="U225" i="15" s="1"/>
  <c r="U224" i="15" s="1"/>
  <c r="P225" i="15"/>
  <c r="P224" i="15" s="1"/>
  <c r="U236" i="15"/>
  <c r="U235" i="15" s="1"/>
  <c r="U234" i="15" s="1"/>
  <c r="P235" i="15"/>
  <c r="P234" i="15" s="1"/>
  <c r="U122" i="15"/>
  <c r="U121" i="15" s="1"/>
  <c r="U120" i="15" s="1"/>
  <c r="U116" i="15" s="1"/>
  <c r="P121" i="15"/>
  <c r="P120" i="15" s="1"/>
  <c r="P116" i="15" s="1"/>
  <c r="U88" i="15"/>
  <c r="U87" i="15" s="1"/>
  <c r="U86" i="15" s="1"/>
  <c r="P87" i="15"/>
  <c r="P86" i="15" s="1"/>
  <c r="U68" i="15"/>
  <c r="U67" i="15" s="1"/>
  <c r="P67" i="15"/>
  <c r="P66" i="15" s="1"/>
  <c r="P65" i="15" s="1"/>
  <c r="U389" i="15"/>
  <c r="U388" i="15" s="1"/>
  <c r="U255" i="15"/>
  <c r="U254" i="15" s="1"/>
  <c r="U253" i="15" s="1"/>
  <c r="P254" i="15"/>
  <c r="P253" i="15" s="1"/>
  <c r="U165" i="15"/>
  <c r="U164" i="15" s="1"/>
  <c r="U163" i="15" s="1"/>
  <c r="P164" i="15"/>
  <c r="P163" i="15" s="1"/>
  <c r="U251" i="15"/>
  <c r="U250" i="15" s="1"/>
  <c r="U249" i="15" s="1"/>
  <c r="P250" i="15"/>
  <c r="P249" i="15" s="1"/>
  <c r="U162" i="15"/>
  <c r="U161" i="15" s="1"/>
  <c r="U160" i="15" s="1"/>
  <c r="P161" i="15"/>
  <c r="P160" i="15" s="1"/>
  <c r="U110" i="15"/>
  <c r="U109" i="15" s="1"/>
  <c r="U108" i="15" s="1"/>
  <c r="P109" i="15"/>
  <c r="P108" i="15" s="1"/>
  <c r="U85" i="15"/>
  <c r="U84" i="15" s="1"/>
  <c r="U83" i="15" s="1"/>
  <c r="P84" i="15"/>
  <c r="P83" i="15" s="1"/>
  <c r="U323" i="15"/>
  <c r="U322" i="15" s="1"/>
  <c r="U321" i="15" s="1"/>
  <c r="P322" i="15"/>
  <c r="P321" i="15" s="1"/>
  <c r="S279" i="16"/>
  <c r="U350" i="15"/>
  <c r="U349" i="15" s="1"/>
  <c r="Q66" i="16"/>
  <c r="Q65" i="16" s="1"/>
  <c r="U142" i="15"/>
  <c r="S66" i="16" s="1"/>
  <c r="S65" i="16" s="1"/>
  <c r="U10" i="15"/>
  <c r="U9" i="15" s="1"/>
  <c r="Q279" i="16"/>
  <c r="P350" i="15"/>
  <c r="P349" i="15" s="1"/>
  <c r="P10" i="15"/>
  <c r="P9" i="15" s="1"/>
  <c r="N427" i="15"/>
  <c r="O429" i="16"/>
  <c r="J320" i="17"/>
  <c r="N303" i="17"/>
  <c r="N302" i="17" s="1"/>
  <c r="J303" i="17"/>
  <c r="J302" i="17" s="1"/>
  <c r="N300" i="17"/>
  <c r="P300" i="17" s="1"/>
  <c r="J300" i="17"/>
  <c r="J299" i="17"/>
  <c r="N298" i="17"/>
  <c r="J298" i="17"/>
  <c r="J297" i="17" s="1"/>
  <c r="J296" i="17" s="1"/>
  <c r="J295" i="17" s="1"/>
  <c r="J294" i="17" s="1"/>
  <c r="J293" i="17"/>
  <c r="J292" i="17" s="1"/>
  <c r="N292" i="17"/>
  <c r="P292" i="17" s="1"/>
  <c r="J291" i="17"/>
  <c r="J290" i="17" s="1"/>
  <c r="N290" i="17"/>
  <c r="P290" i="17" s="1"/>
  <c r="J289" i="17"/>
  <c r="J288" i="17" s="1"/>
  <c r="N288" i="17"/>
  <c r="P288" i="17" s="1"/>
  <c r="N287" i="17"/>
  <c r="J285" i="17"/>
  <c r="J284" i="17" s="1"/>
  <c r="J283" i="17" s="1"/>
  <c r="J282" i="17" s="1"/>
  <c r="N284" i="17"/>
  <c r="P284" i="17" s="1"/>
  <c r="K284" i="17"/>
  <c r="N283" i="17"/>
  <c r="N279" i="17"/>
  <c r="K279" i="17"/>
  <c r="M279" i="17" s="1"/>
  <c r="K278" i="17"/>
  <c r="J278" i="17"/>
  <c r="J277" i="17" s="1"/>
  <c r="J276" i="17" s="1"/>
  <c r="J323" i="17" s="1"/>
  <c r="K274" i="17"/>
  <c r="J274" i="17"/>
  <c r="J273" i="17"/>
  <c r="J272" i="17" s="1"/>
  <c r="K270" i="17"/>
  <c r="J270" i="17"/>
  <c r="J269" i="17" s="1"/>
  <c r="J268" i="17" s="1"/>
  <c r="K269" i="17"/>
  <c r="N265" i="17"/>
  <c r="K265" i="17"/>
  <c r="M265" i="17" s="1"/>
  <c r="J265" i="17"/>
  <c r="J264" i="17" s="1"/>
  <c r="J263" i="17" s="1"/>
  <c r="J262" i="17" s="1"/>
  <c r="K264" i="17"/>
  <c r="N260" i="17"/>
  <c r="K260" i="17"/>
  <c r="M260" i="17" s="1"/>
  <c r="J260" i="17"/>
  <c r="J259" i="17" s="1"/>
  <c r="J258" i="17" s="1"/>
  <c r="J257" i="17" s="1"/>
  <c r="K259" i="17"/>
  <c r="N255" i="17"/>
  <c r="K255" i="17"/>
  <c r="J255" i="17"/>
  <c r="J254" i="17" s="1"/>
  <c r="J253" i="17" s="1"/>
  <c r="J251" i="17"/>
  <c r="J250" i="17" s="1"/>
  <c r="N250" i="17"/>
  <c r="P250" i="17" s="1"/>
  <c r="K250" i="17"/>
  <c r="M250" i="17" s="1"/>
  <c r="N249" i="17"/>
  <c r="P249" i="17" s="1"/>
  <c r="K249" i="17"/>
  <c r="J249" i="17"/>
  <c r="J248" i="17" s="1"/>
  <c r="N247" i="17"/>
  <c r="P247" i="17" s="1"/>
  <c r="K247" i="17"/>
  <c r="J247" i="17"/>
  <c r="J246" i="17"/>
  <c r="N240" i="17"/>
  <c r="P240" i="17" s="1"/>
  <c r="K240" i="17"/>
  <c r="M240" i="17" s="1"/>
  <c r="J240" i="17"/>
  <c r="N238" i="17"/>
  <c r="K238" i="17"/>
  <c r="M238" i="17" s="1"/>
  <c r="J238" i="17"/>
  <c r="J236" i="17"/>
  <c r="J235" i="17" s="1"/>
  <c r="N235" i="17"/>
  <c r="P235" i="17" s="1"/>
  <c r="K235" i="17"/>
  <c r="M235" i="17" s="1"/>
  <c r="J234" i="17"/>
  <c r="J233" i="17" s="1"/>
  <c r="N233" i="17"/>
  <c r="K233" i="17"/>
  <c r="M233" i="17" s="1"/>
  <c r="N229" i="17"/>
  <c r="K229" i="17"/>
  <c r="M229" i="17" s="1"/>
  <c r="J229" i="17"/>
  <c r="J228" i="17" s="1"/>
  <c r="K228" i="17"/>
  <c r="M228" i="17" s="1"/>
  <c r="N227" i="17"/>
  <c r="K227" i="17"/>
  <c r="M227" i="17" s="1"/>
  <c r="J227" i="17"/>
  <c r="J226" i="17" s="1"/>
  <c r="K226" i="17"/>
  <c r="M226" i="17" s="1"/>
  <c r="N225" i="17"/>
  <c r="K225" i="17"/>
  <c r="M225" i="17" s="1"/>
  <c r="J225" i="17"/>
  <c r="J224" i="17" s="1"/>
  <c r="J223" i="17" s="1"/>
  <c r="K224" i="17"/>
  <c r="N221" i="17"/>
  <c r="P221" i="17" s="1"/>
  <c r="K221" i="17"/>
  <c r="J221" i="17"/>
  <c r="J220" i="17" s="1"/>
  <c r="N217" i="17"/>
  <c r="K217" i="17"/>
  <c r="J217" i="17"/>
  <c r="J216" i="17" s="1"/>
  <c r="J215" i="17" s="1"/>
  <c r="N212" i="17"/>
  <c r="K212" i="17"/>
  <c r="M212" i="17" s="1"/>
  <c r="J212" i="17"/>
  <c r="J211" i="17" s="1"/>
  <c r="N209" i="17"/>
  <c r="P209" i="17" s="1"/>
  <c r="K209" i="17"/>
  <c r="M209" i="17" s="1"/>
  <c r="J209" i="17"/>
  <c r="N207" i="17"/>
  <c r="P207" i="17" s="1"/>
  <c r="K207" i="17"/>
  <c r="M207" i="17" s="1"/>
  <c r="J207" i="17"/>
  <c r="N204" i="17"/>
  <c r="K204" i="17"/>
  <c r="M204" i="17" s="1"/>
  <c r="J204" i="17"/>
  <c r="J203" i="17" s="1"/>
  <c r="J201" i="17"/>
  <c r="J200" i="17" s="1"/>
  <c r="J199" i="17" s="1"/>
  <c r="N200" i="17"/>
  <c r="K200" i="17"/>
  <c r="N196" i="17"/>
  <c r="K196" i="17"/>
  <c r="J196" i="17"/>
  <c r="J195" i="17" s="1"/>
  <c r="J194" i="17" s="1"/>
  <c r="N192" i="17"/>
  <c r="K192" i="17"/>
  <c r="J192" i="17"/>
  <c r="J191" i="17" s="1"/>
  <c r="N190" i="17"/>
  <c r="K190" i="17"/>
  <c r="M190" i="17" s="1"/>
  <c r="J190" i="17"/>
  <c r="J189" i="17" s="1"/>
  <c r="J188" i="17" s="1"/>
  <c r="K189" i="17"/>
  <c r="N186" i="17"/>
  <c r="K186" i="17"/>
  <c r="J186" i="17"/>
  <c r="J185" i="17" s="1"/>
  <c r="N183" i="17"/>
  <c r="P183" i="17" s="1"/>
  <c r="K183" i="17"/>
  <c r="J183" i="17"/>
  <c r="J182" i="17" s="1"/>
  <c r="N181" i="17"/>
  <c r="K181" i="17"/>
  <c r="M181" i="17" s="1"/>
  <c r="J180" i="17"/>
  <c r="J179" i="17" s="1"/>
  <c r="N178" i="17"/>
  <c r="K178" i="17"/>
  <c r="J177" i="17"/>
  <c r="J176" i="17" s="1"/>
  <c r="N174" i="17"/>
  <c r="K174" i="17"/>
  <c r="J173" i="17"/>
  <c r="J172" i="17" s="1"/>
  <c r="N170" i="17"/>
  <c r="K170" i="17"/>
  <c r="J170" i="17"/>
  <c r="J169" i="17" s="1"/>
  <c r="N168" i="17"/>
  <c r="P168" i="17" s="1"/>
  <c r="K168" i="17"/>
  <c r="M168" i="17" s="1"/>
  <c r="J168" i="17"/>
  <c r="J167" i="17" s="1"/>
  <c r="J166" i="17" s="1"/>
  <c r="N167" i="17"/>
  <c r="K167" i="17"/>
  <c r="M167" i="17" s="1"/>
  <c r="N165" i="17"/>
  <c r="P165" i="17" s="1"/>
  <c r="K165" i="17"/>
  <c r="J165" i="17"/>
  <c r="J164" i="17" s="1"/>
  <c r="J163" i="17" s="1"/>
  <c r="N158" i="17"/>
  <c r="K158" i="17"/>
  <c r="J158" i="17"/>
  <c r="J157" i="17" s="1"/>
  <c r="N155" i="17"/>
  <c r="K155" i="17"/>
  <c r="J155" i="17"/>
  <c r="J154" i="17" s="1"/>
  <c r="N150" i="17"/>
  <c r="P150" i="17" s="1"/>
  <c r="K150" i="17"/>
  <c r="M150" i="17" s="1"/>
  <c r="J150" i="17"/>
  <c r="N148" i="17"/>
  <c r="P148" i="17" s="1"/>
  <c r="K148" i="17"/>
  <c r="J148" i="17"/>
  <c r="N144" i="17"/>
  <c r="K144" i="17"/>
  <c r="J144" i="17"/>
  <c r="J142" i="17" s="1"/>
  <c r="N140" i="17"/>
  <c r="K140" i="17"/>
  <c r="J140" i="17"/>
  <c r="J139" i="17" s="1"/>
  <c r="J138" i="17" s="1"/>
  <c r="N136" i="17"/>
  <c r="K136" i="17"/>
  <c r="M136" i="17" s="1"/>
  <c r="J136" i="17"/>
  <c r="J135" i="17" s="1"/>
  <c r="J134" i="17" s="1"/>
  <c r="N131" i="17"/>
  <c r="K131" i="17"/>
  <c r="J131" i="17"/>
  <c r="J130" i="17"/>
  <c r="J129" i="17" s="1"/>
  <c r="N127" i="17"/>
  <c r="P127" i="17" s="1"/>
  <c r="K127" i="17"/>
  <c r="J127" i="17"/>
  <c r="J126" i="17" s="1"/>
  <c r="N124" i="17"/>
  <c r="K124" i="17"/>
  <c r="J124" i="17"/>
  <c r="J123" i="17" s="1"/>
  <c r="N121" i="17"/>
  <c r="K121" i="17"/>
  <c r="J121" i="17"/>
  <c r="J120" i="17" s="1"/>
  <c r="J119" i="17"/>
  <c r="J118" i="17" s="1"/>
  <c r="J117" i="17" s="1"/>
  <c r="N118" i="17"/>
  <c r="K118" i="17"/>
  <c r="J116" i="17"/>
  <c r="J115" i="17" s="1"/>
  <c r="J114" i="17" s="1"/>
  <c r="N115" i="17"/>
  <c r="K115" i="17"/>
  <c r="N113" i="17"/>
  <c r="P113" i="17" s="1"/>
  <c r="K113" i="17"/>
  <c r="M113" i="17" s="1"/>
  <c r="J113" i="17"/>
  <c r="J112" i="17" s="1"/>
  <c r="J111" i="17" s="1"/>
  <c r="K112" i="17"/>
  <c r="N110" i="17"/>
  <c r="P110" i="17" s="1"/>
  <c r="K110" i="17"/>
  <c r="J110" i="17"/>
  <c r="J109" i="17" s="1"/>
  <c r="J108" i="17" s="1"/>
  <c r="N109" i="17"/>
  <c r="P109" i="17" s="1"/>
  <c r="J105" i="17"/>
  <c r="J104" i="17" s="1"/>
  <c r="K104" i="17"/>
  <c r="K102" i="17"/>
  <c r="J102" i="17"/>
  <c r="N97" i="17"/>
  <c r="P97" i="17" s="1"/>
  <c r="K97" i="17"/>
  <c r="M97" i="17" s="1"/>
  <c r="J97" i="17"/>
  <c r="N96" i="17"/>
  <c r="K96" i="17"/>
  <c r="M96" i="17" s="1"/>
  <c r="J96" i="17"/>
  <c r="J95" i="17" s="1"/>
  <c r="K95" i="17"/>
  <c r="N94" i="17"/>
  <c r="P94" i="17" s="1"/>
  <c r="K94" i="17"/>
  <c r="J94" i="17"/>
  <c r="J93" i="17" s="1"/>
  <c r="J92" i="17" s="1"/>
  <c r="J91" i="17" s="1"/>
  <c r="N88" i="17"/>
  <c r="K88" i="17"/>
  <c r="J88" i="17"/>
  <c r="J87" i="17" s="1"/>
  <c r="N85" i="17"/>
  <c r="P85" i="17" s="1"/>
  <c r="K85" i="17"/>
  <c r="M85" i="17" s="1"/>
  <c r="J85" i="17"/>
  <c r="N83" i="17"/>
  <c r="K83" i="17"/>
  <c r="J83" i="17"/>
  <c r="N79" i="17"/>
  <c r="K79" i="17"/>
  <c r="J79" i="17"/>
  <c r="J78" i="17"/>
  <c r="J77" i="17" s="1"/>
  <c r="N75" i="17"/>
  <c r="K75" i="17"/>
  <c r="J75" i="17"/>
  <c r="J74" i="17"/>
  <c r="N72" i="17"/>
  <c r="P72" i="17" s="1"/>
  <c r="K72" i="17"/>
  <c r="J72" i="17"/>
  <c r="J71" i="17" s="1"/>
  <c r="N67" i="17"/>
  <c r="P67" i="17" s="1"/>
  <c r="K67" i="17"/>
  <c r="M67" i="17" s="1"/>
  <c r="J67" i="17"/>
  <c r="N65" i="17"/>
  <c r="K65" i="17"/>
  <c r="J65" i="17"/>
  <c r="N60" i="17"/>
  <c r="P60" i="17" s="1"/>
  <c r="K60" i="17"/>
  <c r="M60" i="17" s="1"/>
  <c r="J60" i="17"/>
  <c r="N58" i="17"/>
  <c r="P58" i="17" s="1"/>
  <c r="K58" i="17"/>
  <c r="J58" i="17"/>
  <c r="N53" i="17"/>
  <c r="K53" i="17"/>
  <c r="J53" i="17"/>
  <c r="J52" i="17" s="1"/>
  <c r="K50" i="17"/>
  <c r="J50" i="17"/>
  <c r="J49" i="17" s="1"/>
  <c r="K47" i="17"/>
  <c r="J47" i="17"/>
  <c r="K45" i="17"/>
  <c r="J45" i="17"/>
  <c r="N42" i="17"/>
  <c r="K42" i="17"/>
  <c r="M42" i="17" s="1"/>
  <c r="J42" i="17"/>
  <c r="J41" i="17" s="1"/>
  <c r="N39" i="17"/>
  <c r="K39" i="17"/>
  <c r="J39" i="17"/>
  <c r="J38" i="17" s="1"/>
  <c r="N37" i="17"/>
  <c r="K37" i="17"/>
  <c r="M37" i="17" s="1"/>
  <c r="J37" i="17"/>
  <c r="J36" i="17" s="1"/>
  <c r="N34" i="17"/>
  <c r="K34" i="17"/>
  <c r="J34" i="17"/>
  <c r="J33" i="17" s="1"/>
  <c r="N30" i="17"/>
  <c r="K30" i="17"/>
  <c r="J30" i="17"/>
  <c r="J29" i="17" s="1"/>
  <c r="J28" i="17" s="1"/>
  <c r="N26" i="17"/>
  <c r="K26" i="17"/>
  <c r="J26" i="17"/>
  <c r="J25" i="17" s="1"/>
  <c r="J24" i="17" s="1"/>
  <c r="J23" i="17"/>
  <c r="J22" i="17" s="1"/>
  <c r="J21" i="17" s="1"/>
  <c r="N22" i="17"/>
  <c r="K22" i="17"/>
  <c r="J19" i="17"/>
  <c r="J17" i="17" s="1"/>
  <c r="N18" i="17"/>
  <c r="P18" i="17" s="1"/>
  <c r="K18" i="17"/>
  <c r="J16" i="17"/>
  <c r="J15" i="17" s="1"/>
  <c r="N15" i="17"/>
  <c r="P15" i="17" s="1"/>
  <c r="K15" i="17"/>
  <c r="M15" i="17" s="1"/>
  <c r="J14" i="17"/>
  <c r="J13" i="17" s="1"/>
  <c r="N13" i="17"/>
  <c r="P13" i="17" s="1"/>
  <c r="K13" i="17"/>
  <c r="M13" i="17" s="1"/>
  <c r="K10" i="17"/>
  <c r="K9" i="17" s="1"/>
  <c r="J10" i="17"/>
  <c r="J9" i="17" s="1"/>
  <c r="L265" i="5"/>
  <c r="K265" i="5"/>
  <c r="K264" i="5" s="1"/>
  <c r="K263" i="5" s="1"/>
  <c r="K262" i="5"/>
  <c r="K261" i="5" s="1"/>
  <c r="N256" i="5"/>
  <c r="N254" i="5"/>
  <c r="K245" i="5"/>
  <c r="K244" i="5" s="1"/>
  <c r="K243" i="5" s="1"/>
  <c r="K242" i="5" s="1"/>
  <c r="K241" i="5"/>
  <c r="K240" i="5" s="1"/>
  <c r="K239" i="5" s="1"/>
  <c r="K238" i="5" s="1"/>
  <c r="K236" i="5"/>
  <c r="K235" i="5" s="1"/>
  <c r="K234" i="5" s="1"/>
  <c r="O232" i="5"/>
  <c r="O231" i="5" s="1"/>
  <c r="L232" i="5"/>
  <c r="L231" i="5" s="1"/>
  <c r="K233" i="5"/>
  <c r="K232" i="5" s="1"/>
  <c r="K231" i="5" s="1"/>
  <c r="K230" i="5"/>
  <c r="K229" i="5" s="1"/>
  <c r="K228" i="5" s="1"/>
  <c r="K227" i="5"/>
  <c r="K226" i="5" s="1"/>
  <c r="K225" i="5" s="1"/>
  <c r="K224" i="5"/>
  <c r="K223" i="5" s="1"/>
  <c r="K222" i="5" s="1"/>
  <c r="K221" i="5"/>
  <c r="N218" i="5"/>
  <c r="K211" i="5"/>
  <c r="K210" i="5" s="1"/>
  <c r="K209" i="5" s="1"/>
  <c r="K208" i="5"/>
  <c r="K207" i="5" s="1"/>
  <c r="K206" i="5" s="1"/>
  <c r="K205" i="5"/>
  <c r="K204" i="5" s="1"/>
  <c r="K203" i="5" s="1"/>
  <c r="K195" i="5"/>
  <c r="K194" i="5" s="1"/>
  <c r="K193" i="5"/>
  <c r="K192" i="5" s="1"/>
  <c r="K190" i="5"/>
  <c r="K189" i="5" s="1"/>
  <c r="K188" i="5" s="1"/>
  <c r="K187" i="5"/>
  <c r="K186" i="5" s="1"/>
  <c r="K185" i="5" s="1"/>
  <c r="K184" i="5"/>
  <c r="K183" i="5" s="1"/>
  <c r="K182" i="5"/>
  <c r="K181" i="5" s="1"/>
  <c r="K176" i="5"/>
  <c r="K175" i="5" s="1"/>
  <c r="K174" i="5" s="1"/>
  <c r="K168" i="5"/>
  <c r="K167" i="5" s="1"/>
  <c r="K166" i="5"/>
  <c r="K165" i="5" s="1"/>
  <c r="K159" i="5"/>
  <c r="K158" i="5" s="1"/>
  <c r="K157" i="5" s="1"/>
  <c r="K156" i="5"/>
  <c r="K155" i="5" s="1"/>
  <c r="K154" i="5" s="1"/>
  <c r="K145" i="5"/>
  <c r="K144" i="5" s="1"/>
  <c r="K143" i="5" s="1"/>
  <c r="K142" i="5" s="1"/>
  <c r="K141" i="5" s="1"/>
  <c r="K140" i="5"/>
  <c r="K139" i="5" s="1"/>
  <c r="K138" i="5" s="1"/>
  <c r="K137" i="5" s="1"/>
  <c r="K136" i="5" s="1"/>
  <c r="K135" i="5"/>
  <c r="K134" i="5" s="1"/>
  <c r="K133" i="5" s="1"/>
  <c r="K132" i="5"/>
  <c r="K131" i="5" s="1"/>
  <c r="K130" i="5"/>
  <c r="K129" i="5" s="1"/>
  <c r="K127" i="5"/>
  <c r="K126" i="5" s="1"/>
  <c r="K125" i="5" s="1"/>
  <c r="K122" i="5"/>
  <c r="K121" i="5" s="1"/>
  <c r="K120" i="5" s="1"/>
  <c r="K119" i="5"/>
  <c r="K118" i="5" s="1"/>
  <c r="K117" i="5" s="1"/>
  <c r="K114" i="5"/>
  <c r="K113" i="5" s="1"/>
  <c r="K112" i="5" s="1"/>
  <c r="K111" i="5" s="1"/>
  <c r="K110" i="5" s="1"/>
  <c r="K109" i="5"/>
  <c r="K108" i="5" s="1"/>
  <c r="K107" i="5" s="1"/>
  <c r="K106" i="5"/>
  <c r="K105" i="5" s="1"/>
  <c r="K104" i="5" s="1"/>
  <c r="K103" i="5"/>
  <c r="K102" i="5" s="1"/>
  <c r="K101" i="5" s="1"/>
  <c r="L100" i="5"/>
  <c r="L97" i="5"/>
  <c r="K86" i="5"/>
  <c r="K85" i="5" s="1"/>
  <c r="K84" i="5" s="1"/>
  <c r="K83" i="5" s="1"/>
  <c r="K82" i="5" s="1"/>
  <c r="K81" i="5"/>
  <c r="K80" i="5" s="1"/>
  <c r="K79" i="5" s="1"/>
  <c r="K75" i="5"/>
  <c r="K74" i="5" s="1"/>
  <c r="K73" i="5" s="1"/>
  <c r="K72" i="5"/>
  <c r="K71" i="5" s="1"/>
  <c r="K70" i="5"/>
  <c r="K69" i="5" s="1"/>
  <c r="K67" i="5"/>
  <c r="K65" i="5" s="1"/>
  <c r="L63" i="5"/>
  <c r="O61" i="5"/>
  <c r="K62" i="5"/>
  <c r="K61" i="5" s="1"/>
  <c r="K59" i="5"/>
  <c r="K58" i="5" s="1"/>
  <c r="K57" i="5" s="1"/>
  <c r="O55" i="5"/>
  <c r="L55" i="5"/>
  <c r="K56" i="5"/>
  <c r="K55" i="5" s="1"/>
  <c r="K54" i="5" s="1"/>
  <c r="K53" i="5"/>
  <c r="K52" i="5" s="1"/>
  <c r="O50" i="5"/>
  <c r="L50" i="5"/>
  <c r="N50" i="5" s="1"/>
  <c r="K51" i="5"/>
  <c r="K50" i="5" s="1"/>
  <c r="K48" i="5"/>
  <c r="K47" i="5" s="1"/>
  <c r="K46" i="5"/>
  <c r="K45" i="5" s="1"/>
  <c r="K43" i="5"/>
  <c r="K42" i="5" s="1"/>
  <c r="K41" i="5" s="1"/>
  <c r="K40" i="5"/>
  <c r="K39" i="5" s="1"/>
  <c r="K38" i="5" s="1"/>
  <c r="K37" i="5"/>
  <c r="K36" i="5" s="1"/>
  <c r="K35" i="5" s="1"/>
  <c r="N34" i="5"/>
  <c r="N33" i="5" s="1"/>
  <c r="K32" i="5"/>
  <c r="K31" i="5" s="1"/>
  <c r="Q29" i="5"/>
  <c r="Q28" i="5" s="1"/>
  <c r="N29" i="5"/>
  <c r="N28" i="5" s="1"/>
  <c r="K29" i="5"/>
  <c r="K27" i="5"/>
  <c r="K26" i="5" s="1"/>
  <c r="Q21" i="5"/>
  <c r="N21" i="5"/>
  <c r="K21" i="5"/>
  <c r="N20" i="5"/>
  <c r="Q19" i="5"/>
  <c r="N19" i="5"/>
  <c r="K19" i="5"/>
  <c r="N17" i="5"/>
  <c r="K12" i="5"/>
  <c r="K11" i="5" s="1"/>
  <c r="K10" i="5" s="1"/>
  <c r="O303" i="5"/>
  <c r="L329" i="16"/>
  <c r="L328" i="16" s="1"/>
  <c r="L331" i="16"/>
  <c r="L330" i="16" s="1"/>
  <c r="L334" i="16"/>
  <c r="K334" i="16"/>
  <c r="K331" i="16"/>
  <c r="U66" i="15" l="1"/>
  <c r="U65" i="15" s="1"/>
  <c r="P73" i="15"/>
  <c r="U73" i="15"/>
  <c r="U48" i="15"/>
  <c r="L327" i="16"/>
  <c r="M331" i="16"/>
  <c r="O331" i="16" s="1"/>
  <c r="M334" i="16"/>
  <c r="O334" i="16" s="1"/>
  <c r="L333" i="16"/>
  <c r="L332" i="16" s="1"/>
  <c r="O11" i="5"/>
  <c r="Q12" i="5"/>
  <c r="L26" i="5"/>
  <c r="N26" i="5" s="1"/>
  <c r="N27" i="5"/>
  <c r="L42" i="5"/>
  <c r="N43" i="5"/>
  <c r="O45" i="5"/>
  <c r="Q45" i="5" s="1"/>
  <c r="Q46" i="5"/>
  <c r="L52" i="5"/>
  <c r="N52" i="5" s="1"/>
  <c r="N53" i="5"/>
  <c r="L69" i="5"/>
  <c r="N69" i="5" s="1"/>
  <c r="N70" i="5"/>
  <c r="O71" i="5"/>
  <c r="Q71" i="5" s="1"/>
  <c r="Q72" i="5"/>
  <c r="L77" i="5"/>
  <c r="N78" i="5"/>
  <c r="L93" i="5"/>
  <c r="N94" i="5"/>
  <c r="L102" i="5"/>
  <c r="N103" i="5"/>
  <c r="O105" i="5"/>
  <c r="Q106" i="5"/>
  <c r="L118" i="5"/>
  <c r="N119" i="5"/>
  <c r="O121" i="5"/>
  <c r="Q122" i="5"/>
  <c r="L131" i="5"/>
  <c r="N131" i="5" s="1"/>
  <c r="N132" i="5"/>
  <c r="O134" i="5"/>
  <c r="Q135" i="5"/>
  <c r="L152" i="5"/>
  <c r="N153" i="5"/>
  <c r="L167" i="5"/>
  <c r="N167" i="5" s="1"/>
  <c r="N168" i="5"/>
  <c r="L183" i="5"/>
  <c r="N183" i="5" s="1"/>
  <c r="N184" i="5"/>
  <c r="O186" i="5"/>
  <c r="Q187" i="5"/>
  <c r="L194" i="5"/>
  <c r="N194" i="5" s="1"/>
  <c r="N195" i="5"/>
  <c r="L201" i="5"/>
  <c r="N202" i="5"/>
  <c r="L210" i="5"/>
  <c r="N211" i="5"/>
  <c r="L219" i="5"/>
  <c r="N219" i="5" s="1"/>
  <c r="N220" i="5"/>
  <c r="O223" i="5"/>
  <c r="Q224" i="5"/>
  <c r="O235" i="5"/>
  <c r="Q236" i="5"/>
  <c r="L251" i="5"/>
  <c r="N251" i="5" s="1"/>
  <c r="N252" i="5"/>
  <c r="L264" i="5"/>
  <c r="N265" i="5"/>
  <c r="L14" i="5"/>
  <c r="N15" i="5"/>
  <c r="O26" i="5"/>
  <c r="Q26" i="5" s="1"/>
  <c r="Q27" i="5"/>
  <c r="L39" i="5"/>
  <c r="N40" i="5"/>
  <c r="O42" i="5"/>
  <c r="Q43" i="5"/>
  <c r="O52" i="5"/>
  <c r="Q52" i="5" s="1"/>
  <c r="Q49" i="5" s="1"/>
  <c r="Q53" i="5"/>
  <c r="L61" i="5"/>
  <c r="L60" i="5" s="1"/>
  <c r="N62" i="5"/>
  <c r="N61" i="5" s="1"/>
  <c r="N60" i="5" s="1"/>
  <c r="L65" i="5"/>
  <c r="N65" i="5" s="1"/>
  <c r="N67" i="5"/>
  <c r="O69" i="5"/>
  <c r="Q69" i="5" s="1"/>
  <c r="Q70" i="5"/>
  <c r="L85" i="5"/>
  <c r="N86" i="5"/>
  <c r="L96" i="5"/>
  <c r="N97" i="5"/>
  <c r="O102" i="5"/>
  <c r="Q103" i="5"/>
  <c r="L113" i="5"/>
  <c r="N114" i="5"/>
  <c r="O118" i="5"/>
  <c r="Q119" i="5"/>
  <c r="L129" i="5"/>
  <c r="N129" i="5" s="1"/>
  <c r="N130" i="5"/>
  <c r="O131" i="5"/>
  <c r="Q131" i="5" s="1"/>
  <c r="Q132" i="5"/>
  <c r="L144" i="5"/>
  <c r="N145" i="5"/>
  <c r="L158" i="5"/>
  <c r="N159" i="5"/>
  <c r="L165" i="5"/>
  <c r="N165" i="5" s="1"/>
  <c r="N166" i="5"/>
  <c r="O167" i="5"/>
  <c r="Q167" i="5" s="1"/>
  <c r="Q168" i="5"/>
  <c r="L175" i="5"/>
  <c r="N176" i="5"/>
  <c r="L181" i="5"/>
  <c r="N181" i="5" s="1"/>
  <c r="N182" i="5"/>
  <c r="O183" i="5"/>
  <c r="Q183" i="5" s="1"/>
  <c r="Q184" i="5"/>
  <c r="L192" i="5"/>
  <c r="N192" i="5" s="1"/>
  <c r="N193" i="5"/>
  <c r="O194" i="5"/>
  <c r="Q194" i="5" s="1"/>
  <c r="Q195" i="5"/>
  <c r="L207" i="5"/>
  <c r="N208" i="5"/>
  <c r="O210" i="5"/>
  <c r="Q211" i="5"/>
  <c r="L229" i="5"/>
  <c r="N230" i="5"/>
  <c r="L244" i="5"/>
  <c r="N245" i="5"/>
  <c r="L261" i="5"/>
  <c r="N261" i="5" s="1"/>
  <c r="N262" i="5"/>
  <c r="O264" i="5"/>
  <c r="Q265" i="5"/>
  <c r="L23" i="5"/>
  <c r="N24" i="5"/>
  <c r="L31" i="5"/>
  <c r="N31" i="5" s="1"/>
  <c r="N32" i="5"/>
  <c r="L36" i="5"/>
  <c r="N37" i="5"/>
  <c r="O39" i="5"/>
  <c r="Q40" i="5"/>
  <c r="L47" i="5"/>
  <c r="N47" i="5" s="1"/>
  <c r="N48" i="5"/>
  <c r="L58" i="5"/>
  <c r="N59" i="5"/>
  <c r="O66" i="5"/>
  <c r="Q66" i="5" s="1"/>
  <c r="Q67" i="5"/>
  <c r="L74" i="5"/>
  <c r="N75" i="5"/>
  <c r="L80" i="5"/>
  <c r="N81" i="5"/>
  <c r="O85" i="5"/>
  <c r="Q86" i="5"/>
  <c r="L99" i="5"/>
  <c r="N100" i="5"/>
  <c r="L108" i="5"/>
  <c r="N109" i="5"/>
  <c r="O113" i="5"/>
  <c r="Q114" i="5"/>
  <c r="L126" i="5"/>
  <c r="N127" i="5"/>
  <c r="O129" i="5"/>
  <c r="Q129" i="5" s="1"/>
  <c r="Q130" i="5"/>
  <c r="L139" i="5"/>
  <c r="N140" i="5"/>
  <c r="O144" i="5"/>
  <c r="Q145" i="5"/>
  <c r="L155" i="5"/>
  <c r="N156" i="5"/>
  <c r="O158" i="5"/>
  <c r="Q159" i="5"/>
  <c r="O165" i="5"/>
  <c r="Q165" i="5" s="1"/>
  <c r="Q166" i="5"/>
  <c r="L170" i="5"/>
  <c r="N170" i="5" s="1"/>
  <c r="N171" i="5"/>
  <c r="O175" i="5"/>
  <c r="Q176" i="5"/>
  <c r="O181" i="5"/>
  <c r="Q181" i="5" s="1"/>
  <c r="Q182" i="5"/>
  <c r="L189" i="5"/>
  <c r="N190" i="5"/>
  <c r="O192" i="5"/>
  <c r="Q192" i="5" s="1"/>
  <c r="Q193" i="5"/>
  <c r="L196" i="5"/>
  <c r="N196" i="5" s="1"/>
  <c r="N197" i="5"/>
  <c r="L204" i="5"/>
  <c r="N205" i="5"/>
  <c r="O207" i="5"/>
  <c r="Q208" i="5"/>
  <c r="L215" i="5"/>
  <c r="N215" i="5" s="1"/>
  <c r="N216" i="5"/>
  <c r="L226" i="5"/>
  <c r="N227" i="5"/>
  <c r="O229" i="5"/>
  <c r="Q230" i="5"/>
  <c r="L240" i="5"/>
  <c r="N241" i="5"/>
  <c r="O244" i="5"/>
  <c r="Q245" i="5"/>
  <c r="O261" i="5"/>
  <c r="Q261" i="5" s="1"/>
  <c r="Q262" i="5"/>
  <c r="L11" i="5"/>
  <c r="N12" i="5"/>
  <c r="O31" i="5"/>
  <c r="Q31" i="5" s="1"/>
  <c r="Q32" i="5"/>
  <c r="O36" i="5"/>
  <c r="Q37" i="5"/>
  <c r="L45" i="5"/>
  <c r="N45" i="5" s="1"/>
  <c r="N46" i="5"/>
  <c r="O47" i="5"/>
  <c r="Q47" i="5" s="1"/>
  <c r="Q48" i="5"/>
  <c r="L54" i="5"/>
  <c r="N54" i="5" s="1"/>
  <c r="N55" i="5"/>
  <c r="O58" i="5"/>
  <c r="Q59" i="5"/>
  <c r="L71" i="5"/>
  <c r="N71" i="5" s="1"/>
  <c r="N72" i="5"/>
  <c r="O74" i="5"/>
  <c r="Q75" i="5"/>
  <c r="O80" i="5"/>
  <c r="Q81" i="5"/>
  <c r="L90" i="5"/>
  <c r="N91" i="5"/>
  <c r="L105" i="5"/>
  <c r="N106" i="5"/>
  <c r="O108" i="5"/>
  <c r="Q109" i="5"/>
  <c r="L121" i="5"/>
  <c r="O126" i="5"/>
  <c r="Q127" i="5"/>
  <c r="L134" i="5"/>
  <c r="N135" i="5"/>
  <c r="O139" i="5"/>
  <c r="Q140" i="5"/>
  <c r="L149" i="5"/>
  <c r="N150" i="5"/>
  <c r="O155" i="5"/>
  <c r="Q156" i="5"/>
  <c r="L161" i="5"/>
  <c r="N161" i="5" s="1"/>
  <c r="N162" i="5"/>
  <c r="L172" i="5"/>
  <c r="N172" i="5" s="1"/>
  <c r="N173" i="5"/>
  <c r="L178" i="5"/>
  <c r="N179" i="5"/>
  <c r="L186" i="5"/>
  <c r="N187" i="5"/>
  <c r="O189" i="5"/>
  <c r="Q190" i="5"/>
  <c r="L198" i="5"/>
  <c r="N198" i="5" s="1"/>
  <c r="N199" i="5"/>
  <c r="O204" i="5"/>
  <c r="Q205" i="5"/>
  <c r="L223" i="5"/>
  <c r="N224" i="5"/>
  <c r="O226" i="5"/>
  <c r="Q227" i="5"/>
  <c r="L235" i="5"/>
  <c r="N236" i="5"/>
  <c r="O240" i="5"/>
  <c r="Q241" i="5"/>
  <c r="L248" i="5"/>
  <c r="N249" i="5"/>
  <c r="L259" i="5"/>
  <c r="N259" i="5" s="1"/>
  <c r="N260" i="5"/>
  <c r="O54" i="5"/>
  <c r="J12" i="17"/>
  <c r="N21" i="17"/>
  <c r="P21" i="17" s="1"/>
  <c r="P22" i="17"/>
  <c r="N25" i="17"/>
  <c r="P26" i="17"/>
  <c r="K38" i="17"/>
  <c r="M38" i="17" s="1"/>
  <c r="M39" i="17"/>
  <c r="K52" i="17"/>
  <c r="M52" i="17" s="1"/>
  <c r="M53" i="17"/>
  <c r="K71" i="17"/>
  <c r="M71" i="17" s="1"/>
  <c r="M72" i="17"/>
  <c r="K74" i="17"/>
  <c r="M74" i="17" s="1"/>
  <c r="M75" i="17"/>
  <c r="K78" i="17"/>
  <c r="M79" i="17"/>
  <c r="N82" i="17"/>
  <c r="P83" i="17"/>
  <c r="J90" i="17"/>
  <c r="K111" i="17"/>
  <c r="M111" i="17" s="1"/>
  <c r="M112" i="17"/>
  <c r="K123" i="17"/>
  <c r="M123" i="17" s="1"/>
  <c r="M124" i="17"/>
  <c r="K126" i="17"/>
  <c r="M126" i="17" s="1"/>
  <c r="M127" i="17"/>
  <c r="K130" i="17"/>
  <c r="M131" i="17"/>
  <c r="N139" i="17"/>
  <c r="P140" i="17"/>
  <c r="K143" i="17"/>
  <c r="M143" i="17" s="1"/>
  <c r="M144" i="17"/>
  <c r="K147" i="17"/>
  <c r="M148" i="17"/>
  <c r="K177" i="17"/>
  <c r="M178" i="17"/>
  <c r="K180" i="17"/>
  <c r="K188" i="17"/>
  <c r="M188" i="17" s="1"/>
  <c r="M189" i="17"/>
  <c r="K199" i="17"/>
  <c r="M199" i="17" s="1"/>
  <c r="M200" i="17"/>
  <c r="K206" i="17"/>
  <c r="K223" i="17"/>
  <c r="M224" i="17"/>
  <c r="K246" i="17"/>
  <c r="M246" i="17" s="1"/>
  <c r="M247" i="17"/>
  <c r="K258" i="17"/>
  <c r="M259" i="17"/>
  <c r="K263" i="17"/>
  <c r="M264" i="17"/>
  <c r="K268" i="17"/>
  <c r="M268" i="17"/>
  <c r="N320" i="17"/>
  <c r="P279" i="17"/>
  <c r="M34" i="17"/>
  <c r="N38" i="17"/>
  <c r="P38" i="17" s="1"/>
  <c r="P39" i="17"/>
  <c r="N41" i="17"/>
  <c r="P41" i="17" s="1"/>
  <c r="P42" i="17"/>
  <c r="K49" i="17"/>
  <c r="N52" i="17"/>
  <c r="P52" i="17" s="1"/>
  <c r="P53" i="17"/>
  <c r="K64" i="17"/>
  <c r="M65" i="17"/>
  <c r="N74" i="17"/>
  <c r="P74" i="17" s="1"/>
  <c r="P75" i="17"/>
  <c r="N78" i="17"/>
  <c r="P79" i="17"/>
  <c r="K87" i="17"/>
  <c r="M87" i="17" s="1"/>
  <c r="M88" i="17"/>
  <c r="K93" i="17"/>
  <c r="M94" i="17"/>
  <c r="N112" i="17"/>
  <c r="K117" i="17"/>
  <c r="M117" i="17" s="1"/>
  <c r="M118" i="17"/>
  <c r="K120" i="17"/>
  <c r="M120" i="17" s="1"/>
  <c r="M121" i="17"/>
  <c r="N123" i="17"/>
  <c r="P123" i="17" s="1"/>
  <c r="P124" i="17"/>
  <c r="N130" i="17"/>
  <c r="P131" i="17"/>
  <c r="N135" i="17"/>
  <c r="P136" i="17"/>
  <c r="K142" i="17"/>
  <c r="N143" i="17"/>
  <c r="P143" i="17" s="1"/>
  <c r="P144" i="17"/>
  <c r="K157" i="17"/>
  <c r="M157" i="17" s="1"/>
  <c r="M158" i="17"/>
  <c r="K164" i="17"/>
  <c r="M165" i="17"/>
  <c r="N166" i="17"/>
  <c r="P166" i="17" s="1"/>
  <c r="P167" i="17"/>
  <c r="K173" i="17"/>
  <c r="M174" i="17"/>
  <c r="N177" i="17"/>
  <c r="P178" i="17"/>
  <c r="K182" i="17"/>
  <c r="M182" i="17" s="1"/>
  <c r="M183" i="17"/>
  <c r="K185" i="17"/>
  <c r="M185" i="17" s="1"/>
  <c r="M186" i="17"/>
  <c r="K191" i="17"/>
  <c r="M191" i="17" s="1"/>
  <c r="M192" i="17"/>
  <c r="K195" i="17"/>
  <c r="M196" i="17"/>
  <c r="N199" i="17"/>
  <c r="P199" i="17" s="1"/>
  <c r="P200" i="17"/>
  <c r="K216" i="17"/>
  <c r="M217" i="17"/>
  <c r="K220" i="17"/>
  <c r="M220" i="17" s="1"/>
  <c r="M221" i="17"/>
  <c r="N232" i="17"/>
  <c r="P232" i="17" s="1"/>
  <c r="P233" i="17"/>
  <c r="N237" i="17"/>
  <c r="P237" i="17" s="1"/>
  <c r="P238" i="17"/>
  <c r="K248" i="17"/>
  <c r="M249" i="17"/>
  <c r="K254" i="17"/>
  <c r="M255" i="17"/>
  <c r="K277" i="17"/>
  <c r="K276" i="17" s="1"/>
  <c r="K323" i="17" s="1"/>
  <c r="M278" i="17"/>
  <c r="M277" i="17" s="1"/>
  <c r="M276" i="17" s="1"/>
  <c r="N282" i="17"/>
  <c r="N281" i="17" s="1"/>
  <c r="N280" i="17" s="1"/>
  <c r="P283" i="17"/>
  <c r="P282" i="17" s="1"/>
  <c r="P281" i="17" s="1"/>
  <c r="P280" i="17" s="1"/>
  <c r="P287" i="17"/>
  <c r="P286" i="17" s="1"/>
  <c r="N286" i="17"/>
  <c r="K320" i="17"/>
  <c r="K29" i="17"/>
  <c r="M30" i="17"/>
  <c r="P34" i="17"/>
  <c r="N36" i="17"/>
  <c r="P36" i="17" s="1"/>
  <c r="P37" i="17"/>
  <c r="K41" i="17"/>
  <c r="M41" i="17" s="1"/>
  <c r="J44" i="17"/>
  <c r="K44" i="17"/>
  <c r="J57" i="17"/>
  <c r="J56" i="17" s="1"/>
  <c r="J55" i="17" s="1"/>
  <c r="N64" i="17"/>
  <c r="P65" i="17"/>
  <c r="N71" i="17"/>
  <c r="P71" i="17" s="1"/>
  <c r="J82" i="17"/>
  <c r="J81" i="17" s="1"/>
  <c r="N87" i="17"/>
  <c r="P87" i="17" s="1"/>
  <c r="P88" i="17"/>
  <c r="K109" i="17"/>
  <c r="M110" i="17"/>
  <c r="K114" i="17"/>
  <c r="M114" i="17" s="1"/>
  <c r="M115" i="17"/>
  <c r="N117" i="17"/>
  <c r="P117" i="17" s="1"/>
  <c r="P118" i="17"/>
  <c r="N120" i="17"/>
  <c r="P120" i="17" s="1"/>
  <c r="P121" i="17"/>
  <c r="N126" i="17"/>
  <c r="P126" i="17" s="1"/>
  <c r="K135" i="17"/>
  <c r="N147" i="17"/>
  <c r="K154" i="17"/>
  <c r="M154" i="17" s="1"/>
  <c r="M155" i="17"/>
  <c r="N157" i="17"/>
  <c r="P157" i="17" s="1"/>
  <c r="P158" i="17"/>
  <c r="K169" i="17"/>
  <c r="M169" i="17" s="1"/>
  <c r="M170" i="17"/>
  <c r="N173" i="17"/>
  <c r="P174" i="17"/>
  <c r="N180" i="17"/>
  <c r="P181" i="17"/>
  <c r="N185" i="17"/>
  <c r="P185" i="17" s="1"/>
  <c r="P186" i="17"/>
  <c r="N191" i="17"/>
  <c r="P191" i="17" s="1"/>
  <c r="P192" i="17"/>
  <c r="N195" i="17"/>
  <c r="P196" i="17"/>
  <c r="N206" i="17"/>
  <c r="P204" i="17"/>
  <c r="N211" i="17"/>
  <c r="P211" i="17" s="1"/>
  <c r="P212" i="17"/>
  <c r="N216" i="17"/>
  <c r="P217" i="17"/>
  <c r="K237" i="17"/>
  <c r="M237" i="17" s="1"/>
  <c r="N246" i="17"/>
  <c r="P246" i="17" s="1"/>
  <c r="N254" i="17"/>
  <c r="P255" i="17"/>
  <c r="K273" i="17"/>
  <c r="N278" i="17"/>
  <c r="K283" i="17"/>
  <c r="M284" i="17"/>
  <c r="N297" i="17"/>
  <c r="P298" i="17"/>
  <c r="K17" i="17"/>
  <c r="M17" i="17" s="1"/>
  <c r="M18" i="17"/>
  <c r="K21" i="17"/>
  <c r="M21" i="17" s="1"/>
  <c r="M22" i="17"/>
  <c r="K25" i="17"/>
  <c r="M26" i="17"/>
  <c r="N29" i="17"/>
  <c r="P30" i="17"/>
  <c r="K36" i="17"/>
  <c r="M36" i="17" s="1"/>
  <c r="K57" i="17"/>
  <c r="M57" i="17" s="1"/>
  <c r="M58" i="17"/>
  <c r="K82" i="17"/>
  <c r="M82" i="17" s="1"/>
  <c r="M83" i="17"/>
  <c r="N93" i="17"/>
  <c r="P96" i="17"/>
  <c r="K101" i="17"/>
  <c r="N108" i="17"/>
  <c r="P108" i="17" s="1"/>
  <c r="N114" i="17"/>
  <c r="P114" i="17" s="1"/>
  <c r="P115" i="17"/>
  <c r="K139" i="17"/>
  <c r="M140" i="17"/>
  <c r="J147" i="17"/>
  <c r="J146" i="17" s="1"/>
  <c r="N154" i="17"/>
  <c r="P154" i="17" s="1"/>
  <c r="P155" i="17"/>
  <c r="N164" i="17"/>
  <c r="K166" i="17"/>
  <c r="M166" i="17" s="1"/>
  <c r="N169" i="17"/>
  <c r="P169" i="17" s="1"/>
  <c r="P170" i="17"/>
  <c r="N182" i="17"/>
  <c r="P182" i="17" s="1"/>
  <c r="N189" i="17"/>
  <c r="P190" i="17"/>
  <c r="K203" i="17"/>
  <c r="M203" i="17" s="1"/>
  <c r="J206" i="17"/>
  <c r="J205" i="17" s="1"/>
  <c r="J202" i="17" s="1"/>
  <c r="J198" i="17" s="1"/>
  <c r="K211" i="17"/>
  <c r="M211" i="17" s="1"/>
  <c r="N220" i="17"/>
  <c r="P220" i="17" s="1"/>
  <c r="N224" i="17"/>
  <c r="P225" i="17"/>
  <c r="N226" i="17"/>
  <c r="P226" i="17" s="1"/>
  <c r="P227" i="17"/>
  <c r="N228" i="17"/>
  <c r="P228" i="17" s="1"/>
  <c r="P229" i="17"/>
  <c r="N248" i="17"/>
  <c r="P248" i="17" s="1"/>
  <c r="N259" i="17"/>
  <c r="P260" i="17"/>
  <c r="N264" i="17"/>
  <c r="P265" i="17"/>
  <c r="P297" i="17"/>
  <c r="P296" i="17" s="1"/>
  <c r="P295" i="17" s="1"/>
  <c r="P294" i="17" s="1"/>
  <c r="N296" i="17"/>
  <c r="N295" i="17" s="1"/>
  <c r="N294" i="17" s="1"/>
  <c r="K180" i="5"/>
  <c r="O65" i="5"/>
  <c r="Q65" i="5" s="1"/>
  <c r="K68" i="5"/>
  <c r="O49" i="5"/>
  <c r="K49" i="5"/>
  <c r="K44" i="5"/>
  <c r="L18" i="5"/>
  <c r="N18" i="5" s="1"/>
  <c r="K153" i="17"/>
  <c r="J64" i="17"/>
  <c r="J63" i="17" s="1"/>
  <c r="J62" i="17" s="1"/>
  <c r="J311" i="17" s="1"/>
  <c r="K70" i="17"/>
  <c r="J101" i="17"/>
  <c r="J100" i="17" s="1"/>
  <c r="J99" i="17" s="1"/>
  <c r="K232" i="17"/>
  <c r="J153" i="17"/>
  <c r="J152" i="17" s="1"/>
  <c r="J232" i="17"/>
  <c r="K81" i="17"/>
  <c r="K12" i="17"/>
  <c r="N57" i="17"/>
  <c r="P57" i="17" s="1"/>
  <c r="J70" i="17"/>
  <c r="J69" i="17" s="1"/>
  <c r="J353" i="17" s="1"/>
  <c r="J237" i="17"/>
  <c r="K286" i="17"/>
  <c r="K56" i="17"/>
  <c r="J32" i="17"/>
  <c r="J310" i="17"/>
  <c r="J351" i="17"/>
  <c r="J352" i="17"/>
  <c r="J8" i="17"/>
  <c r="J7" i="17" s="1"/>
  <c r="J107" i="17"/>
  <c r="J106" i="17" s="1"/>
  <c r="J358" i="17"/>
  <c r="J317" i="17"/>
  <c r="J162" i="17"/>
  <c r="J175" i="17"/>
  <c r="J354" i="17"/>
  <c r="J313" i="17"/>
  <c r="J133" i="17"/>
  <c r="J143" i="17"/>
  <c r="J219" i="17"/>
  <c r="J267" i="17"/>
  <c r="N17" i="17"/>
  <c r="J331" i="17"/>
  <c r="N203" i="17"/>
  <c r="J245" i="17"/>
  <c r="J244" i="17" s="1"/>
  <c r="J243" i="17" s="1"/>
  <c r="J287" i="17"/>
  <c r="J286" i="17" s="1"/>
  <c r="J281" i="17" s="1"/>
  <c r="J280" i="17" s="1"/>
  <c r="N245" i="17"/>
  <c r="L258" i="5"/>
  <c r="K116" i="5"/>
  <c r="K115" i="5" s="1"/>
  <c r="K128" i="5"/>
  <c r="K124" i="5" s="1"/>
  <c r="K123" i="5" s="1"/>
  <c r="L180" i="5"/>
  <c r="N180" i="5" s="1"/>
  <c r="K66" i="5"/>
  <c r="L66" i="5"/>
  <c r="N66" i="5" s="1"/>
  <c r="K330" i="16"/>
  <c r="J391" i="15"/>
  <c r="J390" i="15" s="1"/>
  <c r="J387" i="15"/>
  <c r="N424" i="15" l="1"/>
  <c r="P427" i="15"/>
  <c r="Q429" i="16"/>
  <c r="J386" i="15"/>
  <c r="J385" i="15" s="1"/>
  <c r="U427" i="15"/>
  <c r="S429" i="16"/>
  <c r="P424" i="15"/>
  <c r="U424" i="15"/>
  <c r="L326" i="16"/>
  <c r="M330" i="16"/>
  <c r="M333" i="16"/>
  <c r="M332" i="16" s="1"/>
  <c r="M358" i="16" s="1"/>
  <c r="O330" i="16"/>
  <c r="Q331" i="16"/>
  <c r="O333" i="16"/>
  <c r="O332" i="16" s="1"/>
  <c r="O358" i="16" s="1"/>
  <c r="Q334" i="16"/>
  <c r="L358" i="16"/>
  <c r="L128" i="5"/>
  <c r="O68" i="5"/>
  <c r="Q68" i="5" s="1"/>
  <c r="L44" i="5"/>
  <c r="N44" i="5" s="1"/>
  <c r="O44" i="5"/>
  <c r="Q44" i="5" s="1"/>
  <c r="O128" i="5"/>
  <c r="Q128" i="5" s="1"/>
  <c r="O180" i="5"/>
  <c r="Q180" i="5" s="1"/>
  <c r="L68" i="5"/>
  <c r="N68" i="5" s="1"/>
  <c r="N14" i="5"/>
  <c r="L13" i="5"/>
  <c r="L191" i="5"/>
  <c r="N191" i="5" s="1"/>
  <c r="L169" i="5"/>
  <c r="N169" i="5" s="1"/>
  <c r="N258" i="5"/>
  <c r="N128" i="5"/>
  <c r="L247" i="5"/>
  <c r="N247" i="5" s="1"/>
  <c r="N248" i="5"/>
  <c r="L234" i="5"/>
  <c r="N234" i="5" s="1"/>
  <c r="N235" i="5"/>
  <c r="L222" i="5"/>
  <c r="N222" i="5" s="1"/>
  <c r="N223" i="5"/>
  <c r="L185" i="5"/>
  <c r="N185" i="5" s="1"/>
  <c r="N186" i="5"/>
  <c r="O154" i="5"/>
  <c r="Q154" i="5" s="1"/>
  <c r="Q155" i="5"/>
  <c r="O138" i="5"/>
  <c r="Q139" i="5"/>
  <c r="O125" i="5"/>
  <c r="Q125" i="5" s="1"/>
  <c r="Q126" i="5"/>
  <c r="O107" i="5"/>
  <c r="Q107" i="5" s="1"/>
  <c r="Q108" i="5"/>
  <c r="L89" i="5"/>
  <c r="N90" i="5"/>
  <c r="O73" i="5"/>
  <c r="Q73" i="5" s="1"/>
  <c r="Q74" i="5"/>
  <c r="O57" i="5"/>
  <c r="Q57" i="5" s="1"/>
  <c r="Q58" i="5"/>
  <c r="O35" i="5"/>
  <c r="Q35" i="5" s="1"/>
  <c r="Q36" i="5"/>
  <c r="L10" i="5"/>
  <c r="N11" i="5"/>
  <c r="O243" i="5"/>
  <c r="Q244" i="5"/>
  <c r="O228" i="5"/>
  <c r="Q228" i="5" s="1"/>
  <c r="Q229" i="5"/>
  <c r="L203" i="5"/>
  <c r="N203" i="5" s="1"/>
  <c r="N204" i="5"/>
  <c r="O157" i="5"/>
  <c r="Q157" i="5" s="1"/>
  <c r="Q158" i="5"/>
  <c r="O143" i="5"/>
  <c r="Q144" i="5"/>
  <c r="O112" i="5"/>
  <c r="Q113" i="5"/>
  <c r="L98" i="5"/>
  <c r="N98" i="5" s="1"/>
  <c r="N99" i="5"/>
  <c r="L79" i="5"/>
  <c r="N79" i="5" s="1"/>
  <c r="N80" i="5"/>
  <c r="L35" i="5"/>
  <c r="N35" i="5" s="1"/>
  <c r="N36" i="5"/>
  <c r="L22" i="5"/>
  <c r="N22" i="5" s="1"/>
  <c r="N23" i="5"/>
  <c r="L228" i="5"/>
  <c r="N228" i="5" s="1"/>
  <c r="N229" i="5"/>
  <c r="L206" i="5"/>
  <c r="N206" i="5" s="1"/>
  <c r="N207" i="5"/>
  <c r="L157" i="5"/>
  <c r="N157" i="5" s="1"/>
  <c r="N158" i="5"/>
  <c r="O117" i="5"/>
  <c r="Q118" i="5"/>
  <c r="O101" i="5"/>
  <c r="Q101" i="5" s="1"/>
  <c r="Q102" i="5"/>
  <c r="L84" i="5"/>
  <c r="N85" i="5"/>
  <c r="L38" i="5"/>
  <c r="N38" i="5" s="1"/>
  <c r="N39" i="5"/>
  <c r="O222" i="5"/>
  <c r="Q222" i="5" s="1"/>
  <c r="Q223" i="5"/>
  <c r="L209" i="5"/>
  <c r="N209" i="5" s="1"/>
  <c r="N210" i="5"/>
  <c r="L151" i="5"/>
  <c r="N151" i="5" s="1"/>
  <c r="N152" i="5"/>
  <c r="L117" i="5"/>
  <c r="N118" i="5"/>
  <c r="L101" i="5"/>
  <c r="N101" i="5" s="1"/>
  <c r="N102" i="5"/>
  <c r="L76" i="5"/>
  <c r="N76" i="5" s="1"/>
  <c r="N77" i="5"/>
  <c r="O239" i="5"/>
  <c r="Q240" i="5"/>
  <c r="O225" i="5"/>
  <c r="Q225" i="5" s="1"/>
  <c r="Q226" i="5"/>
  <c r="O203" i="5"/>
  <c r="Q203" i="5" s="1"/>
  <c r="Q204" i="5"/>
  <c r="O188" i="5"/>
  <c r="Q188" i="5" s="1"/>
  <c r="Q189" i="5"/>
  <c r="L177" i="5"/>
  <c r="N177" i="5" s="1"/>
  <c r="N178" i="5"/>
  <c r="L148" i="5"/>
  <c r="N148" i="5" s="1"/>
  <c r="N149" i="5"/>
  <c r="L133" i="5"/>
  <c r="N133" i="5" s="1"/>
  <c r="N134" i="5"/>
  <c r="L120" i="5"/>
  <c r="N120" i="5" s="1"/>
  <c r="N121" i="5"/>
  <c r="L104" i="5"/>
  <c r="N104" i="5" s="1"/>
  <c r="N105" i="5"/>
  <c r="O79" i="5"/>
  <c r="Q79" i="5" s="1"/>
  <c r="Q80" i="5"/>
  <c r="L239" i="5"/>
  <c r="N240" i="5"/>
  <c r="L225" i="5"/>
  <c r="N225" i="5" s="1"/>
  <c r="N226" i="5"/>
  <c r="O206" i="5"/>
  <c r="Q206" i="5" s="1"/>
  <c r="Q207" i="5"/>
  <c r="L188" i="5"/>
  <c r="N188" i="5" s="1"/>
  <c r="N189" i="5"/>
  <c r="O174" i="5"/>
  <c r="Q174" i="5" s="1"/>
  <c r="Q175" i="5"/>
  <c r="L154" i="5"/>
  <c r="N154" i="5" s="1"/>
  <c r="N155" i="5"/>
  <c r="L138" i="5"/>
  <c r="N139" i="5"/>
  <c r="L125" i="5"/>
  <c r="N125" i="5" s="1"/>
  <c r="N126" i="5"/>
  <c r="L107" i="5"/>
  <c r="N107" i="5" s="1"/>
  <c r="N108" i="5"/>
  <c r="O84" i="5"/>
  <c r="Q85" i="5"/>
  <c r="L73" i="5"/>
  <c r="N73" i="5" s="1"/>
  <c r="N74" i="5"/>
  <c r="L57" i="5"/>
  <c r="N57" i="5" s="1"/>
  <c r="N58" i="5"/>
  <c r="O38" i="5"/>
  <c r="Q38" i="5" s="1"/>
  <c r="Q39" i="5"/>
  <c r="O263" i="5"/>
  <c r="Q263" i="5" s="1"/>
  <c r="Q264" i="5"/>
  <c r="L243" i="5"/>
  <c r="N244" i="5"/>
  <c r="O209" i="5"/>
  <c r="Q209" i="5" s="1"/>
  <c r="Q210" i="5"/>
  <c r="L174" i="5"/>
  <c r="N174" i="5" s="1"/>
  <c r="N175" i="5"/>
  <c r="L143" i="5"/>
  <c r="N144" i="5"/>
  <c r="L112" i="5"/>
  <c r="N113" i="5"/>
  <c r="L95" i="5"/>
  <c r="N95" i="5" s="1"/>
  <c r="N96" i="5"/>
  <c r="O41" i="5"/>
  <c r="Q41" i="5" s="1"/>
  <c r="Q42" i="5"/>
  <c r="L263" i="5"/>
  <c r="N263" i="5" s="1"/>
  <c r="N264" i="5"/>
  <c r="O234" i="5"/>
  <c r="Q234" i="5" s="1"/>
  <c r="Q235" i="5"/>
  <c r="L200" i="5"/>
  <c r="N200" i="5" s="1"/>
  <c r="N201" i="5"/>
  <c r="O185" i="5"/>
  <c r="Q185" i="5" s="1"/>
  <c r="Q186" i="5"/>
  <c r="O133" i="5"/>
  <c r="Q133" i="5" s="1"/>
  <c r="Q134" i="5"/>
  <c r="O120" i="5"/>
  <c r="Q120" i="5" s="1"/>
  <c r="Q121" i="5"/>
  <c r="O104" i="5"/>
  <c r="Q104" i="5" s="1"/>
  <c r="Q105" i="5"/>
  <c r="L92" i="5"/>
  <c r="N92" i="5" s="1"/>
  <c r="N93" i="5"/>
  <c r="L41" i="5"/>
  <c r="N41" i="5" s="1"/>
  <c r="N42" i="5"/>
  <c r="O10" i="5"/>
  <c r="Q11" i="5"/>
  <c r="L354" i="16"/>
  <c r="J312" i="17"/>
  <c r="P272" i="17"/>
  <c r="N272" i="17"/>
  <c r="P264" i="17"/>
  <c r="N163" i="17"/>
  <c r="P164" i="17"/>
  <c r="N92" i="17"/>
  <c r="P93" i="17"/>
  <c r="P278" i="17"/>
  <c r="P277" i="17" s="1"/>
  <c r="P276" i="17" s="1"/>
  <c r="N277" i="17"/>
  <c r="N276" i="17" s="1"/>
  <c r="N323" i="17" s="1"/>
  <c r="P254" i="17"/>
  <c r="P216" i="17"/>
  <c r="N205" i="17"/>
  <c r="P205" i="17" s="1"/>
  <c r="P206" i="17"/>
  <c r="P180" i="17"/>
  <c r="N179" i="17"/>
  <c r="P179" i="17" s="1"/>
  <c r="K108" i="17"/>
  <c r="M109" i="17"/>
  <c r="P64" i="17"/>
  <c r="K245" i="17"/>
  <c r="M248" i="17"/>
  <c r="K215" i="17"/>
  <c r="M216" i="17"/>
  <c r="K194" i="17"/>
  <c r="M194" i="17" s="1"/>
  <c r="M195" i="17"/>
  <c r="N176" i="17"/>
  <c r="P177" i="17"/>
  <c r="K92" i="17"/>
  <c r="M93" i="17"/>
  <c r="P78" i="17"/>
  <c r="K63" i="17"/>
  <c r="M64" i="17"/>
  <c r="K262" i="17"/>
  <c r="P82" i="17"/>
  <c r="P25" i="17"/>
  <c r="K152" i="17"/>
  <c r="P224" i="17"/>
  <c r="N223" i="17"/>
  <c r="K138" i="17"/>
  <c r="M139" i="17"/>
  <c r="K100" i="17"/>
  <c r="P29" i="17"/>
  <c r="P147" i="17"/>
  <c r="K28" i="17"/>
  <c r="M29" i="17"/>
  <c r="P135" i="17"/>
  <c r="K179" i="17"/>
  <c r="M179" i="17" s="1"/>
  <c r="M180" i="17"/>
  <c r="K146" i="17"/>
  <c r="M147" i="17"/>
  <c r="P139" i="17"/>
  <c r="P203" i="17"/>
  <c r="P245" i="17"/>
  <c r="N268" i="17"/>
  <c r="N267" i="17" s="1"/>
  <c r="N242" i="17" s="1"/>
  <c r="P268" i="17"/>
  <c r="P267" i="17" s="1"/>
  <c r="P242" i="17" s="1"/>
  <c r="P305" i="17" s="1"/>
  <c r="I14" i="26" s="1"/>
  <c r="I13" i="26" s="1"/>
  <c r="I12" i="26" s="1"/>
  <c r="I11" i="26" s="1"/>
  <c r="I6" i="26" s="1"/>
  <c r="I15" i="26" s="1"/>
  <c r="P259" i="17"/>
  <c r="K272" i="17"/>
  <c r="K267" i="17" s="1"/>
  <c r="M272" i="17"/>
  <c r="M267" i="17" s="1"/>
  <c r="M242" i="17" s="1"/>
  <c r="N194" i="17"/>
  <c r="P194" i="17" s="1"/>
  <c r="P195" i="17"/>
  <c r="N172" i="17"/>
  <c r="P172" i="17" s="1"/>
  <c r="P173" i="17"/>
  <c r="K253" i="17"/>
  <c r="M254" i="17"/>
  <c r="K172" i="17"/>
  <c r="M172" i="17" s="1"/>
  <c r="M173" i="17"/>
  <c r="K163" i="17"/>
  <c r="M164" i="17"/>
  <c r="N111" i="17"/>
  <c r="P112" i="17"/>
  <c r="K33" i="17"/>
  <c r="K257" i="17"/>
  <c r="K219" i="17"/>
  <c r="M223" i="17"/>
  <c r="K77" i="17"/>
  <c r="M78" i="17"/>
  <c r="K55" i="17"/>
  <c r="N12" i="17"/>
  <c r="P17" i="17"/>
  <c r="N331" i="17"/>
  <c r="K331" i="17"/>
  <c r="K8" i="17"/>
  <c r="M12" i="17"/>
  <c r="K231" i="17"/>
  <c r="M232" i="17"/>
  <c r="K69" i="17"/>
  <c r="N188" i="17"/>
  <c r="P188" i="17" s="1"/>
  <c r="P189" i="17"/>
  <c r="K24" i="17"/>
  <c r="M25" i="17"/>
  <c r="K282" i="17"/>
  <c r="K281" i="17" s="1"/>
  <c r="K280" i="17" s="1"/>
  <c r="M283" i="17"/>
  <c r="M282" i="17" s="1"/>
  <c r="M281" i="17" s="1"/>
  <c r="M280" i="17" s="1"/>
  <c r="K134" i="17"/>
  <c r="M135" i="17"/>
  <c r="N33" i="17"/>
  <c r="P130" i="17"/>
  <c r="K205" i="17"/>
  <c r="M206" i="17"/>
  <c r="K176" i="17"/>
  <c r="M177" i="17"/>
  <c r="K129" i="17"/>
  <c r="M130" i="17"/>
  <c r="L387" i="15"/>
  <c r="K260" i="5"/>
  <c r="K259" i="5" s="1"/>
  <c r="K258" i="5" s="1"/>
  <c r="K257" i="5" s="1"/>
  <c r="K329" i="16"/>
  <c r="M329" i="16" s="1"/>
  <c r="J329" i="17"/>
  <c r="J242" i="17"/>
  <c r="J231" i="17"/>
  <c r="J214" i="17" s="1"/>
  <c r="K329" i="17"/>
  <c r="J330" i="17"/>
  <c r="J328" i="17" s="1"/>
  <c r="J360" i="17" s="1"/>
  <c r="J161" i="17"/>
  <c r="J356" i="17"/>
  <c r="J315" i="17"/>
  <c r="N312" i="17"/>
  <c r="N353" i="17"/>
  <c r="J350" i="17"/>
  <c r="J309" i="17"/>
  <c r="J6" i="17"/>
  <c r="K353" i="17"/>
  <c r="K351" i="17"/>
  <c r="K310" i="17"/>
  <c r="J319" i="17"/>
  <c r="J359" i="17"/>
  <c r="N387" i="15" l="1"/>
  <c r="L386" i="15"/>
  <c r="L385" i="15" s="1"/>
  <c r="Q333" i="16"/>
  <c r="Q332" i="16" s="1"/>
  <c r="Q358" i="16" s="1"/>
  <c r="S334" i="16"/>
  <c r="S333" i="16" s="1"/>
  <c r="S332" i="16" s="1"/>
  <c r="S358" i="16" s="1"/>
  <c r="Q330" i="16"/>
  <c r="S331" i="16"/>
  <c r="S330" i="16" s="1"/>
  <c r="M328" i="16"/>
  <c r="M327" i="16" s="1"/>
  <c r="M326" i="16" s="1"/>
  <c r="O329" i="16"/>
  <c r="Q10" i="5"/>
  <c r="N10" i="5"/>
  <c r="L142" i="5"/>
  <c r="N143" i="5"/>
  <c r="L111" i="5"/>
  <c r="N112" i="5"/>
  <c r="L242" i="5"/>
  <c r="N242" i="5" s="1"/>
  <c r="N243" i="5"/>
  <c r="L238" i="5"/>
  <c r="N238" i="5" s="1"/>
  <c r="N239" i="5"/>
  <c r="O238" i="5"/>
  <c r="Q238" i="5" s="1"/>
  <c r="Q239" i="5"/>
  <c r="L83" i="5"/>
  <c r="N84" i="5"/>
  <c r="Q117" i="5"/>
  <c r="O116" i="5"/>
  <c r="O111" i="5"/>
  <c r="Q112" i="5"/>
  <c r="N89" i="5"/>
  <c r="L88" i="5"/>
  <c r="L257" i="5"/>
  <c r="N257" i="5" s="1"/>
  <c r="L137" i="5"/>
  <c r="N138" i="5"/>
  <c r="O83" i="5"/>
  <c r="Q84" i="5"/>
  <c r="N117" i="5"/>
  <c r="L116" i="5"/>
  <c r="O142" i="5"/>
  <c r="Q143" i="5"/>
  <c r="O242" i="5"/>
  <c r="Q242" i="5" s="1"/>
  <c r="Q243" i="5"/>
  <c r="O137" i="5"/>
  <c r="Q138" i="5"/>
  <c r="L124" i="5"/>
  <c r="O124" i="5"/>
  <c r="K328" i="16"/>
  <c r="K327" i="16" s="1"/>
  <c r="K354" i="16" s="1"/>
  <c r="N359" i="17"/>
  <c r="N319" i="17"/>
  <c r="K312" i="17"/>
  <c r="M205" i="17"/>
  <c r="K202" i="17"/>
  <c r="M33" i="17"/>
  <c r="K32" i="17"/>
  <c r="M163" i="17"/>
  <c r="K162" i="17"/>
  <c r="K359" i="17"/>
  <c r="K319" i="17"/>
  <c r="N202" i="17"/>
  <c r="P223" i="17"/>
  <c r="P163" i="17"/>
  <c r="K133" i="17"/>
  <c r="K7" i="17"/>
  <c r="P12" i="17"/>
  <c r="K99" i="17"/>
  <c r="K62" i="17"/>
  <c r="K91" i="17"/>
  <c r="M92" i="17"/>
  <c r="K244" i="17"/>
  <c r="M245" i="17"/>
  <c r="M108" i="17"/>
  <c r="K107" i="17"/>
  <c r="M176" i="17"/>
  <c r="K175" i="17"/>
  <c r="M175" i="17" s="1"/>
  <c r="P111" i="17"/>
  <c r="P92" i="17"/>
  <c r="N358" i="17"/>
  <c r="N317" i="17"/>
  <c r="P33" i="17"/>
  <c r="N329" i="17"/>
  <c r="K214" i="17"/>
  <c r="K358" i="17"/>
  <c r="K317" i="17"/>
  <c r="P176" i="17"/>
  <c r="N175" i="17"/>
  <c r="P175" i="17" s="1"/>
  <c r="J384" i="15"/>
  <c r="J383" i="15" s="1"/>
  <c r="J382" i="15" s="1"/>
  <c r="K384" i="15"/>
  <c r="K383" i="15" s="1"/>
  <c r="K382" i="15" s="1"/>
  <c r="J357" i="17"/>
  <c r="J316" i="17"/>
  <c r="J160" i="17"/>
  <c r="J305" i="17" s="1"/>
  <c r="J314" i="17"/>
  <c r="J321" i="17" s="1"/>
  <c r="J355" i="17"/>
  <c r="J155" i="15"/>
  <c r="J154" i="15" s="1"/>
  <c r="J153" i="15" s="1"/>
  <c r="P387" i="15" l="1"/>
  <c r="P386" i="15" s="1"/>
  <c r="P385" i="15" s="1"/>
  <c r="P384" i="15" s="1"/>
  <c r="P383" i="15" s="1"/>
  <c r="P382" i="15" s="1"/>
  <c r="N386" i="15"/>
  <c r="N385" i="15" s="1"/>
  <c r="O328" i="16"/>
  <c r="O327" i="16" s="1"/>
  <c r="Q329" i="16"/>
  <c r="L136" i="5"/>
  <c r="N136" i="5" s="1"/>
  <c r="N137" i="5"/>
  <c r="O110" i="5"/>
  <c r="Q110" i="5" s="1"/>
  <c r="Q111" i="5"/>
  <c r="L82" i="5"/>
  <c r="N82" i="5" s="1"/>
  <c r="N83" i="5"/>
  <c r="L110" i="5"/>
  <c r="N110" i="5" s="1"/>
  <c r="N111" i="5"/>
  <c r="O259" i="5"/>
  <c r="Q260" i="5"/>
  <c r="O136" i="5"/>
  <c r="Q136" i="5" s="1"/>
  <c r="Q137" i="5"/>
  <c r="O141" i="5"/>
  <c r="Q141" i="5" s="1"/>
  <c r="Q142" i="5"/>
  <c r="O82" i="5"/>
  <c r="Q82" i="5" s="1"/>
  <c r="Q83" i="5"/>
  <c r="L87" i="5"/>
  <c r="N87" i="5" s="1"/>
  <c r="N88" i="5"/>
  <c r="O115" i="5"/>
  <c r="Q115" i="5" s="1"/>
  <c r="Q116" i="5"/>
  <c r="L123" i="5"/>
  <c r="N123" i="5" s="1"/>
  <c r="N124" i="5"/>
  <c r="O123" i="5"/>
  <c r="Q123" i="5" s="1"/>
  <c r="Q124" i="5"/>
  <c r="L115" i="5"/>
  <c r="N115" i="5" s="1"/>
  <c r="N116" i="5"/>
  <c r="L141" i="5"/>
  <c r="N141" i="5" s="1"/>
  <c r="N142" i="5"/>
  <c r="N316" i="17"/>
  <c r="N357" i="17"/>
  <c r="N350" i="17"/>
  <c r="N309" i="17"/>
  <c r="K243" i="17"/>
  <c r="K311" i="17"/>
  <c r="K352" i="17"/>
  <c r="N198" i="17"/>
  <c r="P198" i="17" s="1"/>
  <c r="P202" i="17"/>
  <c r="N330" i="17"/>
  <c r="N328" i="17" s="1"/>
  <c r="N360" i="17" s="1"/>
  <c r="K330" i="17"/>
  <c r="K328" i="17" s="1"/>
  <c r="K360" i="17" s="1"/>
  <c r="M202" i="17"/>
  <c r="K198" i="17"/>
  <c r="N352" i="17"/>
  <c r="N311" i="17"/>
  <c r="K106" i="17"/>
  <c r="K309" i="17"/>
  <c r="K90" i="17"/>
  <c r="K6" i="17" s="1"/>
  <c r="N351" i="17"/>
  <c r="K357" i="17"/>
  <c r="K316" i="17"/>
  <c r="N310" i="17"/>
  <c r="L155" i="15"/>
  <c r="L154" i="15" s="1"/>
  <c r="L153" i="15" s="1"/>
  <c r="K97" i="5"/>
  <c r="K96" i="5" s="1"/>
  <c r="K95" i="5" s="1"/>
  <c r="J332" i="17"/>
  <c r="J322" i="17"/>
  <c r="J362" i="17"/>
  <c r="J16" i="15"/>
  <c r="J15" i="15" s="1"/>
  <c r="U387" i="15" l="1"/>
  <c r="U386" i="15" s="1"/>
  <c r="U385" i="15" s="1"/>
  <c r="Q328" i="16"/>
  <c r="Q327" i="16" s="1"/>
  <c r="Q326" i="16" s="1"/>
  <c r="S329" i="16"/>
  <c r="S328" i="16" s="1"/>
  <c r="S327" i="16" s="1"/>
  <c r="S354" i="16" s="1"/>
  <c r="O326" i="16"/>
  <c r="O354" i="16"/>
  <c r="O258" i="5"/>
  <c r="Q259" i="5"/>
  <c r="M354" i="16"/>
  <c r="L384" i="15"/>
  <c r="L383" i="15" s="1"/>
  <c r="L382" i="15" s="1"/>
  <c r="N155" i="15"/>
  <c r="N354" i="17"/>
  <c r="N313" i="17"/>
  <c r="K242" i="17"/>
  <c r="K350" i="17"/>
  <c r="K315" i="17"/>
  <c r="K356" i="17"/>
  <c r="N356" i="17"/>
  <c r="N315" i="17"/>
  <c r="K161" i="17"/>
  <c r="M198" i="17"/>
  <c r="K313" i="17"/>
  <c r="K354" i="17"/>
  <c r="L16" i="15"/>
  <c r="L15" i="15" s="1"/>
  <c r="K17" i="5"/>
  <c r="J381" i="15"/>
  <c r="J380" i="15" s="1"/>
  <c r="J379" i="15"/>
  <c r="J378" i="15" s="1"/>
  <c r="N154" i="15" l="1"/>
  <c r="N153" i="15" s="1"/>
  <c r="P155" i="15"/>
  <c r="Q354" i="16"/>
  <c r="S326" i="16"/>
  <c r="N384" i="15"/>
  <c r="N383" i="15" s="1"/>
  <c r="N382" i="15" s="1"/>
  <c r="O96" i="5"/>
  <c r="Q97" i="5"/>
  <c r="O257" i="5"/>
  <c r="Q257" i="5" s="1"/>
  <c r="Q258" i="5"/>
  <c r="Q17" i="5"/>
  <c r="N16" i="15"/>
  <c r="K321" i="17"/>
  <c r="N314" i="17"/>
  <c r="N321" i="17" s="1"/>
  <c r="N355" i="17"/>
  <c r="K160" i="17"/>
  <c r="K355" i="17"/>
  <c r="K314" i="17"/>
  <c r="L381" i="15"/>
  <c r="L380" i="15" s="1"/>
  <c r="K256" i="5"/>
  <c r="L379" i="15"/>
  <c r="L378" i="15" s="1"/>
  <c r="K254" i="5"/>
  <c r="J14" i="15"/>
  <c r="J13" i="15" s="1"/>
  <c r="P154" i="15" l="1"/>
  <c r="P153" i="15" s="1"/>
  <c r="P16" i="15"/>
  <c r="N15" i="15"/>
  <c r="U155" i="15"/>
  <c r="U384" i="15"/>
  <c r="U383" i="15" s="1"/>
  <c r="U382" i="15" s="1"/>
  <c r="O95" i="5"/>
  <c r="Q95" i="5" s="1"/>
  <c r="Q96" i="5"/>
  <c r="Q254" i="5"/>
  <c r="N379" i="15"/>
  <c r="Q256" i="5"/>
  <c r="N381" i="15"/>
  <c r="N305" i="17"/>
  <c r="G14" i="26" s="1"/>
  <c r="M305" i="17"/>
  <c r="F14" i="26" s="1"/>
  <c r="F13" i="26" s="1"/>
  <c r="F12" i="26" s="1"/>
  <c r="F11" i="26" s="1"/>
  <c r="F6" i="26" s="1"/>
  <c r="F15" i="26" s="1"/>
  <c r="K305" i="17"/>
  <c r="L14" i="15"/>
  <c r="L13" i="15" s="1"/>
  <c r="K15" i="5"/>
  <c r="K14" i="5" s="1"/>
  <c r="J19" i="15"/>
  <c r="J17" i="15" s="1"/>
  <c r="J12" i="15" s="1"/>
  <c r="J298" i="15"/>
  <c r="J297" i="15" s="1"/>
  <c r="J296" i="15"/>
  <c r="J295" i="15" s="1"/>
  <c r="J294" i="15" s="1"/>
  <c r="J259" i="15"/>
  <c r="J258" i="15" s="1"/>
  <c r="J257" i="15" s="1"/>
  <c r="U154" i="15" l="1"/>
  <c r="U153" i="15" s="1"/>
  <c r="P381" i="15"/>
  <c r="P380" i="15" s="1"/>
  <c r="N380" i="15"/>
  <c r="U16" i="15"/>
  <c r="U15" i="15" s="1"/>
  <c r="P15" i="15"/>
  <c r="N378" i="15"/>
  <c r="P379" i="15"/>
  <c r="P378" i="15" s="1"/>
  <c r="N14" i="15"/>
  <c r="K332" i="17"/>
  <c r="K362" i="17"/>
  <c r="K322" i="17"/>
  <c r="N332" i="17"/>
  <c r="N322" i="17"/>
  <c r="N362" i="17"/>
  <c r="L298" i="15"/>
  <c r="L297" i="15" s="1"/>
  <c r="K173" i="5"/>
  <c r="K172" i="5" s="1"/>
  <c r="L19" i="15"/>
  <c r="L17" i="15" s="1"/>
  <c r="L12" i="15" s="1"/>
  <c r="K20" i="5"/>
  <c r="K18" i="5" s="1"/>
  <c r="L259" i="15"/>
  <c r="L258" i="15" s="1"/>
  <c r="L257" i="15" s="1"/>
  <c r="K150" i="5"/>
  <c r="K149" i="5" s="1"/>
  <c r="K148" i="5" s="1"/>
  <c r="L296" i="15"/>
  <c r="L295" i="15" s="1"/>
  <c r="K171" i="5"/>
  <c r="K170" i="5" s="1"/>
  <c r="L294" i="15" l="1"/>
  <c r="U379" i="15"/>
  <c r="U378" i="15" s="1"/>
  <c r="P14" i="15"/>
  <c r="N13" i="15"/>
  <c r="U381" i="15"/>
  <c r="U380" i="15" s="1"/>
  <c r="O14" i="5"/>
  <c r="Q14" i="5" s="1"/>
  <c r="Q15" i="5"/>
  <c r="N296" i="15"/>
  <c r="N259" i="15"/>
  <c r="N298" i="15"/>
  <c r="N19" i="15"/>
  <c r="K169" i="5"/>
  <c r="J373" i="15"/>
  <c r="J372" i="15" s="1"/>
  <c r="J371" i="15" s="1"/>
  <c r="J377" i="15"/>
  <c r="J376" i="15" s="1"/>
  <c r="J375" i="15" s="1"/>
  <c r="P19" i="15" l="1"/>
  <c r="N17" i="15"/>
  <c r="N12" i="15" s="1"/>
  <c r="U14" i="15"/>
  <c r="U13" i="15" s="1"/>
  <c r="P13" i="15"/>
  <c r="P298" i="15"/>
  <c r="N297" i="15"/>
  <c r="P296" i="15"/>
  <c r="N295" i="15"/>
  <c r="P259" i="15"/>
  <c r="N258" i="15"/>
  <c r="N257" i="15" s="1"/>
  <c r="O170" i="5"/>
  <c r="Q170" i="5" s="1"/>
  <c r="Q171" i="5"/>
  <c r="O172" i="5"/>
  <c r="Q172" i="5" s="1"/>
  <c r="Q173" i="5"/>
  <c r="O18" i="5"/>
  <c r="Q18" i="5" s="1"/>
  <c r="Q20" i="5"/>
  <c r="O149" i="5"/>
  <c r="Q150" i="5"/>
  <c r="L373" i="15"/>
  <c r="L372" i="15" s="1"/>
  <c r="L371" i="15" s="1"/>
  <c r="K249" i="5"/>
  <c r="K248" i="5" s="1"/>
  <c r="K247" i="5" s="1"/>
  <c r="L377" i="15"/>
  <c r="L376" i="15" s="1"/>
  <c r="L375" i="15" s="1"/>
  <c r="K252" i="5"/>
  <c r="K251" i="5" s="1"/>
  <c r="J152" i="15"/>
  <c r="J151" i="15" s="1"/>
  <c r="J150" i="15" s="1"/>
  <c r="N294" i="15" l="1"/>
  <c r="U296" i="15"/>
  <c r="U295" i="15" s="1"/>
  <c r="P295" i="15"/>
  <c r="U259" i="15"/>
  <c r="U258" i="15" s="1"/>
  <c r="U257" i="15" s="1"/>
  <c r="P258" i="15"/>
  <c r="P257" i="15" s="1"/>
  <c r="U298" i="15"/>
  <c r="U297" i="15" s="1"/>
  <c r="P297" i="15"/>
  <c r="U19" i="15"/>
  <c r="U17" i="15" s="1"/>
  <c r="U12" i="15" s="1"/>
  <c r="P17" i="15"/>
  <c r="P12" i="15" s="1"/>
  <c r="O148" i="5"/>
  <c r="Q148" i="5" s="1"/>
  <c r="Q149" i="5"/>
  <c r="O169" i="5"/>
  <c r="Q169" i="5" s="1"/>
  <c r="N373" i="15"/>
  <c r="N377" i="15"/>
  <c r="L152" i="15"/>
  <c r="L151" i="15" s="1"/>
  <c r="L150" i="15" s="1"/>
  <c r="K94" i="5"/>
  <c r="K93" i="5" s="1"/>
  <c r="K92" i="5" s="1"/>
  <c r="J41" i="15"/>
  <c r="J40" i="15" s="1"/>
  <c r="J37" i="15" s="1"/>
  <c r="P294" i="15" l="1"/>
  <c r="N376" i="15"/>
  <c r="N375" i="15" s="1"/>
  <c r="P377" i="15"/>
  <c r="P376" i="15" s="1"/>
  <c r="N372" i="15"/>
  <c r="N371" i="15" s="1"/>
  <c r="P373" i="15"/>
  <c r="P372" i="15" s="1"/>
  <c r="P371" i="15" s="1"/>
  <c r="U294" i="15"/>
  <c r="O248" i="5"/>
  <c r="Q249" i="5"/>
  <c r="O251" i="5"/>
  <c r="Q251" i="5" s="1"/>
  <c r="Q252" i="5"/>
  <c r="N152" i="15"/>
  <c r="L41" i="15"/>
  <c r="L40" i="15" s="1"/>
  <c r="L37" i="15" s="1"/>
  <c r="K34" i="5"/>
  <c r="U377" i="15" l="1"/>
  <c r="U376" i="15" s="1"/>
  <c r="U375" i="15" s="1"/>
  <c r="N151" i="15"/>
  <c r="N150" i="15" s="1"/>
  <c r="P152" i="15"/>
  <c r="P151" i="15" s="1"/>
  <c r="P150" i="15" s="1"/>
  <c r="U373" i="15"/>
  <c r="U372" i="15" s="1"/>
  <c r="U371" i="15" s="1"/>
  <c r="P375" i="15"/>
  <c r="P374" i="15" s="1"/>
  <c r="O93" i="5"/>
  <c r="Q94" i="5"/>
  <c r="O247" i="5"/>
  <c r="Q247" i="5" s="1"/>
  <c r="Q248" i="5"/>
  <c r="Q34" i="5"/>
  <c r="N41" i="15"/>
  <c r="P41" i="15" l="1"/>
  <c r="N40" i="15"/>
  <c r="N37" i="15" s="1"/>
  <c r="U152" i="15"/>
  <c r="U151" i="15" s="1"/>
  <c r="U150" i="15" s="1"/>
  <c r="O92" i="5"/>
  <c r="Q92" i="5" s="1"/>
  <c r="Q93" i="5"/>
  <c r="U41" i="15" l="1"/>
  <c r="U40" i="15" s="1"/>
  <c r="U37" i="15" s="1"/>
  <c r="P40" i="15"/>
  <c r="P37" i="15" s="1"/>
  <c r="K373" i="17" l="1"/>
  <c r="K385" i="17" s="1"/>
  <c r="J366" i="17" l="1"/>
  <c r="J378" i="17" s="1"/>
  <c r="K366" i="17"/>
  <c r="K378" i="17" s="1"/>
  <c r="K374" i="17"/>
  <c r="K386" i="17" s="1"/>
  <c r="J374" i="17" l="1"/>
  <c r="J386" i="17" s="1"/>
  <c r="N366" i="17"/>
  <c r="N378" i="17" s="1"/>
  <c r="J373" i="17"/>
  <c r="J385" i="17" s="1"/>
  <c r="K268" i="16"/>
  <c r="M268" i="16" s="1"/>
  <c r="O268" i="16" s="1"/>
  <c r="Q268" i="16" s="1"/>
  <c r="S268" i="16" s="1"/>
  <c r="J313" i="15"/>
  <c r="J312" i="15" s="1"/>
  <c r="N373" i="17" l="1"/>
  <c r="N385" i="17" s="1"/>
  <c r="N374" i="17"/>
  <c r="N386" i="17" s="1"/>
  <c r="L313" i="15"/>
  <c r="L312" i="15" s="1"/>
  <c r="K220" i="5"/>
  <c r="K219" i="5" s="1"/>
  <c r="N313" i="15" l="1"/>
  <c r="P313" i="15" l="1"/>
  <c r="N312" i="15"/>
  <c r="O219" i="5"/>
  <c r="Q219" i="5" s="1"/>
  <c r="Q220" i="5"/>
  <c r="L169" i="16"/>
  <c r="L168" i="16" s="1"/>
  <c r="K169" i="16"/>
  <c r="L167" i="16"/>
  <c r="L166" i="16" s="1"/>
  <c r="K167" i="16"/>
  <c r="K279" i="16"/>
  <c r="K277" i="16" s="1"/>
  <c r="K276" i="16" s="1"/>
  <c r="K382" i="16" s="1"/>
  <c r="L277" i="16"/>
  <c r="K284" i="16"/>
  <c r="L284" i="16"/>
  <c r="L282" i="16" s="1"/>
  <c r="L281" i="16" s="1"/>
  <c r="K274" i="16"/>
  <c r="L274" i="16"/>
  <c r="L273" i="16" s="1"/>
  <c r="L272" i="16" s="1"/>
  <c r="K240" i="16"/>
  <c r="L240" i="16"/>
  <c r="L239" i="16" s="1"/>
  <c r="K242" i="16"/>
  <c r="L242" i="16"/>
  <c r="L241" i="16" s="1"/>
  <c r="K212" i="16"/>
  <c r="L212" i="16"/>
  <c r="L211" i="16" s="1"/>
  <c r="K214" i="16"/>
  <c r="L214" i="16"/>
  <c r="L213" i="16" s="1"/>
  <c r="K231" i="16"/>
  <c r="L231" i="16"/>
  <c r="K237" i="16"/>
  <c r="L237" i="16"/>
  <c r="L236" i="16" s="1"/>
  <c r="L235" i="16" s="1"/>
  <c r="K206" i="16"/>
  <c r="L206" i="16"/>
  <c r="L205" i="16" s="1"/>
  <c r="K208" i="16"/>
  <c r="L208" i="16"/>
  <c r="L207" i="16" s="1"/>
  <c r="K190" i="16"/>
  <c r="L190" i="16"/>
  <c r="L189" i="16" s="1"/>
  <c r="L188" i="16" s="1"/>
  <c r="K252" i="16"/>
  <c r="L252" i="16"/>
  <c r="K228" i="16"/>
  <c r="L228" i="16"/>
  <c r="L227" i="16" s="1"/>
  <c r="K226" i="16"/>
  <c r="L226" i="16"/>
  <c r="L225" i="16" s="1"/>
  <c r="K217" i="16"/>
  <c r="L217" i="16"/>
  <c r="K199" i="16"/>
  <c r="K196" i="16"/>
  <c r="U313" i="15" l="1"/>
  <c r="U312" i="15" s="1"/>
  <c r="P312" i="15"/>
  <c r="M169" i="16"/>
  <c r="M168" i="16" s="1"/>
  <c r="M217" i="16"/>
  <c r="O217" i="16" s="1"/>
  <c r="L216" i="16"/>
  <c r="L215" i="16" s="1"/>
  <c r="L375" i="16" s="1"/>
  <c r="K251" i="16"/>
  <c r="K250" i="16" s="1"/>
  <c r="K406" i="16" s="1"/>
  <c r="M252" i="16"/>
  <c r="K207" i="16"/>
  <c r="M208" i="16"/>
  <c r="K236" i="16"/>
  <c r="K235" i="16" s="1"/>
  <c r="M237" i="16"/>
  <c r="K213" i="16"/>
  <c r="M214" i="16"/>
  <c r="K241" i="16"/>
  <c r="M242" i="16"/>
  <c r="K273" i="16"/>
  <c r="K272" i="16" s="1"/>
  <c r="M274" i="16"/>
  <c r="L224" i="16"/>
  <c r="M190" i="16"/>
  <c r="K205" i="16"/>
  <c r="M206" i="16"/>
  <c r="L230" i="16"/>
  <c r="L229" i="16" s="1"/>
  <c r="L379" i="16" s="1"/>
  <c r="L210" i="16"/>
  <c r="K166" i="16"/>
  <c r="M167" i="16"/>
  <c r="K227" i="16"/>
  <c r="M228" i="16"/>
  <c r="M226" i="16"/>
  <c r="L251" i="16"/>
  <c r="L250" i="16" s="1"/>
  <c r="L406" i="16" s="1"/>
  <c r="M231" i="16"/>
  <c r="K211" i="16"/>
  <c r="M212" i="16"/>
  <c r="K239" i="16"/>
  <c r="M240" i="16"/>
  <c r="K282" i="16"/>
  <c r="K281" i="16" s="1"/>
  <c r="M284" i="16"/>
  <c r="L165" i="16"/>
  <c r="L404" i="16" s="1"/>
  <c r="L276" i="16"/>
  <c r="L275" i="16" s="1"/>
  <c r="M277" i="16"/>
  <c r="L387" i="16"/>
  <c r="L280" i="16"/>
  <c r="K275" i="16"/>
  <c r="K168" i="16"/>
  <c r="K230" i="16"/>
  <c r="K189" i="16"/>
  <c r="K216" i="16"/>
  <c r="K195" i="16"/>
  <c r="K198" i="16"/>
  <c r="K210" i="16" l="1"/>
  <c r="M216" i="16"/>
  <c r="M215" i="16" s="1"/>
  <c r="M375" i="16" s="1"/>
  <c r="O169" i="16"/>
  <c r="Q169" i="16" s="1"/>
  <c r="K387" i="16"/>
  <c r="O216" i="16"/>
  <c r="O215" i="16" s="1"/>
  <c r="O375" i="16" s="1"/>
  <c r="Q217" i="16"/>
  <c r="M227" i="16"/>
  <c r="O228" i="16"/>
  <c r="M205" i="16"/>
  <c r="O206" i="16"/>
  <c r="M241" i="16"/>
  <c r="O242" i="16"/>
  <c r="M236" i="16"/>
  <c r="O237" i="16"/>
  <c r="M251" i="16"/>
  <c r="M250" i="16" s="1"/>
  <c r="M406" i="16" s="1"/>
  <c r="O252" i="16"/>
  <c r="O284" i="16"/>
  <c r="M282" i="16"/>
  <c r="M281" i="16" s="1"/>
  <c r="M211" i="16"/>
  <c r="O212" i="16"/>
  <c r="M225" i="16"/>
  <c r="O226" i="16"/>
  <c r="M166" i="16"/>
  <c r="M165" i="16" s="1"/>
  <c r="M404" i="16" s="1"/>
  <c r="O167" i="16"/>
  <c r="M189" i="16"/>
  <c r="M188" i="16" s="1"/>
  <c r="O190" i="16"/>
  <c r="M273" i="16"/>
  <c r="M272" i="16" s="1"/>
  <c r="O274" i="16"/>
  <c r="M213" i="16"/>
  <c r="O214" i="16"/>
  <c r="M207" i="16"/>
  <c r="O208" i="16"/>
  <c r="M239" i="16"/>
  <c r="O240" i="16"/>
  <c r="M230" i="16"/>
  <c r="M229" i="16" s="1"/>
  <c r="M379" i="16" s="1"/>
  <c r="O231" i="16"/>
  <c r="L381" i="16"/>
  <c r="M276" i="16"/>
  <c r="O277" i="16"/>
  <c r="L382" i="16"/>
  <c r="K165" i="16"/>
  <c r="K404" i="16" s="1"/>
  <c r="K280" i="16"/>
  <c r="K381" i="16" s="1"/>
  <c r="K229" i="16"/>
  <c r="K379" i="16" s="1"/>
  <c r="K188" i="16"/>
  <c r="K215" i="16"/>
  <c r="K375" i="16" s="1"/>
  <c r="K194" i="16"/>
  <c r="K365" i="16" s="1"/>
  <c r="K197" i="16"/>
  <c r="K366" i="16" s="1"/>
  <c r="O168" i="16" l="1"/>
  <c r="Q168" i="16"/>
  <c r="S169" i="16"/>
  <c r="S168" i="16" s="1"/>
  <c r="Q216" i="16"/>
  <c r="Q215" i="16" s="1"/>
  <c r="Q375" i="16" s="1"/>
  <c r="S217" i="16"/>
  <c r="S216" i="16" s="1"/>
  <c r="S215" i="16" s="1"/>
  <c r="S375" i="16" s="1"/>
  <c r="M224" i="16"/>
  <c r="M280" i="16"/>
  <c r="O280" i="16" s="1"/>
  <c r="O239" i="16"/>
  <c r="Q240" i="16"/>
  <c r="O213" i="16"/>
  <c r="Q214" i="16"/>
  <c r="O189" i="16"/>
  <c r="O188" i="16" s="1"/>
  <c r="Q190" i="16"/>
  <c r="O225" i="16"/>
  <c r="Q226" i="16"/>
  <c r="O236" i="16"/>
  <c r="O387" i="16" s="1"/>
  <c r="Q237" i="16"/>
  <c r="O205" i="16"/>
  <c r="Q206" i="16"/>
  <c r="O282" i="16"/>
  <c r="O281" i="16" s="1"/>
  <c r="Q284" i="16"/>
  <c r="O276" i="16"/>
  <c r="O275" i="16" s="1"/>
  <c r="Q277" i="16"/>
  <c r="O230" i="16"/>
  <c r="O229" i="16" s="1"/>
  <c r="O379" i="16" s="1"/>
  <c r="Q231" i="16"/>
  <c r="O207" i="16"/>
  <c r="Q208" i="16"/>
  <c r="Q207" i="16" s="1"/>
  <c r="O273" i="16"/>
  <c r="O272" i="16" s="1"/>
  <c r="Q274" i="16"/>
  <c r="O166" i="16"/>
  <c r="Q167" i="16"/>
  <c r="O211" i="16"/>
  <c r="Q212" i="16"/>
  <c r="O251" i="16"/>
  <c r="O250" i="16" s="1"/>
  <c r="O406" i="16" s="1"/>
  <c r="Q252" i="16"/>
  <c r="O241" i="16"/>
  <c r="Q242" i="16"/>
  <c r="O227" i="16"/>
  <c r="Q228" i="16"/>
  <c r="O235" i="16"/>
  <c r="M235" i="16"/>
  <c r="M387" i="16"/>
  <c r="M210" i="16"/>
  <c r="M275" i="16"/>
  <c r="M382" i="16"/>
  <c r="L249" i="16"/>
  <c r="L248" i="16" s="1"/>
  <c r="L247" i="16" s="1"/>
  <c r="O165" i="16" l="1"/>
  <c r="O404" i="16" s="1"/>
  <c r="M381" i="16"/>
  <c r="Q241" i="16"/>
  <c r="S242" i="16"/>
  <c r="S241" i="16" s="1"/>
  <c r="Q211" i="16"/>
  <c r="S212" i="16"/>
  <c r="S211" i="16" s="1"/>
  <c r="Q273" i="16"/>
  <c r="Q272" i="16" s="1"/>
  <c r="S274" i="16"/>
  <c r="S273" i="16" s="1"/>
  <c r="S272" i="16" s="1"/>
  <c r="Q230" i="16"/>
  <c r="Q229" i="16" s="1"/>
  <c r="Q379" i="16" s="1"/>
  <c r="S231" i="16"/>
  <c r="S230" i="16" s="1"/>
  <c r="S229" i="16" s="1"/>
  <c r="S379" i="16" s="1"/>
  <c r="Q282" i="16"/>
  <c r="Q281" i="16" s="1"/>
  <c r="S284" i="16"/>
  <c r="S282" i="16" s="1"/>
  <c r="S281" i="16" s="1"/>
  <c r="Q236" i="16"/>
  <c r="Q235" i="16" s="1"/>
  <c r="S237" i="16"/>
  <c r="S236" i="16" s="1"/>
  <c r="S387" i="16" s="1"/>
  <c r="Q189" i="16"/>
  <c r="Q188" i="16" s="1"/>
  <c r="S190" i="16"/>
  <c r="S189" i="16" s="1"/>
  <c r="S188" i="16" s="1"/>
  <c r="Q239" i="16"/>
  <c r="S240" i="16"/>
  <c r="S239" i="16" s="1"/>
  <c r="Q227" i="16"/>
  <c r="S228" i="16"/>
  <c r="S227" i="16" s="1"/>
  <c r="Q251" i="16"/>
  <c r="Q250" i="16" s="1"/>
  <c r="Q406" i="16" s="1"/>
  <c r="S252" i="16"/>
  <c r="S251" i="16" s="1"/>
  <c r="S250" i="16" s="1"/>
  <c r="S406" i="16" s="1"/>
  <c r="Q166" i="16"/>
  <c r="Q165" i="16" s="1"/>
  <c r="Q404" i="16" s="1"/>
  <c r="S167" i="16"/>
  <c r="S166" i="16" s="1"/>
  <c r="S165" i="16" s="1"/>
  <c r="S404" i="16" s="1"/>
  <c r="S208" i="16"/>
  <c r="S207" i="16" s="1"/>
  <c r="Q276" i="16"/>
  <c r="Q275" i="16" s="1"/>
  <c r="S277" i="16"/>
  <c r="S276" i="16" s="1"/>
  <c r="S382" i="16" s="1"/>
  <c r="Q205" i="16"/>
  <c r="S206" i="16"/>
  <c r="S205" i="16" s="1"/>
  <c r="Q225" i="16"/>
  <c r="S226" i="16"/>
  <c r="S225" i="16" s="1"/>
  <c r="Q213" i="16"/>
  <c r="S214" i="16"/>
  <c r="S213" i="16" s="1"/>
  <c r="O210" i="16"/>
  <c r="O382" i="16"/>
  <c r="O381" i="16"/>
  <c r="Q280" i="16"/>
  <c r="O224" i="16"/>
  <c r="O378" i="16" s="1"/>
  <c r="J408" i="15"/>
  <c r="K408" i="15"/>
  <c r="L408" i="15"/>
  <c r="Q224" i="16" l="1"/>
  <c r="Q378" i="16" s="1"/>
  <c r="Q387" i="16"/>
  <c r="Q382" i="16"/>
  <c r="S235" i="16"/>
  <c r="S210" i="16"/>
  <c r="Q381" i="16"/>
  <c r="S280" i="16"/>
  <c r="S381" i="16" s="1"/>
  <c r="Q210" i="16"/>
  <c r="S275" i="16"/>
  <c r="S224" i="16"/>
  <c r="S378" i="16" s="1"/>
  <c r="J144" i="15" l="1"/>
  <c r="J115" i="15"/>
  <c r="J114" i="15" s="1"/>
  <c r="J113" i="15" s="1"/>
  <c r="J112" i="15" s="1"/>
  <c r="J158" i="15"/>
  <c r="J157" i="15" l="1"/>
  <c r="J156" i="15" s="1"/>
  <c r="L115" i="15"/>
  <c r="L114" i="15" s="1"/>
  <c r="L113" i="15" s="1"/>
  <c r="L112" i="15" s="1"/>
  <c r="K78" i="5"/>
  <c r="K77" i="5" s="1"/>
  <c r="K76" i="5" s="1"/>
  <c r="L158" i="15"/>
  <c r="K100" i="5"/>
  <c r="K99" i="5" s="1"/>
  <c r="K98" i="5" s="1"/>
  <c r="L144" i="15"/>
  <c r="K64" i="5"/>
  <c r="K63" i="5" s="1"/>
  <c r="K60" i="5" s="1"/>
  <c r="L157" i="15" l="1"/>
  <c r="L156" i="15" s="1"/>
  <c r="N158" i="15"/>
  <c r="N144" i="15"/>
  <c r="P144" i="15" s="1"/>
  <c r="N115" i="15"/>
  <c r="J217" i="15"/>
  <c r="J216" i="15" s="1"/>
  <c r="J215" i="15" s="1"/>
  <c r="P158" i="15" l="1"/>
  <c r="P157" i="15" s="1"/>
  <c r="N157" i="15"/>
  <c r="N156" i="15" s="1"/>
  <c r="P115" i="15"/>
  <c r="N114" i="15"/>
  <c r="N113" i="15" s="1"/>
  <c r="N112" i="15" s="1"/>
  <c r="U144" i="15"/>
  <c r="P143" i="15"/>
  <c r="U143" i="15" s="1"/>
  <c r="O63" i="5"/>
  <c r="Q64" i="5"/>
  <c r="O77" i="5"/>
  <c r="Q78" i="5"/>
  <c r="O99" i="5"/>
  <c r="Q100" i="5"/>
  <c r="L217" i="15"/>
  <c r="L216" i="15" s="1"/>
  <c r="L215" i="15" s="1"/>
  <c r="K179" i="5"/>
  <c r="K178" i="5" s="1"/>
  <c r="K177" i="5" s="1"/>
  <c r="U115" i="15" l="1"/>
  <c r="U114" i="15" s="1"/>
  <c r="U113" i="15" s="1"/>
  <c r="U112" i="15" s="1"/>
  <c r="P114" i="15"/>
  <c r="P113" i="15" s="1"/>
  <c r="P112" i="15" s="1"/>
  <c r="U158" i="15"/>
  <c r="U157" i="15" s="1"/>
  <c r="P156" i="15"/>
  <c r="O76" i="5"/>
  <c r="Q76" i="5" s="1"/>
  <c r="Q77" i="5"/>
  <c r="O98" i="5"/>
  <c r="Q98" i="5" s="1"/>
  <c r="Q99" i="5"/>
  <c r="O60" i="5"/>
  <c r="Q63" i="5"/>
  <c r="Q60" i="5" s="1"/>
  <c r="N217" i="15"/>
  <c r="K369" i="17"/>
  <c r="K381" i="17" s="1"/>
  <c r="P217" i="15" l="1"/>
  <c r="N216" i="15"/>
  <c r="N215" i="15" s="1"/>
  <c r="U156" i="15"/>
  <c r="O178" i="5"/>
  <c r="Q179" i="5"/>
  <c r="M442" i="16"/>
  <c r="K66" i="16"/>
  <c r="L41" i="16"/>
  <c r="L40" i="16" s="1"/>
  <c r="L39" i="16" s="1"/>
  <c r="K41" i="16"/>
  <c r="L314" i="16"/>
  <c r="K314" i="16"/>
  <c r="L55" i="16"/>
  <c r="L54" i="16" s="1"/>
  <c r="K55" i="16"/>
  <c r="C9" i="13"/>
  <c r="D9" i="13" s="1"/>
  <c r="C13" i="13"/>
  <c r="D13" i="13" s="1"/>
  <c r="C14" i="9"/>
  <c r="C13" i="9"/>
  <c r="C12" i="13" s="1"/>
  <c r="D12" i="13" s="1"/>
  <c r="C12" i="9"/>
  <c r="C11" i="13" s="1"/>
  <c r="D11" i="13" s="1"/>
  <c r="C11" i="9"/>
  <c r="C10" i="13" s="1"/>
  <c r="D10" i="13" s="1"/>
  <c r="C10" i="9"/>
  <c r="C9" i="9"/>
  <c r="C8" i="13" s="1"/>
  <c r="D8" i="13" s="1"/>
  <c r="U217" i="15" l="1"/>
  <c r="U216" i="15" s="1"/>
  <c r="U215" i="15" s="1"/>
  <c r="P216" i="15"/>
  <c r="P215" i="15" s="1"/>
  <c r="M314" i="16"/>
  <c r="O314" i="16" s="1"/>
  <c r="Q314" i="16" s="1"/>
  <c r="S314" i="16" s="1"/>
  <c r="M55" i="16"/>
  <c r="M41" i="16"/>
  <c r="O177" i="5"/>
  <c r="Q177" i="5" s="1"/>
  <c r="Q178" i="5"/>
  <c r="J369" i="17"/>
  <c r="J381" i="17" s="1"/>
  <c r="K54" i="16"/>
  <c r="L313" i="16"/>
  <c r="L312" i="16" s="1"/>
  <c r="L311" i="16" s="1"/>
  <c r="K313" i="16"/>
  <c r="K143" i="15"/>
  <c r="L10" i="16"/>
  <c r="L9" i="16" s="1"/>
  <c r="L8" i="16" s="1"/>
  <c r="L13" i="16"/>
  <c r="L12" i="16" s="1"/>
  <c r="L15" i="16"/>
  <c r="L14" i="16" s="1"/>
  <c r="L18" i="16"/>
  <c r="L19" i="16"/>
  <c r="L22" i="16"/>
  <c r="L31" i="16"/>
  <c r="L30" i="16" s="1"/>
  <c r="L33" i="16"/>
  <c r="L32" i="16" s="1"/>
  <c r="L36" i="16"/>
  <c r="L35" i="16" s="1"/>
  <c r="L38" i="16"/>
  <c r="L37" i="16" s="1"/>
  <c r="L373" i="16"/>
  <c r="L44" i="16"/>
  <c r="L43" i="16" s="1"/>
  <c r="L42" i="16" s="1"/>
  <c r="L47" i="16"/>
  <c r="L46" i="16" s="1"/>
  <c r="L45" i="16" s="1"/>
  <c r="L50" i="16"/>
  <c r="L49" i="16" s="1"/>
  <c r="L52" i="16"/>
  <c r="L51" i="16" s="1"/>
  <c r="L57" i="16"/>
  <c r="L60" i="16"/>
  <c r="L63" i="16"/>
  <c r="L68" i="16"/>
  <c r="L67" i="16" s="1"/>
  <c r="L64" i="16" s="1"/>
  <c r="L71" i="16"/>
  <c r="L86" i="16"/>
  <c r="L85" i="16" s="1"/>
  <c r="L88" i="16"/>
  <c r="L87" i="16" s="1"/>
  <c r="L91" i="16"/>
  <c r="L90" i="16" s="1"/>
  <c r="L89" i="16" s="1"/>
  <c r="L99" i="16"/>
  <c r="L98" i="16" s="1"/>
  <c r="L97" i="16" s="1"/>
  <c r="L105" i="16"/>
  <c r="L113" i="16"/>
  <c r="L112" i="16" s="1"/>
  <c r="L111" i="16" s="1"/>
  <c r="L110" i="16" s="1"/>
  <c r="L109" i="16" s="1"/>
  <c r="L127" i="16"/>
  <c r="L130" i="16"/>
  <c r="L134" i="16"/>
  <c r="L137" i="16"/>
  <c r="L140" i="16"/>
  <c r="L151" i="16"/>
  <c r="L150" i="16" s="1"/>
  <c r="L149" i="16" s="1"/>
  <c r="L148" i="16" s="1"/>
  <c r="L147" i="16" s="1"/>
  <c r="L156" i="16"/>
  <c r="L159" i="16"/>
  <c r="L164" i="16"/>
  <c r="L172" i="16"/>
  <c r="L171" i="16" s="1"/>
  <c r="L170" i="16" s="1"/>
  <c r="L180" i="16"/>
  <c r="L179" i="16" s="1"/>
  <c r="L178" i="16" s="1"/>
  <c r="L174" i="16" s="1"/>
  <c r="L173" i="16" s="1"/>
  <c r="L185" i="16"/>
  <c r="L184" i="16" s="1"/>
  <c r="L183" i="16" s="1"/>
  <c r="L182" i="16" s="1"/>
  <c r="L220" i="16"/>
  <c r="L378" i="16"/>
  <c r="M378" i="16"/>
  <c r="L255" i="16"/>
  <c r="L258" i="16"/>
  <c r="L267" i="16"/>
  <c r="L266" i="16" s="1"/>
  <c r="L271" i="16"/>
  <c r="L270" i="16" s="1"/>
  <c r="L269" i="16" s="1"/>
  <c r="L294" i="16"/>
  <c r="L293" i="16" s="1"/>
  <c r="L292" i="16" s="1"/>
  <c r="L310" i="16"/>
  <c r="L309" i="16" s="1"/>
  <c r="L306" i="16" s="1"/>
  <c r="L302" i="16" s="1"/>
  <c r="L321" i="16"/>
  <c r="L320" i="16" s="1"/>
  <c r="L323" i="16"/>
  <c r="L322" i="16" s="1"/>
  <c r="L325" i="16"/>
  <c r="L324" i="16" s="1"/>
  <c r="J311" i="15"/>
  <c r="J310" i="15" s="1"/>
  <c r="J309" i="15"/>
  <c r="J308" i="15" s="1"/>
  <c r="J262" i="15"/>
  <c r="J261" i="15" s="1"/>
  <c r="J214" i="15"/>
  <c r="J213" i="15" s="1"/>
  <c r="J212" i="15" s="1"/>
  <c r="J149" i="15"/>
  <c r="J148" i="15" s="1"/>
  <c r="J147" i="15" s="1"/>
  <c r="J307" i="15" l="1"/>
  <c r="M313" i="16"/>
  <c r="O313" i="16" s="1"/>
  <c r="Q313" i="16" s="1"/>
  <c r="S313" i="16" s="1"/>
  <c r="L34" i="16"/>
  <c r="L257" i="16"/>
  <c r="L256" i="16" s="1"/>
  <c r="L414" i="16" s="1"/>
  <c r="L136" i="16"/>
  <c r="L135" i="16" s="1"/>
  <c r="L398" i="16" s="1"/>
  <c r="L129" i="16"/>
  <c r="L128" i="16" s="1"/>
  <c r="L363" i="16" s="1"/>
  <c r="L59" i="16"/>
  <c r="L58" i="16" s="1"/>
  <c r="L395" i="16" s="1"/>
  <c r="L48" i="16"/>
  <c r="L29" i="16"/>
  <c r="L158" i="16"/>
  <c r="L157" i="16" s="1"/>
  <c r="L391" i="16" s="1"/>
  <c r="L104" i="16"/>
  <c r="L103" i="16" s="1"/>
  <c r="L419" i="16" s="1"/>
  <c r="L84" i="16"/>
  <c r="L21" i="16"/>
  <c r="L20" i="16" s="1"/>
  <c r="L359" i="16" s="1"/>
  <c r="O41" i="16"/>
  <c r="M40" i="16"/>
  <c r="M39" i="16" s="1"/>
  <c r="M373" i="16" s="1"/>
  <c r="L254" i="16"/>
  <c r="L253" i="16" s="1"/>
  <c r="L409" i="16" s="1"/>
  <c r="L219" i="16"/>
  <c r="L218" i="16" s="1"/>
  <c r="L376" i="16" s="1"/>
  <c r="L139" i="16"/>
  <c r="L138" i="16" s="1"/>
  <c r="L399" i="16" s="1"/>
  <c r="L133" i="16"/>
  <c r="L132" i="16" s="1"/>
  <c r="L374" i="16" s="1"/>
  <c r="L126" i="16"/>
  <c r="L125" i="16" s="1"/>
  <c r="L362" i="16" s="1"/>
  <c r="L62" i="16"/>
  <c r="L61" i="16" s="1"/>
  <c r="L396" i="16" s="1"/>
  <c r="L56" i="16"/>
  <c r="L53" i="16" s="1"/>
  <c r="L393" i="16" s="1"/>
  <c r="O55" i="16"/>
  <c r="M54" i="16"/>
  <c r="L163" i="16"/>
  <c r="L162" i="16" s="1"/>
  <c r="L161" i="16" s="1"/>
  <c r="L160" i="16" s="1"/>
  <c r="L155" i="16"/>
  <c r="L154" i="16" s="1"/>
  <c r="L390" i="16" s="1"/>
  <c r="L69" i="16"/>
  <c r="L402" i="16" s="1"/>
  <c r="L70" i="16"/>
  <c r="L352" i="16"/>
  <c r="L407" i="16"/>
  <c r="L181" i="16"/>
  <c r="L394" i="16"/>
  <c r="L369" i="16"/>
  <c r="L400" i="16"/>
  <c r="N369" i="17"/>
  <c r="N381" i="17" s="1"/>
  <c r="L309" i="15"/>
  <c r="L308" i="15" s="1"/>
  <c r="K216" i="5"/>
  <c r="K215" i="5" s="1"/>
  <c r="L149" i="15"/>
  <c r="L148" i="15" s="1"/>
  <c r="L147" i="15" s="1"/>
  <c r="K91" i="5"/>
  <c r="K90" i="5" s="1"/>
  <c r="K89" i="5" s="1"/>
  <c r="K88" i="5" s="1"/>
  <c r="K87" i="5" s="1"/>
  <c r="L214" i="15"/>
  <c r="L213" i="15" s="1"/>
  <c r="L212" i="15" s="1"/>
  <c r="K153" i="5"/>
  <c r="K152" i="5" s="1"/>
  <c r="K151" i="5" s="1"/>
  <c r="L311" i="15"/>
  <c r="L310" i="15" s="1"/>
  <c r="K218" i="5"/>
  <c r="L262" i="15"/>
  <c r="L261" i="15" s="1"/>
  <c r="K162" i="5"/>
  <c r="K161" i="5" s="1"/>
  <c r="L199" i="16"/>
  <c r="L202" i="16"/>
  <c r="L201" i="16" s="1"/>
  <c r="K202" i="16"/>
  <c r="L196" i="16"/>
  <c r="L263" i="16"/>
  <c r="L262" i="16" s="1"/>
  <c r="L124" i="16"/>
  <c r="L265" i="16"/>
  <c r="L264" i="16" s="1"/>
  <c r="K312" i="16"/>
  <c r="M312" i="16" s="1"/>
  <c r="O312" i="16" s="1"/>
  <c r="Q312" i="16" s="1"/>
  <c r="S312" i="16" s="1"/>
  <c r="L193" i="16"/>
  <c r="L416" i="16"/>
  <c r="L389" i="16"/>
  <c r="L388" i="16"/>
  <c r="J264" i="15"/>
  <c r="Q431" i="17"/>
  <c r="L17" i="16"/>
  <c r="L16" i="16" s="1"/>
  <c r="L11" i="16" s="1"/>
  <c r="L318" i="16"/>
  <c r="L121" i="16"/>
  <c r="L412" i="16"/>
  <c r="L392" i="16"/>
  <c r="L426" i="16" l="1"/>
  <c r="K164" i="5"/>
  <c r="K163" i="5" s="1"/>
  <c r="J263" i="15"/>
  <c r="J260" i="15" s="1"/>
  <c r="L307" i="15"/>
  <c r="L7" i="16"/>
  <c r="O40" i="16"/>
  <c r="O39" i="16" s="1"/>
  <c r="O373" i="16" s="1"/>
  <c r="Q41" i="16"/>
  <c r="L385" i="16"/>
  <c r="O54" i="16"/>
  <c r="Q55" i="16"/>
  <c r="L120" i="16"/>
  <c r="L119" i="16" s="1"/>
  <c r="L195" i="16"/>
  <c r="L194" i="16" s="1"/>
  <c r="L365" i="16" s="1"/>
  <c r="M196" i="16"/>
  <c r="L198" i="16"/>
  <c r="L197" i="16" s="1"/>
  <c r="L366" i="16" s="1"/>
  <c r="M199" i="16"/>
  <c r="L192" i="16"/>
  <c r="L191" i="16" s="1"/>
  <c r="L317" i="16"/>
  <c r="L316" i="16" s="1"/>
  <c r="K201" i="16"/>
  <c r="M202" i="16"/>
  <c r="L123" i="16"/>
  <c r="L122" i="16" s="1"/>
  <c r="L361" i="16" s="1"/>
  <c r="L153" i="16"/>
  <c r="L152" i="16" s="1"/>
  <c r="N262" i="15"/>
  <c r="N214" i="15"/>
  <c r="N309" i="15"/>
  <c r="Q218" i="5"/>
  <c r="N311" i="15"/>
  <c r="N149" i="15"/>
  <c r="L410" i="16"/>
  <c r="L425" i="16" s="1"/>
  <c r="L357" i="16"/>
  <c r="K160" i="5"/>
  <c r="L264" i="15"/>
  <c r="L263" i="15" s="1"/>
  <c r="L260" i="15" s="1"/>
  <c r="K204" i="16"/>
  <c r="L204" i="16"/>
  <c r="K311" i="16"/>
  <c r="M311" i="16" s="1"/>
  <c r="O311" i="16" s="1"/>
  <c r="Q311" i="16" s="1"/>
  <c r="S311" i="16" s="1"/>
  <c r="P309" i="15" l="1"/>
  <c r="N308" i="15"/>
  <c r="N148" i="15"/>
  <c r="N147" i="15" s="1"/>
  <c r="P149" i="15"/>
  <c r="P148" i="15" s="1"/>
  <c r="P147" i="15" s="1"/>
  <c r="P146" i="15" s="1"/>
  <c r="P311" i="15"/>
  <c r="N310" i="15"/>
  <c r="N261" i="15"/>
  <c r="P262" i="15"/>
  <c r="P214" i="15"/>
  <c r="N213" i="15"/>
  <c r="N212" i="15" s="1"/>
  <c r="Q54" i="16"/>
  <c r="S55" i="16"/>
  <c r="S54" i="16" s="1"/>
  <c r="Q40" i="16"/>
  <c r="Q39" i="16" s="1"/>
  <c r="Q373" i="16" s="1"/>
  <c r="S41" i="16"/>
  <c r="S40" i="16" s="1"/>
  <c r="S39" i="16" s="1"/>
  <c r="S373" i="16" s="1"/>
  <c r="L118" i="16"/>
  <c r="L117" i="16" s="1"/>
  <c r="L6" i="16" s="1"/>
  <c r="M201" i="16"/>
  <c r="O202" i="16"/>
  <c r="L364" i="16"/>
  <c r="M195" i="16"/>
  <c r="M194" i="16" s="1"/>
  <c r="M365" i="16" s="1"/>
  <c r="O196" i="16"/>
  <c r="L360" i="16"/>
  <c r="K203" i="16"/>
  <c r="K200" i="16" s="1"/>
  <c r="K367" i="16" s="1"/>
  <c r="M204" i="16"/>
  <c r="M198" i="16"/>
  <c r="M197" i="16" s="1"/>
  <c r="M366" i="16" s="1"/>
  <c r="O199" i="16"/>
  <c r="L203" i="16"/>
  <c r="L200" i="16" s="1"/>
  <c r="L353" i="16"/>
  <c r="O152" i="5"/>
  <c r="Q153" i="5"/>
  <c r="L163" i="5"/>
  <c r="N164" i="5"/>
  <c r="O90" i="5"/>
  <c r="Q91" i="5"/>
  <c r="O215" i="5"/>
  <c r="Q215" i="5" s="1"/>
  <c r="Q216" i="5"/>
  <c r="O161" i="5"/>
  <c r="Q161" i="5" s="1"/>
  <c r="Q162" i="5"/>
  <c r="N264" i="15"/>
  <c r="K164" i="16"/>
  <c r="M164" i="16" s="1"/>
  <c r="K180" i="16"/>
  <c r="M180" i="16" s="1"/>
  <c r="K105" i="16"/>
  <c r="M105" i="16" s="1"/>
  <c r="K91" i="16"/>
  <c r="M91" i="16" s="1"/>
  <c r="O91" i="16" s="1"/>
  <c r="Q91" i="16" s="1"/>
  <c r="S91" i="16" s="1"/>
  <c r="K88" i="16"/>
  <c r="M88" i="16" s="1"/>
  <c r="K86" i="16"/>
  <c r="M86" i="16" s="1"/>
  <c r="K71" i="16"/>
  <c r="M71" i="16" s="1"/>
  <c r="K68" i="16"/>
  <c r="M68" i="16" s="1"/>
  <c r="K63" i="16"/>
  <c r="M63" i="16" s="1"/>
  <c r="K60" i="16"/>
  <c r="M60" i="16" s="1"/>
  <c r="K57" i="16"/>
  <c r="M57" i="16" s="1"/>
  <c r="K50" i="16"/>
  <c r="M50" i="16" s="1"/>
  <c r="K52" i="16"/>
  <c r="M52" i="16" s="1"/>
  <c r="K47" i="16"/>
  <c r="M47" i="16" s="1"/>
  <c r="K44" i="16"/>
  <c r="M44" i="16" s="1"/>
  <c r="K31" i="16"/>
  <c r="M31" i="16" s="1"/>
  <c r="K33" i="16"/>
  <c r="K36" i="16"/>
  <c r="M36" i="16" s="1"/>
  <c r="K38" i="16"/>
  <c r="K113" i="16"/>
  <c r="M113" i="16" s="1"/>
  <c r="K185" i="16"/>
  <c r="M185" i="16" s="1"/>
  <c r="K40" i="16"/>
  <c r="K172" i="16"/>
  <c r="M172" i="16" s="1"/>
  <c r="N307" i="15" l="1"/>
  <c r="U149" i="15"/>
  <c r="U148" i="15" s="1"/>
  <c r="U147" i="15" s="1"/>
  <c r="U146" i="15" s="1"/>
  <c r="U214" i="15"/>
  <c r="U213" i="15" s="1"/>
  <c r="U212" i="15" s="1"/>
  <c r="U211" i="15" s="1"/>
  <c r="P213" i="15"/>
  <c r="P212" i="15" s="1"/>
  <c r="P211" i="15" s="1"/>
  <c r="U311" i="15"/>
  <c r="U310" i="15" s="1"/>
  <c r="P310" i="15"/>
  <c r="P261" i="15"/>
  <c r="U262" i="15"/>
  <c r="U261" i="15" s="1"/>
  <c r="P264" i="15"/>
  <c r="N263" i="15"/>
  <c r="N260" i="15" s="1"/>
  <c r="U309" i="15"/>
  <c r="U308" i="15" s="1"/>
  <c r="P308" i="15"/>
  <c r="P307" i="15" s="1"/>
  <c r="O195" i="16"/>
  <c r="O194" i="16" s="1"/>
  <c r="O365" i="16" s="1"/>
  <c r="Q196" i="16"/>
  <c r="O198" i="16"/>
  <c r="O197" i="16" s="1"/>
  <c r="O366" i="16" s="1"/>
  <c r="Q199" i="16"/>
  <c r="O201" i="16"/>
  <c r="Q202" i="16"/>
  <c r="M30" i="16"/>
  <c r="O31" i="16"/>
  <c r="M49" i="16"/>
  <c r="O50" i="16"/>
  <c r="O68" i="16"/>
  <c r="M67" i="16"/>
  <c r="M64" i="16" s="1"/>
  <c r="M112" i="16"/>
  <c r="O113" i="16"/>
  <c r="M171" i="16"/>
  <c r="M170" i="16" s="1"/>
  <c r="M410" i="16" s="1"/>
  <c r="O172" i="16"/>
  <c r="K37" i="16"/>
  <c r="M38" i="16"/>
  <c r="O44" i="16"/>
  <c r="M43" i="16"/>
  <c r="M42" i="16" s="1"/>
  <c r="M388" i="16" s="1"/>
  <c r="M56" i="16"/>
  <c r="M53" i="16" s="1"/>
  <c r="M393" i="16" s="1"/>
  <c r="O57" i="16"/>
  <c r="M69" i="16"/>
  <c r="M402" i="16" s="1"/>
  <c r="M70" i="16"/>
  <c r="O71" i="16"/>
  <c r="Q71" i="16" s="1"/>
  <c r="S71" i="16" s="1"/>
  <c r="M104" i="16"/>
  <c r="M103" i="16" s="1"/>
  <c r="M419" i="16" s="1"/>
  <c r="O105" i="16"/>
  <c r="M59" i="16"/>
  <c r="M58" i="16" s="1"/>
  <c r="M395" i="16" s="1"/>
  <c r="O60" i="16"/>
  <c r="M179" i="16"/>
  <c r="M178" i="16" s="1"/>
  <c r="O180" i="16"/>
  <c r="M203" i="16"/>
  <c r="M200" i="16" s="1"/>
  <c r="M367" i="16" s="1"/>
  <c r="O204" i="16"/>
  <c r="M35" i="16"/>
  <c r="O36" i="16"/>
  <c r="O47" i="16"/>
  <c r="M46" i="16"/>
  <c r="M45" i="16" s="1"/>
  <c r="M389" i="16" s="1"/>
  <c r="M85" i="16"/>
  <c r="O86" i="16"/>
  <c r="M184" i="16"/>
  <c r="M183" i="16" s="1"/>
  <c r="O185" i="16"/>
  <c r="M33" i="16"/>
  <c r="K32" i="16"/>
  <c r="M51" i="16"/>
  <c r="O52" i="16"/>
  <c r="M62" i="16"/>
  <c r="M61" i="16" s="1"/>
  <c r="M396" i="16" s="1"/>
  <c r="O63" i="16"/>
  <c r="M87" i="16"/>
  <c r="O88" i="16"/>
  <c r="M163" i="16"/>
  <c r="M162" i="16" s="1"/>
  <c r="O164" i="16"/>
  <c r="L367" i="16"/>
  <c r="L160" i="5"/>
  <c r="N163" i="5"/>
  <c r="O163" i="5"/>
  <c r="Q164" i="5"/>
  <c r="O89" i="5"/>
  <c r="Q90" i="5"/>
  <c r="O151" i="5"/>
  <c r="Q151" i="5" s="1"/>
  <c r="Q152" i="5"/>
  <c r="K171" i="16"/>
  <c r="K170" i="16" s="1"/>
  <c r="K410" i="16" s="1"/>
  <c r="K30" i="16"/>
  <c r="K49" i="16"/>
  <c r="K67" i="16"/>
  <c r="K39" i="16"/>
  <c r="K373" i="16" s="1"/>
  <c r="K69" i="16"/>
  <c r="K402" i="16" s="1"/>
  <c r="K163" i="16"/>
  <c r="K184" i="16"/>
  <c r="K35" i="16"/>
  <c r="K59" i="16"/>
  <c r="K85" i="16"/>
  <c r="K179" i="16"/>
  <c r="K56" i="16"/>
  <c r="K104" i="16"/>
  <c r="K112" i="16"/>
  <c r="K400" i="16" s="1"/>
  <c r="K51" i="16"/>
  <c r="K62" i="16"/>
  <c r="K87" i="16"/>
  <c r="K46" i="16"/>
  <c r="K43" i="16"/>
  <c r="K70" i="16"/>
  <c r="U264" i="15" l="1"/>
  <c r="U263" i="15" s="1"/>
  <c r="U260" i="15" s="1"/>
  <c r="U256" i="15" s="1"/>
  <c r="P263" i="15"/>
  <c r="P260" i="15" s="1"/>
  <c r="P256" i="15" s="1"/>
  <c r="U307" i="15"/>
  <c r="S70" i="16"/>
  <c r="S69" i="16"/>
  <c r="S402" i="16" s="1"/>
  <c r="Q201" i="16"/>
  <c r="S202" i="16"/>
  <c r="S201" i="16" s="1"/>
  <c r="Q195" i="16"/>
  <c r="Q194" i="16" s="1"/>
  <c r="Q365" i="16" s="1"/>
  <c r="S196" i="16"/>
  <c r="S195" i="16" s="1"/>
  <c r="S194" i="16" s="1"/>
  <c r="S365" i="16" s="1"/>
  <c r="Q198" i="16"/>
  <c r="Q197" i="16" s="1"/>
  <c r="Q366" i="16" s="1"/>
  <c r="S199" i="16"/>
  <c r="S198" i="16" s="1"/>
  <c r="S197" i="16" s="1"/>
  <c r="S366" i="16" s="1"/>
  <c r="O171" i="16"/>
  <c r="O170" i="16" s="1"/>
  <c r="O410" i="16" s="1"/>
  <c r="Q172" i="16"/>
  <c r="O30" i="16"/>
  <c r="Q31" i="16"/>
  <c r="O35" i="16"/>
  <c r="Q36" i="16"/>
  <c r="O179" i="16"/>
  <c r="O178" i="16" s="1"/>
  <c r="O407" i="16" s="1"/>
  <c r="Q180" i="16"/>
  <c r="O104" i="16"/>
  <c r="O103" i="16" s="1"/>
  <c r="O419" i="16" s="1"/>
  <c r="Q105" i="16"/>
  <c r="O43" i="16"/>
  <c r="O42" i="16" s="1"/>
  <c r="O388" i="16" s="1"/>
  <c r="Q44" i="16"/>
  <c r="O67" i="16"/>
  <c r="O64" i="16" s="1"/>
  <c r="Q68" i="16"/>
  <c r="O46" i="16"/>
  <c r="O45" i="16" s="1"/>
  <c r="O389" i="16" s="1"/>
  <c r="Q47" i="16"/>
  <c r="O62" i="16"/>
  <c r="O61" i="16" s="1"/>
  <c r="O396" i="16" s="1"/>
  <c r="Q63" i="16"/>
  <c r="O56" i="16"/>
  <c r="O53" i="16" s="1"/>
  <c r="O393" i="16" s="1"/>
  <c r="Q57" i="16"/>
  <c r="O112" i="16"/>
  <c r="O111" i="16" s="1"/>
  <c r="O110" i="16" s="1"/>
  <c r="O109" i="16" s="1"/>
  <c r="Q113" i="16"/>
  <c r="O49" i="16"/>
  <c r="Q50" i="16"/>
  <c r="O163" i="16"/>
  <c r="O162" i="16" s="1"/>
  <c r="O385" i="16" s="1"/>
  <c r="Q164" i="16"/>
  <c r="O85" i="16"/>
  <c r="Q86" i="16"/>
  <c r="O87" i="16"/>
  <c r="Q88" i="16"/>
  <c r="O51" i="16"/>
  <c r="Q52" i="16"/>
  <c r="O184" i="16"/>
  <c r="O183" i="16" s="1"/>
  <c r="O182" i="16" s="1"/>
  <c r="Q185" i="16"/>
  <c r="O203" i="16"/>
  <c r="O200" i="16" s="1"/>
  <c r="O367" i="16" s="1"/>
  <c r="Q204" i="16"/>
  <c r="O59" i="16"/>
  <c r="O58" i="16" s="1"/>
  <c r="O395" i="16" s="1"/>
  <c r="Q60" i="16"/>
  <c r="Q69" i="16"/>
  <c r="Q402" i="16" s="1"/>
  <c r="Q70" i="16"/>
  <c r="M48" i="16"/>
  <c r="M392" i="16" s="1"/>
  <c r="M111" i="16"/>
  <c r="M110" i="16" s="1"/>
  <c r="M109" i="16" s="1"/>
  <c r="M400" i="16"/>
  <c r="M161" i="16"/>
  <c r="M160" i="16" s="1"/>
  <c r="M385" i="16"/>
  <c r="O33" i="16"/>
  <c r="M32" i="16"/>
  <c r="M29" i="16" s="1"/>
  <c r="M84" i="16"/>
  <c r="M174" i="16"/>
  <c r="M173" i="16" s="1"/>
  <c r="M407" i="16"/>
  <c r="M182" i="16"/>
  <c r="M394" i="16"/>
  <c r="M37" i="16"/>
  <c r="M34" i="16" s="1"/>
  <c r="O38" i="16"/>
  <c r="O69" i="16"/>
  <c r="O402" i="16" s="1"/>
  <c r="O70" i="16"/>
  <c r="O160" i="5"/>
  <c r="Q160" i="5" s="1"/>
  <c r="Q163" i="5"/>
  <c r="O88" i="5"/>
  <c r="Q89" i="5"/>
  <c r="L147" i="5"/>
  <c r="N160" i="5"/>
  <c r="K84" i="16"/>
  <c r="K42" i="16"/>
  <c r="K388" i="16" s="1"/>
  <c r="K48" i="16"/>
  <c r="K392" i="16" s="1"/>
  <c r="K103" i="16"/>
  <c r="K419" i="16" s="1"/>
  <c r="K178" i="16"/>
  <c r="K407" i="16" s="1"/>
  <c r="K162" i="16"/>
  <c r="K111" i="16"/>
  <c r="K110" i="16" s="1"/>
  <c r="K58" i="16"/>
  <c r="K395" i="16" s="1"/>
  <c r="K183" i="16"/>
  <c r="K394" i="16" s="1"/>
  <c r="K61" i="16"/>
  <c r="K396" i="16" s="1"/>
  <c r="K45" i="16"/>
  <c r="K389" i="16" s="1"/>
  <c r="K53" i="16"/>
  <c r="K393" i="16" s="1"/>
  <c r="O161" i="16" l="1"/>
  <c r="O160" i="16" s="1"/>
  <c r="O400" i="16"/>
  <c r="Q43" i="16"/>
  <c r="Q42" i="16" s="1"/>
  <c r="Q388" i="16" s="1"/>
  <c r="S44" i="16"/>
  <c r="S43" i="16" s="1"/>
  <c r="S42" i="16" s="1"/>
  <c r="S388" i="16" s="1"/>
  <c r="Q59" i="16"/>
  <c r="Q58" i="16" s="1"/>
  <c r="Q395" i="16" s="1"/>
  <c r="S60" i="16"/>
  <c r="S59" i="16" s="1"/>
  <c r="S58" i="16" s="1"/>
  <c r="S395" i="16" s="1"/>
  <c r="Q184" i="16"/>
  <c r="Q183" i="16" s="1"/>
  <c r="Q182" i="16" s="1"/>
  <c r="S185" i="16"/>
  <c r="S184" i="16" s="1"/>
  <c r="S183" i="16" s="1"/>
  <c r="S394" i="16" s="1"/>
  <c r="Q87" i="16"/>
  <c r="S88" i="16"/>
  <c r="S87" i="16" s="1"/>
  <c r="Q163" i="16"/>
  <c r="Q162" i="16" s="1"/>
  <c r="Q385" i="16" s="1"/>
  <c r="S164" i="16"/>
  <c r="S163" i="16" s="1"/>
  <c r="S162" i="16" s="1"/>
  <c r="S385" i="16" s="1"/>
  <c r="Q112" i="16"/>
  <c r="S113" i="16"/>
  <c r="S112" i="16" s="1"/>
  <c r="S400" i="16" s="1"/>
  <c r="Q62" i="16"/>
  <c r="Q61" i="16" s="1"/>
  <c r="Q396" i="16" s="1"/>
  <c r="S63" i="16"/>
  <c r="S62" i="16" s="1"/>
  <c r="S61" i="16" s="1"/>
  <c r="S396" i="16" s="1"/>
  <c r="Q30" i="16"/>
  <c r="S31" i="16"/>
  <c r="S30" i="16" s="1"/>
  <c r="Q67" i="16"/>
  <c r="Q64" i="16" s="1"/>
  <c r="S68" i="16"/>
  <c r="S67" i="16" s="1"/>
  <c r="S64" i="16" s="1"/>
  <c r="Q104" i="16"/>
  <c r="Q103" i="16" s="1"/>
  <c r="Q419" i="16" s="1"/>
  <c r="S105" i="16"/>
  <c r="S104" i="16" s="1"/>
  <c r="S103" i="16" s="1"/>
  <c r="S419" i="16" s="1"/>
  <c r="Q35" i="16"/>
  <c r="S36" i="16"/>
  <c r="S35" i="16" s="1"/>
  <c r="Q171" i="16"/>
  <c r="Q170" i="16" s="1"/>
  <c r="Q410" i="16" s="1"/>
  <c r="S172" i="16"/>
  <c r="S171" i="16" s="1"/>
  <c r="S170" i="16" s="1"/>
  <c r="S410" i="16" s="1"/>
  <c r="Q179" i="16"/>
  <c r="Q178" i="16" s="1"/>
  <c r="S180" i="16"/>
  <c r="S179" i="16" s="1"/>
  <c r="S178" i="16" s="1"/>
  <c r="Q203" i="16"/>
  <c r="Q200" i="16" s="1"/>
  <c r="Q367" i="16" s="1"/>
  <c r="S204" i="16"/>
  <c r="S203" i="16" s="1"/>
  <c r="S200" i="16" s="1"/>
  <c r="S367" i="16" s="1"/>
  <c r="Q51" i="16"/>
  <c r="S52" i="16"/>
  <c r="S51" i="16" s="1"/>
  <c r="Q85" i="16"/>
  <c r="Q84" i="16" s="1"/>
  <c r="S86" i="16"/>
  <c r="S85" i="16" s="1"/>
  <c r="S84" i="16" s="1"/>
  <c r="Q49" i="16"/>
  <c r="Q48" i="16" s="1"/>
  <c r="Q392" i="16" s="1"/>
  <c r="S50" i="16"/>
  <c r="S49" i="16" s="1"/>
  <c r="S48" i="16" s="1"/>
  <c r="S392" i="16" s="1"/>
  <c r="Q56" i="16"/>
  <c r="Q53" i="16" s="1"/>
  <c r="Q393" i="16" s="1"/>
  <c r="S57" i="16"/>
  <c r="S56" i="16" s="1"/>
  <c r="S53" i="16" s="1"/>
  <c r="S393" i="16" s="1"/>
  <c r="Q46" i="16"/>
  <c r="Q45" i="16" s="1"/>
  <c r="Q389" i="16" s="1"/>
  <c r="S47" i="16"/>
  <c r="S46" i="16" s="1"/>
  <c r="S45" i="16" s="1"/>
  <c r="S389" i="16" s="1"/>
  <c r="O174" i="16"/>
  <c r="O173" i="16" s="1"/>
  <c r="O84" i="16"/>
  <c r="O394" i="16"/>
  <c r="Q400" i="16"/>
  <c r="Q111" i="16"/>
  <c r="Q110" i="16" s="1"/>
  <c r="Q109" i="16" s="1"/>
  <c r="O32" i="16"/>
  <c r="O29" i="16" s="1"/>
  <c r="Q33" i="16"/>
  <c r="O37" i="16"/>
  <c r="O34" i="16" s="1"/>
  <c r="Q38" i="16"/>
  <c r="O48" i="16"/>
  <c r="O392" i="16" s="1"/>
  <c r="O87" i="5"/>
  <c r="Q87" i="5" s="1"/>
  <c r="Q88" i="5"/>
  <c r="L146" i="5"/>
  <c r="N146" i="5" s="1"/>
  <c r="N147" i="5"/>
  <c r="K161" i="16"/>
  <c r="K385" i="16"/>
  <c r="K174" i="16"/>
  <c r="K182" i="16"/>
  <c r="S407" i="16" l="1"/>
  <c r="S174" i="16"/>
  <c r="S173" i="16" s="1"/>
  <c r="Q407" i="16"/>
  <c r="Q174" i="16"/>
  <c r="Q173" i="16" s="1"/>
  <c r="Q161" i="16"/>
  <c r="Q160" i="16" s="1"/>
  <c r="S111" i="16"/>
  <c r="S110" i="16" s="1"/>
  <c r="S109" i="16" s="1"/>
  <c r="Q37" i="16"/>
  <c r="Q34" i="16" s="1"/>
  <c r="S38" i="16"/>
  <c r="S37" i="16" s="1"/>
  <c r="S34" i="16" s="1"/>
  <c r="Q32" i="16"/>
  <c r="Q29" i="16" s="1"/>
  <c r="Q371" i="16" s="1"/>
  <c r="S33" i="16"/>
  <c r="S32" i="16" s="1"/>
  <c r="S29" i="16" s="1"/>
  <c r="S371" i="16" s="1"/>
  <c r="Q394" i="16"/>
  <c r="S161" i="16"/>
  <c r="S160" i="16" s="1"/>
  <c r="S182" i="16"/>
  <c r="L246" i="16"/>
  <c r="L245" i="16" s="1"/>
  <c r="K181" i="16"/>
  <c r="M181" i="16" s="1"/>
  <c r="O181" i="16" s="1"/>
  <c r="Q181" i="16" s="1"/>
  <c r="S181" i="16" s="1"/>
  <c r="K160" i="16"/>
  <c r="K109" i="16"/>
  <c r="K173" i="16"/>
  <c r="K90" i="16"/>
  <c r="M90" i="16" s="1"/>
  <c r="O90" i="16" s="1"/>
  <c r="Q90" i="16" s="1"/>
  <c r="S90" i="16" s="1"/>
  <c r="K26" i="15"/>
  <c r="J26" i="15"/>
  <c r="L10" i="15"/>
  <c r="L9" i="15" s="1"/>
  <c r="K366" i="15"/>
  <c r="K365" i="15" s="1"/>
  <c r="K364" i="15" s="1"/>
  <c r="L261" i="16"/>
  <c r="L260" i="16" s="1"/>
  <c r="L259" i="16" s="1"/>
  <c r="K199" i="15"/>
  <c r="K196" i="15" s="1"/>
  <c r="K116" i="15"/>
  <c r="K10" i="15"/>
  <c r="K9" i="15" s="1"/>
  <c r="L319" i="16" l="1"/>
  <c r="L315" i="16" s="1"/>
  <c r="L301" i="16" s="1"/>
  <c r="K25" i="15"/>
  <c r="K24" i="15" s="1"/>
  <c r="L26" i="15"/>
  <c r="N26" i="15" s="1"/>
  <c r="P26" i="15" s="1"/>
  <c r="U26" i="15" s="1"/>
  <c r="K191" i="15"/>
  <c r="K202" i="15"/>
  <c r="K277" i="15"/>
  <c r="L217" i="5"/>
  <c r="K315" i="15"/>
  <c r="K354" i="15"/>
  <c r="K370" i="15"/>
  <c r="N253" i="5"/>
  <c r="L244" i="16"/>
  <c r="L243" i="16" s="1"/>
  <c r="L238" i="16" s="1"/>
  <c r="L187" i="16" s="1"/>
  <c r="L186" i="16" s="1"/>
  <c r="K89" i="16"/>
  <c r="M89" i="16" s="1"/>
  <c r="O89" i="16" s="1"/>
  <c r="Q89" i="16" s="1"/>
  <c r="J25" i="15"/>
  <c r="L372" i="16"/>
  <c r="L371" i="16"/>
  <c r="K411" i="15"/>
  <c r="L397" i="16"/>
  <c r="K374" i="15"/>
  <c r="S89" i="16" l="1"/>
  <c r="L25" i="5"/>
  <c r="N16" i="5"/>
  <c r="L214" i="5"/>
  <c r="N214" i="5" s="1"/>
  <c r="N217" i="5"/>
  <c r="L30" i="5"/>
  <c r="N30" i="5" s="1"/>
  <c r="L386" i="16"/>
  <c r="L424" i="16" s="1"/>
  <c r="K79" i="15"/>
  <c r="L250" i="5"/>
  <c r="K369" i="15"/>
  <c r="K368" i="15" s="1"/>
  <c r="L25" i="15"/>
  <c r="N25" i="15" s="1"/>
  <c r="P25" i="15" s="1"/>
  <c r="U25" i="15" s="1"/>
  <c r="K8" i="15"/>
  <c r="K92" i="15"/>
  <c r="K102" i="15"/>
  <c r="K172" i="15"/>
  <c r="K177" i="15"/>
  <c r="K181" i="15"/>
  <c r="K195" i="15"/>
  <c r="K201" i="15"/>
  <c r="K227" i="15"/>
  <c r="K417" i="15"/>
  <c r="K306" i="15"/>
  <c r="K305" i="15" s="1"/>
  <c r="K320" i="15"/>
  <c r="K343" i="15"/>
  <c r="K338" i="15" s="1"/>
  <c r="K334" i="15" s="1"/>
  <c r="K348" i="15"/>
  <c r="K418" i="15"/>
  <c r="K419" i="15"/>
  <c r="K72" i="15"/>
  <c r="K211" i="15"/>
  <c r="K36" i="15"/>
  <c r="K256" i="15"/>
  <c r="K252" i="15"/>
  <c r="K146" i="15"/>
  <c r="K293" i="15"/>
  <c r="J24" i="15"/>
  <c r="L24" i="15" s="1"/>
  <c r="N24" i="15" s="1"/>
  <c r="P24" i="15" s="1"/>
  <c r="U24" i="15" s="1"/>
  <c r="K429" i="16"/>
  <c r="K176" i="15" l="1"/>
  <c r="N13" i="5"/>
  <c r="L9" i="5"/>
  <c r="L8" i="5" s="1"/>
  <c r="N25" i="5"/>
  <c r="L246" i="5"/>
  <c r="N250" i="5"/>
  <c r="L355" i="16"/>
  <c r="L423" i="16" s="1"/>
  <c r="J339" i="17"/>
  <c r="J340" i="17" s="1"/>
  <c r="J427" i="15"/>
  <c r="K281" i="15"/>
  <c r="K276" i="15" s="1"/>
  <c r="K78" i="15"/>
  <c r="K7" i="15"/>
  <c r="K64" i="15"/>
  <c r="K71" i="15"/>
  <c r="K399" i="15" s="1"/>
  <c r="K111" i="15"/>
  <c r="K135" i="15"/>
  <c r="K145" i="15"/>
  <c r="K405" i="15"/>
  <c r="K319" i="15"/>
  <c r="K347" i="15"/>
  <c r="K210" i="15"/>
  <c r="K416" i="15"/>
  <c r="J336" i="17" l="1"/>
  <c r="N9" i="5"/>
  <c r="N8" i="5" s="1"/>
  <c r="L237" i="5"/>
  <c r="N246" i="5"/>
  <c r="L421" i="16"/>
  <c r="L427" i="16" s="1"/>
  <c r="K365" i="17"/>
  <c r="K377" i="17" s="1"/>
  <c r="K304" i="15"/>
  <c r="K400" i="15"/>
  <c r="K6" i="15"/>
  <c r="K397" i="15"/>
  <c r="K401" i="15"/>
  <c r="K371" i="17"/>
  <c r="K383" i="17" s="1"/>
  <c r="K402" i="15"/>
  <c r="K404" i="15"/>
  <c r="K398" i="15"/>
  <c r="K403" i="15"/>
  <c r="K407" i="15"/>
  <c r="K209" i="15"/>
  <c r="J424" i="15"/>
  <c r="L335" i="16"/>
  <c r="L337" i="16" s="1"/>
  <c r="N237" i="5" l="1"/>
  <c r="N266" i="5" s="1"/>
  <c r="L266" i="5"/>
  <c r="K409" i="15"/>
  <c r="K367" i="17"/>
  <c r="K379" i="17" s="1"/>
  <c r="K368" i="17"/>
  <c r="K380" i="17" s="1"/>
  <c r="K370" i="17"/>
  <c r="K382" i="17" s="1"/>
  <c r="K393" i="15"/>
  <c r="K435" i="15" s="1"/>
  <c r="K325" i="16"/>
  <c r="K323" i="16"/>
  <c r="K321" i="16"/>
  <c r="M321" i="16" s="1"/>
  <c r="K294" i="16"/>
  <c r="M294" i="16" s="1"/>
  <c r="K271" i="16"/>
  <c r="M271" i="16" s="1"/>
  <c r="K267" i="16"/>
  <c r="M267" i="16" s="1"/>
  <c r="K263" i="16"/>
  <c r="M263" i="16" s="1"/>
  <c r="K258" i="16"/>
  <c r="M258" i="16" s="1"/>
  <c r="K255" i="16"/>
  <c r="M255" i="16" s="1"/>
  <c r="K156" i="16"/>
  <c r="M156" i="16" s="1"/>
  <c r="K159" i="16"/>
  <c r="M159" i="16" s="1"/>
  <c r="K151" i="16"/>
  <c r="M151" i="16" s="1"/>
  <c r="K140" i="16"/>
  <c r="M140" i="16" s="1"/>
  <c r="K137" i="16"/>
  <c r="M137" i="16" s="1"/>
  <c r="K134" i="16"/>
  <c r="M134" i="16" s="1"/>
  <c r="K130" i="16"/>
  <c r="M130" i="16" s="1"/>
  <c r="K124" i="16"/>
  <c r="M124" i="16" s="1"/>
  <c r="K121" i="16"/>
  <c r="M121" i="16" s="1"/>
  <c r="K18" i="16"/>
  <c r="M18" i="16" s="1"/>
  <c r="O18" i="16" s="1"/>
  <c r="Q18" i="16" s="1"/>
  <c r="S18" i="16" s="1"/>
  <c r="K19" i="16"/>
  <c r="M19" i="16" s="1"/>
  <c r="O19" i="16" s="1"/>
  <c r="Q19" i="16" s="1"/>
  <c r="S19" i="16" s="1"/>
  <c r="K10" i="16"/>
  <c r="M10" i="16" s="1"/>
  <c r="J289" i="15"/>
  <c r="J288" i="15" s="1"/>
  <c r="K127" i="16"/>
  <c r="M127" i="16" s="1"/>
  <c r="J287" i="15"/>
  <c r="J286" i="15" s="1"/>
  <c r="J285" i="15" s="1"/>
  <c r="J248" i="15"/>
  <c r="J247" i="15" s="1"/>
  <c r="J246" i="15" s="1"/>
  <c r="M325" i="16" l="1"/>
  <c r="K324" i="16"/>
  <c r="M323" i="16"/>
  <c r="K322" i="16"/>
  <c r="M158" i="16"/>
  <c r="M157" i="16" s="1"/>
  <c r="M391" i="16" s="1"/>
  <c r="O159" i="16"/>
  <c r="M262" i="16"/>
  <c r="O263" i="16"/>
  <c r="M320" i="16"/>
  <c r="O321" i="16"/>
  <c r="M133" i="16"/>
  <c r="M132" i="16" s="1"/>
  <c r="M374" i="16" s="1"/>
  <c r="O134" i="16"/>
  <c r="M136" i="16"/>
  <c r="M135" i="16" s="1"/>
  <c r="M398" i="16" s="1"/>
  <c r="O137" i="16"/>
  <c r="M155" i="16"/>
  <c r="M154" i="16" s="1"/>
  <c r="O156" i="16"/>
  <c r="M266" i="16"/>
  <c r="O267" i="16"/>
  <c r="M9" i="16"/>
  <c r="M8" i="16" s="1"/>
  <c r="O10" i="16"/>
  <c r="M123" i="16"/>
  <c r="M122" i="16" s="1"/>
  <c r="M361" i="16" s="1"/>
  <c r="O124" i="16"/>
  <c r="M139" i="16"/>
  <c r="M138" i="16" s="1"/>
  <c r="M399" i="16" s="1"/>
  <c r="O140" i="16"/>
  <c r="M254" i="16"/>
  <c r="M253" i="16" s="1"/>
  <c r="M409" i="16" s="1"/>
  <c r="O255" i="16"/>
  <c r="M270" i="16"/>
  <c r="M269" i="16" s="1"/>
  <c r="O271" i="16"/>
  <c r="M126" i="16"/>
  <c r="M125" i="16" s="1"/>
  <c r="M362" i="16" s="1"/>
  <c r="O127" i="16"/>
  <c r="M120" i="16"/>
  <c r="M119" i="16" s="1"/>
  <c r="O121" i="16"/>
  <c r="M129" i="16"/>
  <c r="M128" i="16" s="1"/>
  <c r="M363" i="16" s="1"/>
  <c r="O130" i="16"/>
  <c r="M150" i="16"/>
  <c r="M149" i="16" s="1"/>
  <c r="O151" i="16"/>
  <c r="M257" i="16"/>
  <c r="M256" i="16" s="1"/>
  <c r="M414" i="16" s="1"/>
  <c r="O258" i="16"/>
  <c r="M293" i="16"/>
  <c r="M292" i="16" s="1"/>
  <c r="M412" i="16" s="1"/>
  <c r="O294" i="16"/>
  <c r="K266" i="16"/>
  <c r="E14" i="25"/>
  <c r="E13" i="25" s="1"/>
  <c r="E12" i="25" s="1"/>
  <c r="E11" i="25" s="1"/>
  <c r="L345" i="16"/>
  <c r="L348" i="16" s="1"/>
  <c r="L248" i="15"/>
  <c r="K202" i="5"/>
  <c r="K201" i="5" s="1"/>
  <c r="K200" i="5" s="1"/>
  <c r="L287" i="15"/>
  <c r="K197" i="5"/>
  <c r="K196" i="5" s="1"/>
  <c r="L289" i="15"/>
  <c r="K199" i="5"/>
  <c r="K198" i="5" s="1"/>
  <c r="K372" i="17"/>
  <c r="K384" i="17" s="1"/>
  <c r="K420" i="15"/>
  <c r="L435" i="16"/>
  <c r="K410" i="15"/>
  <c r="L339" i="16"/>
  <c r="L340" i="16" s="1"/>
  <c r="L297" i="5"/>
  <c r="L298" i="5" s="1"/>
  <c r="L268" i="5"/>
  <c r="L269" i="5" s="1"/>
  <c r="K249" i="16"/>
  <c r="M249" i="16" s="1"/>
  <c r="K244" i="16"/>
  <c r="K246" i="16"/>
  <c r="K126" i="16"/>
  <c r="K123" i="16"/>
  <c r="K129" i="16"/>
  <c r="K133" i="16"/>
  <c r="J23" i="15"/>
  <c r="J22" i="15" s="1"/>
  <c r="J21" i="15" s="1"/>
  <c r="J199" i="15"/>
  <c r="M425" i="16" l="1"/>
  <c r="N289" i="15"/>
  <c r="L288" i="15"/>
  <c r="N248" i="15"/>
  <c r="L247" i="15"/>
  <c r="L246" i="15" s="1"/>
  <c r="O323" i="16"/>
  <c r="M322" i="16"/>
  <c r="L199" i="15"/>
  <c r="J196" i="15"/>
  <c r="N287" i="15"/>
  <c r="L286" i="15"/>
  <c r="L285" i="15" s="1"/>
  <c r="O325" i="16"/>
  <c r="M324" i="16"/>
  <c r="O293" i="16"/>
  <c r="O292" i="16" s="1"/>
  <c r="O412" i="16" s="1"/>
  <c r="Q294" i="16"/>
  <c r="O150" i="16"/>
  <c r="O149" i="16" s="1"/>
  <c r="O369" i="16" s="1"/>
  <c r="Q151" i="16"/>
  <c r="O120" i="16"/>
  <c r="O119" i="16" s="1"/>
  <c r="O360" i="16" s="1"/>
  <c r="Q121" i="16"/>
  <c r="O270" i="16"/>
  <c r="O269" i="16" s="1"/>
  <c r="Q271" i="16"/>
  <c r="O139" i="16"/>
  <c r="O138" i="16" s="1"/>
  <c r="O399" i="16" s="1"/>
  <c r="Q140" i="16"/>
  <c r="O9" i="16"/>
  <c r="O8" i="16" s="1"/>
  <c r="O352" i="16" s="1"/>
  <c r="Q10" i="16"/>
  <c r="O155" i="16"/>
  <c r="O154" i="16" s="1"/>
  <c r="Q156" i="16"/>
  <c r="O133" i="16"/>
  <c r="O132" i="16" s="1"/>
  <c r="O374" i="16" s="1"/>
  <c r="Q134" i="16"/>
  <c r="O262" i="16"/>
  <c r="Q263" i="16"/>
  <c r="O257" i="16"/>
  <c r="O256" i="16" s="1"/>
  <c r="O414" i="16" s="1"/>
  <c r="O425" i="16" s="1"/>
  <c r="Q258" i="16"/>
  <c r="O129" i="16"/>
  <c r="O128" i="16" s="1"/>
  <c r="O363" i="16" s="1"/>
  <c r="Q130" i="16"/>
  <c r="Q129" i="16" s="1"/>
  <c r="O126" i="16"/>
  <c r="O125" i="16" s="1"/>
  <c r="O362" i="16" s="1"/>
  <c r="Q127" i="16"/>
  <c r="O254" i="16"/>
  <c r="O253" i="16" s="1"/>
  <c r="O409" i="16" s="1"/>
  <c r="Q255" i="16"/>
  <c r="O123" i="16"/>
  <c r="O122" i="16" s="1"/>
  <c r="O361" i="16" s="1"/>
  <c r="Q124" i="16"/>
  <c r="O266" i="16"/>
  <c r="Q267" i="16"/>
  <c r="O136" i="16"/>
  <c r="O135" i="16" s="1"/>
  <c r="O398" i="16" s="1"/>
  <c r="Q137" i="16"/>
  <c r="O320" i="16"/>
  <c r="Q321" i="16"/>
  <c r="O158" i="16"/>
  <c r="O157" i="16" s="1"/>
  <c r="O391" i="16" s="1"/>
  <c r="Q159" i="16"/>
  <c r="O148" i="16"/>
  <c r="O147" i="16" s="1"/>
  <c r="O390" i="16"/>
  <c r="M248" i="16"/>
  <c r="M247" i="16" s="1"/>
  <c r="M397" i="16" s="1"/>
  <c r="O249" i="16"/>
  <c r="M148" i="16"/>
  <c r="M147" i="16" s="1"/>
  <c r="M369" i="16"/>
  <c r="M118" i="16"/>
  <c r="M117" i="16" s="1"/>
  <c r="M360" i="16"/>
  <c r="M352" i="16"/>
  <c r="M153" i="16"/>
  <c r="M152" i="16" s="1"/>
  <c r="M390" i="16"/>
  <c r="K245" i="16"/>
  <c r="M246" i="16"/>
  <c r="K243" i="16"/>
  <c r="M244" i="16"/>
  <c r="L437" i="16"/>
  <c r="L422" i="16"/>
  <c r="L346" i="16"/>
  <c r="L349" i="16" s="1"/>
  <c r="K191" i="5"/>
  <c r="K147" i="5" s="1"/>
  <c r="K146" i="5" s="1"/>
  <c r="J181" i="15"/>
  <c r="L23" i="15"/>
  <c r="L22" i="15" s="1"/>
  <c r="L21" i="15" s="1"/>
  <c r="K24" i="5"/>
  <c r="K23" i="5" s="1"/>
  <c r="K22" i="5" s="1"/>
  <c r="L299" i="5"/>
  <c r="L300" i="5" s="1"/>
  <c r="L438" i="16"/>
  <c r="L439" i="16" s="1"/>
  <c r="K122" i="16"/>
  <c r="K361" i="16" s="1"/>
  <c r="K132" i="16"/>
  <c r="K374" i="16" s="1"/>
  <c r="K125" i="16"/>
  <c r="K362" i="16" s="1"/>
  <c r="K128" i="16"/>
  <c r="K363" i="16" s="1"/>
  <c r="K22" i="16"/>
  <c r="M22" i="16" s="1"/>
  <c r="Q325" i="16" l="1"/>
  <c r="O324" i="16"/>
  <c r="N199" i="15"/>
  <c r="L196" i="15"/>
  <c r="P248" i="15"/>
  <c r="N247" i="15"/>
  <c r="N246" i="15" s="1"/>
  <c r="P287" i="15"/>
  <c r="N286" i="15"/>
  <c r="Q323" i="16"/>
  <c r="O322" i="16"/>
  <c r="P289" i="15"/>
  <c r="N288" i="15"/>
  <c r="O153" i="16"/>
  <c r="O152" i="16" s="1"/>
  <c r="K238" i="16"/>
  <c r="K386" i="16" s="1"/>
  <c r="Q158" i="16"/>
  <c r="Q157" i="16" s="1"/>
  <c r="Q391" i="16" s="1"/>
  <c r="S159" i="16"/>
  <c r="S158" i="16" s="1"/>
  <c r="S157" i="16" s="1"/>
  <c r="S391" i="16" s="1"/>
  <c r="Q136" i="16"/>
  <c r="Q135" i="16" s="1"/>
  <c r="Q398" i="16" s="1"/>
  <c r="S137" i="16"/>
  <c r="S136" i="16" s="1"/>
  <c r="S135" i="16" s="1"/>
  <c r="S398" i="16" s="1"/>
  <c r="Q123" i="16"/>
  <c r="Q122" i="16" s="1"/>
  <c r="Q361" i="16" s="1"/>
  <c r="S124" i="16"/>
  <c r="S123" i="16" s="1"/>
  <c r="S122" i="16" s="1"/>
  <c r="S361" i="16" s="1"/>
  <c r="Q126" i="16"/>
  <c r="Q125" i="16" s="1"/>
  <c r="Q362" i="16" s="1"/>
  <c r="S127" i="16"/>
  <c r="S126" i="16" s="1"/>
  <c r="S125" i="16" s="1"/>
  <c r="S362" i="16" s="1"/>
  <c r="Q257" i="16"/>
  <c r="Q256" i="16" s="1"/>
  <c r="Q414" i="16" s="1"/>
  <c r="S258" i="16"/>
  <c r="S257" i="16" s="1"/>
  <c r="S256" i="16" s="1"/>
  <c r="S414" i="16" s="1"/>
  <c r="Q133" i="16"/>
  <c r="Q132" i="16" s="1"/>
  <c r="Q374" i="16" s="1"/>
  <c r="S134" i="16"/>
  <c r="S133" i="16" s="1"/>
  <c r="S132" i="16" s="1"/>
  <c r="S374" i="16" s="1"/>
  <c r="Q9" i="16"/>
  <c r="Q8" i="16" s="1"/>
  <c r="S10" i="16"/>
  <c r="S9" i="16" s="1"/>
  <c r="S8" i="16" s="1"/>
  <c r="S352" i="16" s="1"/>
  <c r="Q270" i="16"/>
  <c r="Q269" i="16" s="1"/>
  <c r="Q372" i="16" s="1"/>
  <c r="S271" i="16"/>
  <c r="S270" i="16" s="1"/>
  <c r="S269" i="16" s="1"/>
  <c r="S372" i="16" s="1"/>
  <c r="Q150" i="16"/>
  <c r="Q149" i="16" s="1"/>
  <c r="Q369" i="16" s="1"/>
  <c r="S151" i="16"/>
  <c r="S150" i="16" s="1"/>
  <c r="S149" i="16" s="1"/>
  <c r="S369" i="16" s="1"/>
  <c r="Q320" i="16"/>
  <c r="S321" i="16"/>
  <c r="S320" i="16" s="1"/>
  <c r="Q266" i="16"/>
  <c r="S267" i="16"/>
  <c r="S266" i="16" s="1"/>
  <c r="Q254" i="16"/>
  <c r="Q253" i="16" s="1"/>
  <c r="Q409" i="16" s="1"/>
  <c r="S255" i="16"/>
  <c r="S254" i="16" s="1"/>
  <c r="S253" i="16" s="1"/>
  <c r="S409" i="16" s="1"/>
  <c r="Q128" i="16"/>
  <c r="Q363" i="16" s="1"/>
  <c r="S130" i="16"/>
  <c r="Q262" i="16"/>
  <c r="S263" i="16"/>
  <c r="S262" i="16" s="1"/>
  <c r="Q155" i="16"/>
  <c r="Q154" i="16" s="1"/>
  <c r="Q153" i="16" s="1"/>
  <c r="Q152" i="16" s="1"/>
  <c r="S156" i="16"/>
  <c r="S155" i="16" s="1"/>
  <c r="S154" i="16" s="1"/>
  <c r="S390" i="16" s="1"/>
  <c r="Q139" i="16"/>
  <c r="Q138" i="16" s="1"/>
  <c r="Q399" i="16" s="1"/>
  <c r="S140" i="16"/>
  <c r="S139" i="16" s="1"/>
  <c r="S138" i="16" s="1"/>
  <c r="S399" i="16" s="1"/>
  <c r="Q120" i="16"/>
  <c r="Q119" i="16" s="1"/>
  <c r="S121" i="16"/>
  <c r="S120" i="16" s="1"/>
  <c r="S119" i="16" s="1"/>
  <c r="S360" i="16" s="1"/>
  <c r="Q293" i="16"/>
  <c r="Q292" i="16" s="1"/>
  <c r="Q412" i="16" s="1"/>
  <c r="S294" i="16"/>
  <c r="S293" i="16" s="1"/>
  <c r="S292" i="16" s="1"/>
  <c r="S412" i="16" s="1"/>
  <c r="Q352" i="16"/>
  <c r="O248" i="16"/>
  <c r="O247" i="16" s="1"/>
  <c r="O397" i="16" s="1"/>
  <c r="Q249" i="16"/>
  <c r="O118" i="16"/>
  <c r="O117" i="16" s="1"/>
  <c r="M243" i="16"/>
  <c r="O244" i="16"/>
  <c r="O22" i="16"/>
  <c r="M21" i="16"/>
  <c r="M20" i="16" s="1"/>
  <c r="M359" i="16" s="1"/>
  <c r="M426" i="16" s="1"/>
  <c r="M245" i="16"/>
  <c r="O246" i="16"/>
  <c r="O198" i="5"/>
  <c r="Q198" i="5" s="1"/>
  <c r="Q199" i="5"/>
  <c r="O201" i="5"/>
  <c r="Q202" i="5"/>
  <c r="O196" i="5"/>
  <c r="Q196" i="5" s="1"/>
  <c r="Q197" i="5"/>
  <c r="N23" i="15"/>
  <c r="N22" i="15" s="1"/>
  <c r="N21" i="15" s="1"/>
  <c r="L181" i="15"/>
  <c r="L92" i="15"/>
  <c r="O191" i="5"/>
  <c r="J92" i="15"/>
  <c r="S425" i="16" l="1"/>
  <c r="Q425" i="16"/>
  <c r="Q360" i="16"/>
  <c r="Q118" i="16"/>
  <c r="Q117" i="16" s="1"/>
  <c r="S129" i="16"/>
  <c r="S128" i="16" s="1"/>
  <c r="N285" i="15"/>
  <c r="U289" i="15"/>
  <c r="U288" i="15" s="1"/>
  <c r="P288" i="15"/>
  <c r="U287" i="15"/>
  <c r="U286" i="15" s="1"/>
  <c r="P286" i="15"/>
  <c r="P199" i="15"/>
  <c r="N196" i="15"/>
  <c r="S323" i="16"/>
  <c r="S322" i="16" s="1"/>
  <c r="Q322" i="16"/>
  <c r="U248" i="15"/>
  <c r="U247" i="15" s="1"/>
  <c r="U246" i="15" s="1"/>
  <c r="P247" i="15"/>
  <c r="P246" i="15" s="1"/>
  <c r="S325" i="16"/>
  <c r="S324" i="16" s="1"/>
  <c r="Q324" i="16"/>
  <c r="Q390" i="16"/>
  <c r="Q148" i="16"/>
  <c r="Q147" i="16" s="1"/>
  <c r="S153" i="16"/>
  <c r="S152" i="16" s="1"/>
  <c r="S148" i="16"/>
  <c r="S147" i="16" s="1"/>
  <c r="Q248" i="16"/>
  <c r="Q247" i="16" s="1"/>
  <c r="Q397" i="16" s="1"/>
  <c r="S249" i="16"/>
  <c r="S248" i="16" s="1"/>
  <c r="S247" i="16" s="1"/>
  <c r="S397" i="16" s="1"/>
  <c r="N92" i="15"/>
  <c r="O245" i="16"/>
  <c r="Q246" i="16"/>
  <c r="O243" i="16"/>
  <c r="Q244" i="16"/>
  <c r="P23" i="15"/>
  <c r="O21" i="16"/>
  <c r="O20" i="16" s="1"/>
  <c r="O359" i="16" s="1"/>
  <c r="O426" i="16" s="1"/>
  <c r="Q22" i="16"/>
  <c r="M238" i="16"/>
  <c r="M386" i="16" s="1"/>
  <c r="O23" i="5"/>
  <c r="Q24" i="5"/>
  <c r="O200" i="5"/>
  <c r="Q200" i="5" s="1"/>
  <c r="Q201" i="5"/>
  <c r="Q191" i="5"/>
  <c r="C13" i="38"/>
  <c r="S118" i="16" l="1"/>
  <c r="S117" i="16" s="1"/>
  <c r="S363" i="16"/>
  <c r="P285" i="15"/>
  <c r="U285" i="15"/>
  <c r="U23" i="15"/>
  <c r="U22" i="15" s="1"/>
  <c r="U21" i="15" s="1"/>
  <c r="P22" i="15"/>
  <c r="P21" i="15" s="1"/>
  <c r="U199" i="15"/>
  <c r="U196" i="15" s="1"/>
  <c r="P196" i="15"/>
  <c r="O238" i="16"/>
  <c r="O386" i="16" s="1"/>
  <c r="Q21" i="16"/>
  <c r="Q20" i="16" s="1"/>
  <c r="Q359" i="16" s="1"/>
  <c r="Q426" i="16" s="1"/>
  <c r="S22" i="16"/>
  <c r="S21" i="16" s="1"/>
  <c r="S20" i="16" s="1"/>
  <c r="S359" i="16" s="1"/>
  <c r="S426" i="16" s="1"/>
  <c r="Q243" i="16"/>
  <c r="S244" i="16"/>
  <c r="S243" i="16" s="1"/>
  <c r="Q245" i="16"/>
  <c r="S246" i="16"/>
  <c r="S245" i="16" s="1"/>
  <c r="O147" i="5"/>
  <c r="O22" i="5"/>
  <c r="Q22" i="5" s="1"/>
  <c r="Q23" i="5"/>
  <c r="K17" i="16"/>
  <c r="M17" i="16" s="1"/>
  <c r="K13" i="16"/>
  <c r="M13" i="16" s="1"/>
  <c r="Q238" i="16" l="1"/>
  <c r="Q386" i="16" s="1"/>
  <c r="S238" i="16"/>
  <c r="S386" i="16" s="1"/>
  <c r="O13" i="16"/>
  <c r="M12" i="16"/>
  <c r="O17" i="16"/>
  <c r="M16" i="16"/>
  <c r="O146" i="5"/>
  <c r="Q146" i="5" s="1"/>
  <c r="Q147" i="5"/>
  <c r="J371" i="17"/>
  <c r="J383" i="17" s="1"/>
  <c r="K16" i="16"/>
  <c r="O12" i="16" l="1"/>
  <c r="Q13" i="16"/>
  <c r="O16" i="16"/>
  <c r="Q17" i="16"/>
  <c r="N371" i="17"/>
  <c r="N383" i="17" s="1"/>
  <c r="Q16" i="16" l="1"/>
  <c r="S17" i="16"/>
  <c r="S16" i="16" s="1"/>
  <c r="Q12" i="16"/>
  <c r="S13" i="16"/>
  <c r="S12" i="16" s="1"/>
  <c r="K99" i="16"/>
  <c r="M99" i="16" s="1"/>
  <c r="U64" i="15" l="1"/>
  <c r="P64" i="15"/>
  <c r="M98" i="16"/>
  <c r="M97" i="16" s="1"/>
  <c r="M416" i="16" s="1"/>
  <c r="O99" i="16"/>
  <c r="N64" i="15"/>
  <c r="L64" i="15"/>
  <c r="J64" i="15"/>
  <c r="K98" i="16"/>
  <c r="O98" i="16" l="1"/>
  <c r="O97" i="16" s="1"/>
  <c r="O416" i="16" s="1"/>
  <c r="Q99" i="16"/>
  <c r="K97" i="16"/>
  <c r="K416" i="16" s="1"/>
  <c r="K318" i="16"/>
  <c r="M318" i="16" s="1"/>
  <c r="Q98" i="16" l="1"/>
  <c r="Q97" i="16" s="1"/>
  <c r="Q416" i="16" s="1"/>
  <c r="S99" i="16"/>
  <c r="S98" i="16" s="1"/>
  <c r="S97" i="16" s="1"/>
  <c r="S416" i="16" s="1"/>
  <c r="M317" i="16"/>
  <c r="M316" i="16" s="1"/>
  <c r="O318" i="16"/>
  <c r="N429" i="15"/>
  <c r="L429" i="15"/>
  <c r="N341" i="17"/>
  <c r="N342" i="17" s="1"/>
  <c r="K317" i="16"/>
  <c r="P429" i="15" l="1"/>
  <c r="U429" i="15"/>
  <c r="O317" i="16"/>
  <c r="O316" i="16" s="1"/>
  <c r="O353" i="16" s="1"/>
  <c r="Q318" i="16"/>
  <c r="M353" i="16"/>
  <c r="L370" i="15"/>
  <c r="K316" i="16"/>
  <c r="K353" i="16" s="1"/>
  <c r="J370" i="15"/>
  <c r="K442" i="16"/>
  <c r="K333" i="16"/>
  <c r="K320" i="16"/>
  <c r="K310" i="16"/>
  <c r="M310" i="16" s="1"/>
  <c r="K293" i="16"/>
  <c r="K270" i="16"/>
  <c r="K265" i="16"/>
  <c r="K262" i="16"/>
  <c r="K257" i="16"/>
  <c r="K254" i="16"/>
  <c r="K220" i="16"/>
  <c r="M220" i="16" s="1"/>
  <c r="K193" i="16"/>
  <c r="M193" i="16" s="1"/>
  <c r="K158" i="16"/>
  <c r="K155" i="16"/>
  <c r="K150" i="16"/>
  <c r="K139" i="16"/>
  <c r="K136" i="16"/>
  <c r="K120" i="16"/>
  <c r="K21" i="16"/>
  <c r="K15" i="16"/>
  <c r="K12" i="16"/>
  <c r="K9" i="16"/>
  <c r="J366" i="15"/>
  <c r="L366" i="15" s="1"/>
  <c r="N366" i="15" s="1"/>
  <c r="P366" i="15" s="1"/>
  <c r="U366" i="15" s="1"/>
  <c r="J143" i="15"/>
  <c r="L143" i="15" s="1"/>
  <c r="J116" i="15"/>
  <c r="J10" i="15"/>
  <c r="M265" i="16" l="1"/>
  <c r="K264" i="16"/>
  <c r="Q317" i="16"/>
  <c r="Q316" i="16" s="1"/>
  <c r="Q353" i="16" s="1"/>
  <c r="S318" i="16"/>
  <c r="S317" i="16" s="1"/>
  <c r="S316" i="16" s="1"/>
  <c r="S353" i="16" s="1"/>
  <c r="N370" i="15"/>
  <c r="L140" i="15"/>
  <c r="L136" i="15" s="1"/>
  <c r="K14" i="16"/>
  <c r="M15" i="16"/>
  <c r="M192" i="16"/>
  <c r="M191" i="16" s="1"/>
  <c r="O193" i="16"/>
  <c r="M309" i="16"/>
  <c r="M306" i="16" s="1"/>
  <c r="O310" i="16"/>
  <c r="M219" i="16"/>
  <c r="M218" i="16" s="1"/>
  <c r="M376" i="16" s="1"/>
  <c r="O220" i="16"/>
  <c r="Q430" i="16"/>
  <c r="N143" i="15"/>
  <c r="L191" i="15"/>
  <c r="L116" i="15"/>
  <c r="K28" i="5"/>
  <c r="K25" i="5" s="1"/>
  <c r="K217" i="5"/>
  <c r="K214" i="5" s="1"/>
  <c r="K213" i="5" s="1"/>
  <c r="K212" i="5" s="1"/>
  <c r="K253" i="5"/>
  <c r="K255" i="5"/>
  <c r="K16" i="5"/>
  <c r="K13" i="5" s="1"/>
  <c r="K33" i="5"/>
  <c r="K30" i="5" s="1"/>
  <c r="K119" i="16"/>
  <c r="K360" i="16" s="1"/>
  <c r="K20" i="16"/>
  <c r="K359" i="16" s="1"/>
  <c r="K149" i="16"/>
  <c r="K369" i="16" s="1"/>
  <c r="K219" i="16"/>
  <c r="K332" i="16"/>
  <c r="K8" i="16"/>
  <c r="K154" i="16"/>
  <c r="K390" i="16" s="1"/>
  <c r="K225" i="16"/>
  <c r="K224" i="16" s="1"/>
  <c r="K378" i="16" s="1"/>
  <c r="K253" i="16"/>
  <c r="K409" i="16" s="1"/>
  <c r="K256" i="16"/>
  <c r="K414" i="16" s="1"/>
  <c r="K135" i="16"/>
  <c r="K398" i="16" s="1"/>
  <c r="K157" i="16"/>
  <c r="K391" i="16" s="1"/>
  <c r="K269" i="16"/>
  <c r="K138" i="16"/>
  <c r="K399" i="16" s="1"/>
  <c r="K192" i="16"/>
  <c r="K292" i="16"/>
  <c r="K412" i="16" s="1"/>
  <c r="K309" i="16"/>
  <c r="K248" i="16"/>
  <c r="J365" i="15"/>
  <c r="K261" i="16"/>
  <c r="J9" i="15"/>
  <c r="J111" i="15"/>
  <c r="J79" i="15"/>
  <c r="K65" i="16"/>
  <c r="U8" i="15"/>
  <c r="K448" i="16"/>
  <c r="K451" i="16"/>
  <c r="K447" i="16"/>
  <c r="J191" i="15"/>
  <c r="K425" i="16" l="1"/>
  <c r="S430" i="16"/>
  <c r="O265" i="16"/>
  <c r="M264" i="16"/>
  <c r="M261" i="16" s="1"/>
  <c r="M260" i="16" s="1"/>
  <c r="M259" i="16" s="1"/>
  <c r="U281" i="15"/>
  <c r="P370" i="15"/>
  <c r="U370" i="15"/>
  <c r="H10" i="25"/>
  <c r="H9" i="25" s="1"/>
  <c r="H8" i="25" s="1"/>
  <c r="H7" i="25" s="1"/>
  <c r="N191" i="15"/>
  <c r="P281" i="15"/>
  <c r="N140" i="15"/>
  <c r="N136" i="15" s="1"/>
  <c r="N135" i="15" s="1"/>
  <c r="P8" i="15"/>
  <c r="O309" i="16"/>
  <c r="Q310" i="16"/>
  <c r="O219" i="16"/>
  <c r="O218" i="16" s="1"/>
  <c r="O376" i="16" s="1"/>
  <c r="Q220" i="16"/>
  <c r="O192" i="16"/>
  <c r="O191" i="16" s="1"/>
  <c r="Q193" i="16"/>
  <c r="L36" i="15"/>
  <c r="N8" i="15"/>
  <c r="M187" i="16"/>
  <c r="M186" i="16" s="1"/>
  <c r="M364" i="16"/>
  <c r="O15" i="16"/>
  <c r="M14" i="16"/>
  <c r="M11" i="16" s="1"/>
  <c r="M7" i="16" s="1"/>
  <c r="M6" i="16" s="1"/>
  <c r="M302" i="16"/>
  <c r="M357" i="16"/>
  <c r="O440" i="16"/>
  <c r="N395" i="15"/>
  <c r="N425" i="15"/>
  <c r="K260" i="16"/>
  <c r="N256" i="15"/>
  <c r="L374" i="15"/>
  <c r="L369" i="15" s="1"/>
  <c r="L368" i="15" s="1"/>
  <c r="L306" i="15"/>
  <c r="L195" i="15"/>
  <c r="L293" i="15"/>
  <c r="L277" i="15"/>
  <c r="L343" i="15"/>
  <c r="L338" i="15" s="1"/>
  <c r="L348" i="15"/>
  <c r="N281" i="15"/>
  <c r="J227" i="15"/>
  <c r="K352" i="16"/>
  <c r="L102" i="15"/>
  <c r="L177" i="15"/>
  <c r="L172" i="15"/>
  <c r="L111" i="15"/>
  <c r="K326" i="16"/>
  <c r="K358" i="16"/>
  <c r="K426" i="16" s="1"/>
  <c r="L320" i="15"/>
  <c r="L319" i="15" s="1"/>
  <c r="L398" i="15" s="1"/>
  <c r="K118" i="16"/>
  <c r="L135" i="15"/>
  <c r="L256" i="15"/>
  <c r="L146" i="15"/>
  <c r="O253" i="5"/>
  <c r="Q253" i="5" s="1"/>
  <c r="J419" i="15"/>
  <c r="J315" i="15"/>
  <c r="M372" i="16"/>
  <c r="K9" i="5"/>
  <c r="K8" i="5" s="1"/>
  <c r="K250" i="5"/>
  <c r="K246" i="5" s="1"/>
  <c r="K237" i="5" s="1"/>
  <c r="J72" i="15"/>
  <c r="L8" i="15"/>
  <c r="O255" i="5"/>
  <c r="Q255" i="5" s="1"/>
  <c r="O217" i="5"/>
  <c r="M371" i="16"/>
  <c r="L281" i="15"/>
  <c r="J252" i="15"/>
  <c r="J364" i="15"/>
  <c r="L364" i="15" s="1"/>
  <c r="L360" i="15" s="1"/>
  <c r="L354" i="15" s="1"/>
  <c r="L365" i="15"/>
  <c r="N365" i="15" s="1"/>
  <c r="P365" i="15" s="1"/>
  <c r="U365" i="15" s="1"/>
  <c r="J418" i="15"/>
  <c r="J202" i="15"/>
  <c r="L202" i="15" s="1"/>
  <c r="N202" i="15" s="1"/>
  <c r="J256" i="15"/>
  <c r="K153" i="16"/>
  <c r="K152" i="16" s="1"/>
  <c r="K29" i="16"/>
  <c r="K371" i="16" s="1"/>
  <c r="K191" i="16"/>
  <c r="K364" i="16" s="1"/>
  <c r="K218" i="16"/>
  <c r="K376" i="16" s="1"/>
  <c r="K11" i="16"/>
  <c r="K34" i="16"/>
  <c r="K372" i="16" s="1"/>
  <c r="K306" i="16"/>
  <c r="K148" i="16"/>
  <c r="K247" i="16"/>
  <c r="K64" i="16"/>
  <c r="J177" i="15"/>
  <c r="J8" i="15"/>
  <c r="K319" i="16"/>
  <c r="J341" i="17"/>
  <c r="J342" i="17" s="1"/>
  <c r="J354" i="15"/>
  <c r="J348" i="15"/>
  <c r="J343" i="15"/>
  <c r="J338" i="15" s="1"/>
  <c r="J334" i="15" s="1"/>
  <c r="J146" i="15"/>
  <c r="J320" i="15"/>
  <c r="J172" i="15"/>
  <c r="J277" i="15"/>
  <c r="J306" i="15"/>
  <c r="J374" i="15"/>
  <c r="J369" i="15" s="1"/>
  <c r="J195" i="15"/>
  <c r="J102" i="15"/>
  <c r="J281" i="15"/>
  <c r="J401" i="15"/>
  <c r="J36" i="15"/>
  <c r="J293" i="15"/>
  <c r="K424" i="16" l="1"/>
  <c r="M424" i="16"/>
  <c r="M432" i="16" s="1"/>
  <c r="Q265" i="16"/>
  <c r="O264" i="16"/>
  <c r="O261" i="16" s="1"/>
  <c r="O260" i="16" s="1"/>
  <c r="O259" i="16" s="1"/>
  <c r="L276" i="15"/>
  <c r="L176" i="15"/>
  <c r="U140" i="15"/>
  <c r="U136" i="15" s="1"/>
  <c r="U135" i="15" s="1"/>
  <c r="P191" i="15"/>
  <c r="U191" i="15"/>
  <c r="Q219" i="16"/>
  <c r="Q218" i="16" s="1"/>
  <c r="Q376" i="16" s="1"/>
  <c r="Q424" i="16" s="1"/>
  <c r="S220" i="16"/>
  <c r="S219" i="16" s="1"/>
  <c r="S218" i="16" s="1"/>
  <c r="S376" i="16" s="1"/>
  <c r="S424" i="16" s="1"/>
  <c r="N146" i="15"/>
  <c r="P320" i="15"/>
  <c r="P319" i="15" s="1"/>
  <c r="U320" i="15"/>
  <c r="U319" i="15" s="1"/>
  <c r="Q192" i="16"/>
  <c r="Q191" i="16" s="1"/>
  <c r="S193" i="16"/>
  <c r="S192" i="16" s="1"/>
  <c r="S191" i="16" s="1"/>
  <c r="S364" i="16" s="1"/>
  <c r="Q309" i="16"/>
  <c r="Q306" i="16" s="1"/>
  <c r="Q302" i="16" s="1"/>
  <c r="S310" i="16"/>
  <c r="S309" i="16" s="1"/>
  <c r="S306" i="16" s="1"/>
  <c r="S357" i="16" s="1"/>
  <c r="O306" i="16"/>
  <c r="O302" i="16" s="1"/>
  <c r="O364" i="16"/>
  <c r="O187" i="16"/>
  <c r="O186" i="16" s="1"/>
  <c r="M319" i="16"/>
  <c r="M315" i="16" s="1"/>
  <c r="M301" i="16" s="1"/>
  <c r="N172" i="15"/>
  <c r="N102" i="15"/>
  <c r="N195" i="15"/>
  <c r="N374" i="15"/>
  <c r="N369" i="15" s="1"/>
  <c r="N368" i="15" s="1"/>
  <c r="P140" i="15"/>
  <c r="P136" i="15" s="1"/>
  <c r="P135" i="15" s="1"/>
  <c r="N116" i="15"/>
  <c r="N111" i="15" s="1"/>
  <c r="N343" i="15"/>
  <c r="N338" i="15" s="1"/>
  <c r="N177" i="15"/>
  <c r="P293" i="15"/>
  <c r="N306" i="15"/>
  <c r="N348" i="15"/>
  <c r="N277" i="15"/>
  <c r="O371" i="16"/>
  <c r="Q364" i="16"/>
  <c r="O372" i="16"/>
  <c r="O424" i="16" s="1"/>
  <c r="N36" i="15"/>
  <c r="K7" i="16"/>
  <c r="O14" i="16"/>
  <c r="O11" i="16" s="1"/>
  <c r="O7" i="16" s="1"/>
  <c r="Q15" i="16"/>
  <c r="L7" i="15"/>
  <c r="O214" i="5"/>
  <c r="Q214" i="5" s="1"/>
  <c r="Q217" i="5"/>
  <c r="O30" i="5"/>
  <c r="Q30" i="5" s="1"/>
  <c r="Q33" i="5"/>
  <c r="O13" i="5"/>
  <c r="O25" i="5"/>
  <c r="Q25" i="5" s="1"/>
  <c r="K432" i="16"/>
  <c r="K397" i="16"/>
  <c r="L347" i="15"/>
  <c r="L407" i="15" s="1"/>
  <c r="L145" i="15"/>
  <c r="L403" i="15" s="1"/>
  <c r="L419" i="15"/>
  <c r="L430" i="15" s="1"/>
  <c r="L418" i="15"/>
  <c r="L411" i="15"/>
  <c r="N364" i="15"/>
  <c r="P364" i="15" s="1"/>
  <c r="U364" i="15" s="1"/>
  <c r="L315" i="15"/>
  <c r="L305" i="15" s="1"/>
  <c r="N227" i="15"/>
  <c r="L227" i="15"/>
  <c r="L252" i="15"/>
  <c r="N293" i="15"/>
  <c r="N276" i="15" s="1"/>
  <c r="L79" i="15"/>
  <c r="L78" i="15" s="1"/>
  <c r="L72" i="15"/>
  <c r="L71" i="15" s="1"/>
  <c r="L399" i="15" s="1"/>
  <c r="K315" i="16"/>
  <c r="K355" i="16"/>
  <c r="K302" i="16"/>
  <c r="K357" i="16"/>
  <c r="K187" i="16"/>
  <c r="N320" i="15"/>
  <c r="N319" i="15" s="1"/>
  <c r="J201" i="15"/>
  <c r="L201" i="15" s="1"/>
  <c r="N201" i="15" s="1"/>
  <c r="L401" i="15"/>
  <c r="J411" i="15"/>
  <c r="K266" i="5"/>
  <c r="J417" i="15"/>
  <c r="J428" i="15" s="1"/>
  <c r="L404" i="15"/>
  <c r="O250" i="5"/>
  <c r="J429" i="15"/>
  <c r="J430" i="15" s="1"/>
  <c r="J211" i="15"/>
  <c r="K117" i="16"/>
  <c r="J305" i="15"/>
  <c r="J368" i="15"/>
  <c r="K147" i="16"/>
  <c r="J78" i="15"/>
  <c r="K431" i="17"/>
  <c r="J145" i="15"/>
  <c r="J347" i="15"/>
  <c r="J71" i="15"/>
  <c r="J319" i="15"/>
  <c r="J276" i="15"/>
  <c r="J176" i="15"/>
  <c r="J135" i="15"/>
  <c r="J7" i="15"/>
  <c r="K423" i="16" l="1"/>
  <c r="Q432" i="16"/>
  <c r="S432" i="16"/>
  <c r="U425" i="15"/>
  <c r="S265" i="16"/>
  <c r="S264" i="16" s="1"/>
  <c r="S261" i="16" s="1"/>
  <c r="S260" i="16" s="1"/>
  <c r="Q264" i="16"/>
  <c r="Q261" i="16" s="1"/>
  <c r="N145" i="15"/>
  <c r="P398" i="15"/>
  <c r="U111" i="15"/>
  <c r="P111" i="15"/>
  <c r="Q357" i="16"/>
  <c r="Q187" i="16"/>
  <c r="Q186" i="16" s="1"/>
  <c r="U411" i="15"/>
  <c r="U412" i="15" s="1"/>
  <c r="U360" i="15"/>
  <c r="U354" i="15" s="1"/>
  <c r="P348" i="15"/>
  <c r="U348" i="15"/>
  <c r="P369" i="15"/>
  <c r="P368" i="15" s="1"/>
  <c r="U374" i="15"/>
  <c r="U369" i="15" s="1"/>
  <c r="U368" i="15" s="1"/>
  <c r="N7" i="15"/>
  <c r="P79" i="15"/>
  <c r="U79" i="15"/>
  <c r="P177" i="15"/>
  <c r="U177" i="15"/>
  <c r="P306" i="15"/>
  <c r="U306" i="15"/>
  <c r="P195" i="15"/>
  <c r="U195" i="15"/>
  <c r="P172" i="15"/>
  <c r="U172" i="15"/>
  <c r="U145" i="15" s="1"/>
  <c r="S187" i="16"/>
  <c r="S186" i="16" s="1"/>
  <c r="U405" i="15"/>
  <c r="Q14" i="16"/>
  <c r="Q11" i="16" s="1"/>
  <c r="S15" i="16"/>
  <c r="S14" i="16" s="1"/>
  <c r="S11" i="16" s="1"/>
  <c r="S7" i="16" s="1"/>
  <c r="U36" i="15"/>
  <c r="P277" i="15"/>
  <c r="P276" i="15" s="1"/>
  <c r="U277" i="15"/>
  <c r="P343" i="15"/>
  <c r="P338" i="15" s="1"/>
  <c r="U343" i="15"/>
  <c r="U338" i="15" s="1"/>
  <c r="P102" i="15"/>
  <c r="U102" i="15"/>
  <c r="S302" i="16"/>
  <c r="U398" i="15"/>
  <c r="O357" i="16"/>
  <c r="O432" i="16"/>
  <c r="N176" i="15"/>
  <c r="N404" i="15" s="1"/>
  <c r="O6" i="16"/>
  <c r="O319" i="16"/>
  <c r="Q319" i="16"/>
  <c r="Q315" i="16" s="1"/>
  <c r="Q301" i="16" s="1"/>
  <c r="P145" i="15"/>
  <c r="P405" i="15"/>
  <c r="N252" i="15"/>
  <c r="N315" i="15"/>
  <c r="N305" i="15" s="1"/>
  <c r="N397" i="15" s="1"/>
  <c r="N211" i="15"/>
  <c r="P411" i="15"/>
  <c r="P412" i="15" s="1"/>
  <c r="P360" i="15"/>
  <c r="P354" i="15" s="1"/>
  <c r="N419" i="15"/>
  <c r="N430" i="15" s="1"/>
  <c r="P395" i="15"/>
  <c r="N72" i="15"/>
  <c r="N71" i="15" s="1"/>
  <c r="N399" i="15" s="1"/>
  <c r="P36" i="15"/>
  <c r="P7" i="15" s="1"/>
  <c r="O9" i="5"/>
  <c r="O8" i="5" s="1"/>
  <c r="Q13" i="5"/>
  <c r="Q9" i="5" s="1"/>
  <c r="Q8" i="5" s="1"/>
  <c r="O246" i="5"/>
  <c r="Q250" i="5"/>
  <c r="L304" i="15"/>
  <c r="L397" i="15"/>
  <c r="N411" i="15"/>
  <c r="N412" i="15" s="1"/>
  <c r="N360" i="15"/>
  <c r="N354" i="15" s="1"/>
  <c r="N347" i="15" s="1"/>
  <c r="N304" i="15" s="1"/>
  <c r="N418" i="15"/>
  <c r="J405" i="15"/>
  <c r="N401" i="15"/>
  <c r="N417" i="15"/>
  <c r="N428" i="15" s="1"/>
  <c r="J416" i="15"/>
  <c r="N405" i="15"/>
  <c r="L405" i="15"/>
  <c r="N403" i="15"/>
  <c r="N79" i="15"/>
  <c r="N78" i="15" s="1"/>
  <c r="M335" i="16"/>
  <c r="M337" i="16" s="1"/>
  <c r="M355" i="16"/>
  <c r="M423" i="16" s="1"/>
  <c r="K421" i="16"/>
  <c r="K427" i="16" s="1"/>
  <c r="K301" i="16"/>
  <c r="N398" i="15"/>
  <c r="J304" i="15"/>
  <c r="L6" i="15"/>
  <c r="L400" i="15"/>
  <c r="L417" i="15"/>
  <c r="L416" i="15" s="1"/>
  <c r="L211" i="15"/>
  <c r="L210" i="15" s="1"/>
  <c r="J400" i="15"/>
  <c r="J210" i="15"/>
  <c r="J402" i="15" s="1"/>
  <c r="K6" i="16"/>
  <c r="J404" i="15"/>
  <c r="J399" i="15"/>
  <c r="J407" i="15"/>
  <c r="J403" i="15"/>
  <c r="J398" i="15"/>
  <c r="J6" i="15"/>
  <c r="J397" i="15"/>
  <c r="Q7" i="16" l="1"/>
  <c r="Q6" i="16" s="1"/>
  <c r="P347" i="15"/>
  <c r="L9" i="25"/>
  <c r="L8" i="25" s="1"/>
  <c r="L7" i="25" s="1"/>
  <c r="S440" i="16"/>
  <c r="U395" i="15"/>
  <c r="S6" i="16"/>
  <c r="Q260" i="16"/>
  <c r="Q259" i="16" s="1"/>
  <c r="U293" i="15"/>
  <c r="U276" i="15" s="1"/>
  <c r="P403" i="15"/>
  <c r="S319" i="16"/>
  <c r="U347" i="15"/>
  <c r="N407" i="15"/>
  <c r="U176" i="15"/>
  <c r="P419" i="15"/>
  <c r="P430" i="15" s="1"/>
  <c r="U419" i="15"/>
  <c r="U430" i="15" s="1"/>
  <c r="P252" i="15"/>
  <c r="U252" i="15"/>
  <c r="P227" i="15"/>
  <c r="U403" i="15"/>
  <c r="P72" i="15"/>
  <c r="P71" i="15" s="1"/>
  <c r="U72" i="15"/>
  <c r="U71" i="15" s="1"/>
  <c r="N210" i="15"/>
  <c r="P315" i="15"/>
  <c r="P305" i="15" s="1"/>
  <c r="U315" i="15"/>
  <c r="U305" i="15" s="1"/>
  <c r="S259" i="16"/>
  <c r="U7" i="15"/>
  <c r="U78" i="15"/>
  <c r="J10" i="25"/>
  <c r="J9" i="25" s="1"/>
  <c r="J8" i="25" s="1"/>
  <c r="J7" i="25" s="1"/>
  <c r="U401" i="15"/>
  <c r="P176" i="15"/>
  <c r="P404" i="15" s="1"/>
  <c r="P78" i="15"/>
  <c r="P417" i="15"/>
  <c r="P428" i="15" s="1"/>
  <c r="O315" i="16"/>
  <c r="O301" i="16" s="1"/>
  <c r="O335" i="16" s="1"/>
  <c r="O337" i="16" s="1"/>
  <c r="O355" i="16"/>
  <c r="O423" i="16" s="1"/>
  <c r="Q355" i="16"/>
  <c r="Q423" i="16" s="1"/>
  <c r="P418" i="15"/>
  <c r="P407" i="15"/>
  <c r="P401" i="15"/>
  <c r="P399" i="15"/>
  <c r="Q440" i="16"/>
  <c r="P425" i="15"/>
  <c r="O237" i="5"/>
  <c r="Q246" i="5"/>
  <c r="J365" i="17"/>
  <c r="J377" i="17" s="1"/>
  <c r="J370" i="17"/>
  <c r="J382" i="17" s="1"/>
  <c r="N416" i="15"/>
  <c r="N400" i="15"/>
  <c r="N6" i="15"/>
  <c r="M421" i="16"/>
  <c r="M427" i="16" s="1"/>
  <c r="K440" i="16"/>
  <c r="J337" i="17"/>
  <c r="J425" i="15"/>
  <c r="J307" i="17"/>
  <c r="J306" i="17" s="1"/>
  <c r="J395" i="15"/>
  <c r="J396" i="17"/>
  <c r="D10" i="25"/>
  <c r="D9" i="25" s="1"/>
  <c r="L209" i="15"/>
  <c r="L393" i="15" s="1"/>
  <c r="L435" i="15" s="1"/>
  <c r="L402" i="15"/>
  <c r="L409" i="15" s="1"/>
  <c r="J368" i="17"/>
  <c r="J380" i="17" s="1"/>
  <c r="N365" i="17"/>
  <c r="N377" i="17" s="1"/>
  <c r="J367" i="17"/>
  <c r="J379" i="17" s="1"/>
  <c r="J209" i="15"/>
  <c r="J393" i="15" s="1"/>
  <c r="J435" i="15" s="1"/>
  <c r="K186" i="16"/>
  <c r="J409" i="15"/>
  <c r="Q335" i="16" l="1"/>
  <c r="Q337" i="16" s="1"/>
  <c r="U304" i="15"/>
  <c r="P304" i="15"/>
  <c r="S315" i="16"/>
  <c r="S301" i="16" s="1"/>
  <c r="S335" i="16" s="1"/>
  <c r="S347" i="16" s="1"/>
  <c r="S355" i="16"/>
  <c r="S423" i="16" s="1"/>
  <c r="Q421" i="16"/>
  <c r="Q427" i="16" s="1"/>
  <c r="P210" i="15"/>
  <c r="P402" i="15" s="1"/>
  <c r="N209" i="15"/>
  <c r="N393" i="15" s="1"/>
  <c r="H14" i="25" s="1"/>
  <c r="H13" i="25" s="1"/>
  <c r="H12" i="25" s="1"/>
  <c r="H11" i="25" s="1"/>
  <c r="H6" i="25" s="1"/>
  <c r="H15" i="25" s="1"/>
  <c r="N402" i="15"/>
  <c r="N409" i="15" s="1"/>
  <c r="U404" i="15"/>
  <c r="P397" i="15"/>
  <c r="P6" i="15"/>
  <c r="U417" i="15"/>
  <c r="U428" i="15" s="1"/>
  <c r="U407" i="15"/>
  <c r="P400" i="15"/>
  <c r="U399" i="15"/>
  <c r="U227" i="15"/>
  <c r="U210" i="15" s="1"/>
  <c r="U400" i="15"/>
  <c r="U418" i="15"/>
  <c r="Q347" i="16"/>
  <c r="U397" i="15"/>
  <c r="U6" i="15"/>
  <c r="P416" i="15"/>
  <c r="O421" i="16"/>
  <c r="O427" i="16" s="1"/>
  <c r="O441" i="16"/>
  <c r="O443" i="16"/>
  <c r="Q441" i="16"/>
  <c r="Q443" i="16"/>
  <c r="Q237" i="5"/>
  <c r="Q266" i="5" s="1"/>
  <c r="O266" i="5"/>
  <c r="N370" i="17"/>
  <c r="N382" i="17" s="1"/>
  <c r="K268" i="5"/>
  <c r="K269" i="5" s="1"/>
  <c r="K345" i="16"/>
  <c r="F14" i="25"/>
  <c r="F13" i="25" s="1"/>
  <c r="F12" i="25" s="1"/>
  <c r="F11" i="25" s="1"/>
  <c r="M345" i="16"/>
  <c r="M348" i="16" s="1"/>
  <c r="O268" i="5"/>
  <c r="L420" i="15"/>
  <c r="O297" i="5"/>
  <c r="L410" i="15"/>
  <c r="M435" i="16"/>
  <c r="M437" i="16" s="1"/>
  <c r="M339" i="16"/>
  <c r="M340" i="16" s="1"/>
  <c r="N367" i="17"/>
  <c r="N379" i="17" s="1"/>
  <c r="J372" i="17"/>
  <c r="J384" i="17" s="1"/>
  <c r="N368" i="17"/>
  <c r="N380" i="17" s="1"/>
  <c r="J394" i="15"/>
  <c r="J420" i="15"/>
  <c r="K339" i="16"/>
  <c r="K259" i="16"/>
  <c r="K435" i="16"/>
  <c r="K422" i="16" s="1"/>
  <c r="D14" i="25"/>
  <c r="J410" i="15"/>
  <c r="S421" i="16" l="1"/>
  <c r="S427" i="16" s="1"/>
  <c r="P209" i="15"/>
  <c r="P393" i="15" s="1"/>
  <c r="P394" i="15" s="1"/>
  <c r="P409" i="15"/>
  <c r="N420" i="15"/>
  <c r="N410" i="15"/>
  <c r="O435" i="16"/>
  <c r="O422" i="16" s="1"/>
  <c r="Q346" i="16"/>
  <c r="Q349" i="16" s="1"/>
  <c r="N435" i="15"/>
  <c r="O345" i="16"/>
  <c r="O348" i="16" s="1"/>
  <c r="N394" i="15"/>
  <c r="O339" i="16"/>
  <c r="O340" i="16" s="1"/>
  <c r="Q438" i="16"/>
  <c r="Q439" i="16" s="1"/>
  <c r="L303" i="5"/>
  <c r="L442" i="16"/>
  <c r="U416" i="15"/>
  <c r="S443" i="16"/>
  <c r="S337" i="16"/>
  <c r="S441" i="16"/>
  <c r="U209" i="15"/>
  <c r="U393" i="15" s="1"/>
  <c r="U402" i="15"/>
  <c r="U409" i="15" s="1"/>
  <c r="S438" i="16"/>
  <c r="S439" i="16" s="1"/>
  <c r="S346" i="16"/>
  <c r="S349" i="16" s="1"/>
  <c r="O269" i="5"/>
  <c r="O298" i="5"/>
  <c r="M422" i="16"/>
  <c r="K346" i="16"/>
  <c r="N372" i="17"/>
  <c r="N384" i="17" s="1"/>
  <c r="K438" i="16"/>
  <c r="K335" i="16"/>
  <c r="K337" i="16" s="1"/>
  <c r="O437" i="16" l="1"/>
  <c r="Q339" i="16"/>
  <c r="Q340" i="16" s="1"/>
  <c r="P420" i="15"/>
  <c r="J14" i="25"/>
  <c r="J13" i="25" s="1"/>
  <c r="J12" i="25" s="1"/>
  <c r="J11" i="25" s="1"/>
  <c r="J6" i="25" s="1"/>
  <c r="J15" i="25" s="1"/>
  <c r="N442" i="16" s="1"/>
  <c r="N443" i="16" s="1"/>
  <c r="P435" i="15"/>
  <c r="Q435" i="16"/>
  <c r="Q437" i="16" s="1"/>
  <c r="P410" i="15"/>
  <c r="Q345" i="16"/>
  <c r="Q348" i="16" s="1"/>
  <c r="L14" i="25"/>
  <c r="L13" i="25" s="1"/>
  <c r="L12" i="25" s="1"/>
  <c r="L11" i="25" s="1"/>
  <c r="L6" i="25" s="1"/>
  <c r="L15" i="25" s="1"/>
  <c r="P442" i="16" s="1"/>
  <c r="P443" i="16" s="1"/>
  <c r="S345" i="16"/>
  <c r="S348" i="16" s="1"/>
  <c r="U410" i="15"/>
  <c r="S435" i="16"/>
  <c r="S422" i="16" s="1"/>
  <c r="U394" i="15"/>
  <c r="S339" i="16"/>
  <c r="S340" i="16" s="1"/>
  <c r="U420" i="15"/>
  <c r="O438" i="16"/>
  <c r="O439" i="16" s="1"/>
  <c r="O346" i="16"/>
  <c r="O349" i="16" s="1"/>
  <c r="K349" i="16"/>
  <c r="K348" i="16"/>
  <c r="M346" i="16"/>
  <c r="M349" i="16" s="1"/>
  <c r="O299" i="5"/>
  <c r="O300" i="5" s="1"/>
  <c r="M438" i="16"/>
  <c r="M439" i="16" s="1"/>
  <c r="K441" i="16"/>
  <c r="K443" i="16"/>
  <c r="K340" i="16"/>
  <c r="K439" i="16"/>
  <c r="K437" i="16"/>
  <c r="Q422" i="16" l="1"/>
  <c r="S437" i="16"/>
  <c r="D8" i="8" l="1"/>
  <c r="C8" i="8" l="1"/>
  <c r="C9" i="19"/>
  <c r="D13" i="26" l="1"/>
  <c r="D12" i="26" s="1"/>
  <c r="D11" i="26" s="1"/>
  <c r="G13" i="26" l="1"/>
  <c r="G12" i="26" s="1"/>
  <c r="G11" i="26" s="1"/>
  <c r="K429" i="15" l="1"/>
  <c r="K430" i="15" s="1"/>
  <c r="K341" i="17"/>
  <c r="K342" i="17" s="1"/>
  <c r="K336" i="17" l="1"/>
  <c r="K324" i="17" s="1"/>
  <c r="L429" i="16"/>
  <c r="L432" i="16" s="1"/>
  <c r="K424" i="15"/>
  <c r="K412" i="15" s="1"/>
  <c r="K427" i="15" l="1"/>
  <c r="K428" i="15" s="1"/>
  <c r="K339" i="17"/>
  <c r="K340" i="17" s="1"/>
  <c r="N336" i="17"/>
  <c r="N324" i="17" s="1"/>
  <c r="L424" i="15"/>
  <c r="L412" i="15" s="1"/>
  <c r="N339" i="17"/>
  <c r="N340" i="17" s="1"/>
  <c r="L427" i="15"/>
  <c r="L428" i="15" s="1"/>
  <c r="E10" i="25" l="1"/>
  <c r="E9" i="25" s="1"/>
  <c r="E8" i="25" s="1"/>
  <c r="E7" i="25" s="1"/>
  <c r="E6" i="25" s="1"/>
  <c r="E15" i="25" s="1"/>
  <c r="D8" i="25"/>
  <c r="D7" i="25" s="1"/>
  <c r="F10" i="25" l="1"/>
  <c r="F9" i="25" s="1"/>
  <c r="F8" i="25" s="1"/>
  <c r="F7" i="25" s="1"/>
  <c r="F6" i="25" s="1"/>
  <c r="F15" i="25" s="1"/>
  <c r="N307" i="17"/>
  <c r="N306" i="17" s="1"/>
  <c r="M440" i="16"/>
  <c r="N337" i="17"/>
  <c r="L425" i="15"/>
  <c r="O301" i="5"/>
  <c r="L395" i="15"/>
  <c r="L394" i="15" s="1"/>
  <c r="N396" i="17"/>
  <c r="G9" i="26"/>
  <c r="G8" i="26" s="1"/>
  <c r="G7" i="26" s="1"/>
  <c r="G6" i="26" s="1"/>
  <c r="G15" i="26" s="1"/>
  <c r="K337" i="17"/>
  <c r="K395" i="15"/>
  <c r="K394" i="15" s="1"/>
  <c r="L440" i="16"/>
  <c r="K307" i="17"/>
  <c r="K306" i="17" s="1"/>
  <c r="D9" i="26"/>
  <c r="D8" i="26" s="1"/>
  <c r="D7" i="26" s="1"/>
  <c r="D6" i="26" s="1"/>
  <c r="D15" i="26" s="1"/>
  <c r="K425" i="15"/>
  <c r="K396" i="17"/>
  <c r="L301" i="5"/>
  <c r="C15" i="12"/>
  <c r="F15" i="12"/>
  <c r="C13" i="11"/>
  <c r="D14" i="13"/>
  <c r="C14" i="13"/>
  <c r="L302" i="5" l="1"/>
  <c r="L304" i="5"/>
  <c r="M443" i="16"/>
  <c r="M441" i="16"/>
  <c r="L443" i="16"/>
  <c r="L441" i="16"/>
  <c r="O302" i="5"/>
  <c r="O304" i="5"/>
  <c r="D14" i="14"/>
  <c r="C14" i="14"/>
  <c r="C14" i="10" l="1"/>
  <c r="C15" i="9"/>
  <c r="C13" i="6"/>
  <c r="D13" i="25" l="1"/>
  <c r="D12" i="25" s="1"/>
  <c r="D11" i="25" s="1"/>
  <c r="D6" i="25" s="1"/>
  <c r="D15" i="25" s="1"/>
</calcChain>
</file>

<file path=xl/sharedStrings.xml><?xml version="1.0" encoding="utf-8"?>
<sst xmlns="http://schemas.openxmlformats.org/spreadsheetml/2006/main" count="6495" uniqueCount="891">
  <si>
    <t>10</t>
  </si>
  <si>
    <t>06</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</si>
  <si>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</si>
  <si>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03</t>
  </si>
  <si>
    <t xml:space="preserve"> 52 0 1672</t>
  </si>
  <si>
    <t>Выплата единовременного пособия при всех формах устройства детей, лишенных родительского попечения, в семью в рамках подпрограммы "Совершенствование социальной поддержки семьи и детей" государственной программы Российской Федерации "Социальная поддержка граждан"</t>
  </si>
  <si>
    <t>04</t>
  </si>
  <si>
    <t>52 0 5260</t>
  </si>
  <si>
    <t>313</t>
  </si>
  <si>
    <t>ИТОГО</t>
  </si>
  <si>
    <t>Наименование</t>
  </si>
  <si>
    <t>Рз</t>
  </si>
  <si>
    <t>Пр</t>
  </si>
  <si>
    <t>ЦСР</t>
  </si>
  <si>
    <t>ВР</t>
  </si>
  <si>
    <t>Администрация Клетнянского района</t>
  </si>
  <si>
    <t>Общегосударственные вопросы</t>
  </si>
  <si>
    <t>01</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</si>
  <si>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</si>
  <si>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Обеспечение деятельности главы исполнительно-распорядительного органа муниципального образования </t>
  </si>
  <si>
    <t>51 0 1001</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</si>
  <si>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</si>
  <si>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01 </t>
  </si>
  <si>
    <t>100</t>
  </si>
  <si>
    <t xml:space="preserve">Расходы на выплаты персоналу государственных (муниципальных) органов </t>
  </si>
  <si>
    <t>120</t>
  </si>
  <si>
    <t>Руководство и управление в сфере установленных функций органов местного самоуправления</t>
  </si>
  <si>
    <t>Закупка товаров, работ и услуг для государственных (муниципальных) нужд</t>
  </si>
  <si>
    <t>200</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</si>
  <si>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</si>
  <si>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</si>
  <si>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</si>
  <si>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</si>
  <si>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налога на имущество организаций и земельного налога</t>
  </si>
  <si>
    <t>851</t>
  </si>
  <si>
    <t>852</t>
  </si>
  <si>
    <t>07</t>
  </si>
  <si>
    <t>Резервные фонды</t>
  </si>
  <si>
    <t>11</t>
  </si>
  <si>
    <t>70 0 1012</t>
  </si>
  <si>
    <t xml:space="preserve">Резервные фонды местных администраций </t>
  </si>
  <si>
    <t>Резервные средства</t>
  </si>
  <si>
    <t>870</t>
  </si>
  <si>
    <t>Другие общегосударственные вопросы</t>
  </si>
  <si>
    <t>13</t>
  </si>
  <si>
    <t>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</si>
  <si>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51 0 1202</t>
  </si>
  <si>
    <t xml:space="preserve">Реализация отдельных мероприятий в сфере развития муниципального управления Клетнянского района </t>
  </si>
  <si>
    <t>51 0 2211</t>
  </si>
  <si>
    <t xml:space="preserve">Повышение энергетической эффективности в Клетнянском муниципальном районе </t>
  </si>
  <si>
    <t>51 0 2212</t>
  </si>
  <si>
    <t>Оценка имущества, признание прав и регулирование отношений муниципальной собственности</t>
  </si>
  <si>
    <t>51 0 1740</t>
  </si>
  <si>
    <t>Содержание и обслуживание казны муниципального образования</t>
  </si>
  <si>
    <t>51 0 1741</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</si>
  <si>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</si>
  <si>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</si>
  <si>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09</t>
  </si>
  <si>
    <t>51 0 1134</t>
  </si>
  <si>
    <t>Расходы на выплаты персоналу казенных учреждений</t>
  </si>
  <si>
    <t>110</t>
  </si>
  <si>
    <t>Национальная экономика</t>
  </si>
  <si>
    <t>Сельское хозяйство и рыболовство</t>
  </si>
  <si>
    <t>05</t>
  </si>
  <si>
    <t>Реализация отдельных мероприятий в сфере кадрового обеспечения агропромышленного комплекса</t>
  </si>
  <si>
    <t>810</t>
  </si>
  <si>
    <t>Другие вопросы в области национальной экономики</t>
  </si>
  <si>
    <t>12</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</si>
  <si>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</si>
  <si>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51 0 1790</t>
  </si>
  <si>
    <t>Жилищно-коммунальное хозяйство</t>
  </si>
  <si>
    <t>Коммунальное хозяйство</t>
  </si>
  <si>
    <t>02</t>
  </si>
  <si>
    <t>Выполнение проектных работ по газификации населенных пунктов Клетнянского района</t>
  </si>
  <si>
    <t>51 0 2220</t>
  </si>
  <si>
    <t>400</t>
  </si>
  <si>
    <t>Бюджетные инвестиции в объекты капитального строительства государственной (муниципальной) cобственности</t>
  </si>
  <si>
    <t>414</t>
  </si>
  <si>
    <t>Образование</t>
  </si>
  <si>
    <t>Дошкольное образование</t>
  </si>
  <si>
    <t>Мероприятия в области образования</t>
  </si>
  <si>
    <t>51 0 2214</t>
  </si>
  <si>
    <t>Общее образование</t>
  </si>
  <si>
    <t>Культура, кинематография</t>
  </si>
  <si>
    <t>08</t>
  </si>
  <si>
    <t>Культура</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</si>
  <si>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</si>
  <si>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600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</si>
  <si>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</si>
  <si>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</si>
  <si>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Библиотеки</t>
  </si>
  <si>
    <t>Предоставление субсидий бюджетным, автономным учреждениям и иным некоммерческим организациям</t>
  </si>
  <si>
    <t>Мероприятия по модернизации и эффективному развитию библиотечного дела в Клетнянском районе</t>
  </si>
  <si>
    <t>Мероприятия по сохранению культурного наследия в Клетнянском районе</t>
  </si>
  <si>
    <t xml:space="preserve">Другие вопросы в области культуры, кинематографии </t>
  </si>
  <si>
    <t>Противодействие злоупотреблению наркотиками и их незаконному обороту</t>
  </si>
  <si>
    <t>Социальная политика</t>
  </si>
  <si>
    <t>Пенсионное обеспечение</t>
  </si>
  <si>
    <t>Ежемесячная доплата к государственной пенсии муниципальным служащим в  соответствии с Законом Брянской области от 16 ноября 2007 года №156-З "О муниципальной службе в Брянской области"</t>
  </si>
  <si>
    <t>Социальное обеспечение и иные выплаты населению</t>
  </si>
  <si>
    <t>300</t>
  </si>
  <si>
    <t>321</t>
  </si>
  <si>
    <t>Социальное обеспечение населения</t>
  </si>
  <si>
    <t>Охрана семьи и детства</t>
  </si>
  <si>
    <t>Приобретение товаров, работ, услуг в пользу граждан в целях их социального обеспечения</t>
  </si>
  <si>
    <t>323</t>
  </si>
  <si>
    <t>Другие вопросы в области социальной политики</t>
  </si>
  <si>
    <t>Реализация отдельных мероприятий в сфере социальной защиты населения</t>
  </si>
  <si>
    <t>Физическая культура и спорт</t>
  </si>
  <si>
    <t>Массовый спорт</t>
  </si>
  <si>
    <t>Мероприятия в области физической культуры и спорта</t>
  </si>
  <si>
    <t>Управление по делам образования, демографии, молодежной политике, ФК и массовому спорту</t>
  </si>
  <si>
    <t>52 0 1471</t>
  </si>
  <si>
    <t>Предоставление мер социальной поддержки работникам образовательных организаций,  работающим в сельских населенных пунктах и поселках городского типа на территории Брянской области</t>
  </si>
  <si>
    <t>52 0 1477</t>
  </si>
  <si>
    <t>Дошкольные образовательные организации</t>
  </si>
  <si>
    <t>52 0 1063</t>
  </si>
  <si>
    <t>Мероприятия по развитию образования Клетнянского района</t>
  </si>
  <si>
    <t>52 0 2214</t>
  </si>
  <si>
    <t>Субсидии бюджетным учреждениям на иные цели</t>
  </si>
  <si>
    <t>612</t>
  </si>
  <si>
    <t>Реализация отдельных мероприятий по обеспечению безопасности образовательных учреждений Клетнянского района</t>
  </si>
  <si>
    <t>52 0 2224</t>
  </si>
  <si>
    <t>Общеобразовательные организации</t>
  </si>
  <si>
    <t>52 0 1064</t>
  </si>
  <si>
    <t>Организации дополнительного образования</t>
  </si>
  <si>
    <t>52 0 1066</t>
  </si>
  <si>
    <t>Финансовое обеспечение деятельности муниципальных общеобразовательных организаций,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t>
  </si>
  <si>
    <t>52 0 1470</t>
  </si>
  <si>
    <t>Молодежная политика и оздоровление детей</t>
  </si>
  <si>
    <t>Реализация отдельных мероприятий по работе с детьми и молодежью Клетнянского района</t>
  </si>
  <si>
    <t>Другие вопросы в области образования</t>
  </si>
  <si>
    <t>Прочие учреждения образования</t>
  </si>
  <si>
    <t>52 0 1075</t>
  </si>
  <si>
    <t>Пособия, компенсации и иные социальные выплаты гражданам, кроме публичных нормативных обязательств</t>
  </si>
  <si>
    <t>Обеспечение сохранности жилых помещений, закрепленных за детьми-сиротами и детьми, оставшимися без попечения родителей</t>
  </si>
  <si>
    <t>52 0 1671</t>
  </si>
  <si>
    <t xml:space="preserve">10 </t>
  </si>
  <si>
    <t>Обеспечение условий по повышению качества жизни молодых семей Клетнянского района</t>
  </si>
  <si>
    <t>Субсидии гражданам на приобретение жилья</t>
  </si>
  <si>
    <t>322</t>
  </si>
  <si>
    <t>52 0 1478</t>
  </si>
  <si>
    <t>52 0 1202</t>
  </si>
  <si>
    <t>Финансовое управление администрации Клетнянского района</t>
  </si>
  <si>
    <t>Обеспечение деятельности финансовых, налоговых и таможенных органов и органов финансового (финансово-бюджетного) надзора</t>
  </si>
  <si>
    <t>Межбюджетные трансферты</t>
  </si>
  <si>
    <t>500</t>
  </si>
  <si>
    <t>Субвенции</t>
  </si>
  <si>
    <t>530</t>
  </si>
  <si>
    <t>Национальная оборона</t>
  </si>
  <si>
    <t>Мобилизационная и вневойсковая подготовка</t>
  </si>
  <si>
    <t/>
  </si>
  <si>
    <t>53 0 1421</t>
  </si>
  <si>
    <t>14</t>
  </si>
  <si>
    <t>Дотации на выравнивание бюджетной обеспеченности субъектов Российской Федерации и муниципальных образований</t>
  </si>
  <si>
    <t>Выравнивание бюджетной обеспеченности поселений</t>
  </si>
  <si>
    <t>53 0 1584</t>
  </si>
  <si>
    <t>Иные межбюджетные трансферты</t>
  </si>
  <si>
    <t>540</t>
  </si>
  <si>
    <t>Иные дотации</t>
  </si>
  <si>
    <t>Поддержка мер по обеспечению сбалансированности бюджетов поселений</t>
  </si>
  <si>
    <t>53 0 1586</t>
  </si>
  <si>
    <t>Клетнянский районный Совет народных депутатов</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</si>
  <si>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</si>
  <si>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Руководитель контрольно-счётного органа муниципального образования </t>
  </si>
  <si>
    <t>70 0 1006</t>
  </si>
  <si>
    <t>ВСЕГО РАСХОДОВ</t>
  </si>
  <si>
    <t>Условно утвержденные расходы</t>
  </si>
  <si>
    <t>99</t>
  </si>
  <si>
    <t>70 0 1014</t>
  </si>
  <si>
    <t>999</t>
  </si>
  <si>
    <t>Таблица 1</t>
  </si>
  <si>
    <t>№ п/п</t>
  </si>
  <si>
    <t>Наименование муниципального образования</t>
  </si>
  <si>
    <t>Сумма, рублей</t>
  </si>
  <si>
    <t>Клетнянское городское поселение</t>
  </si>
  <si>
    <t>1-Акуличское сельское поселение</t>
  </si>
  <si>
    <t>Лутенское сельское поселение</t>
  </si>
  <si>
    <t>Мирнинское сельское поселение</t>
  </si>
  <si>
    <t>Мужиновское сельское поселение</t>
  </si>
  <si>
    <t>Надвинское сельское поселение</t>
  </si>
  <si>
    <t xml:space="preserve"> </t>
  </si>
  <si>
    <t>1 05 04000 02 0000 110</t>
  </si>
  <si>
    <t>Плата за выбросы загрязняющих веществ в атмосферный воздух стационарными объектами</t>
  </si>
  <si>
    <t>Плата за выбросы загрязняющих веществ в водные объекты</t>
  </si>
  <si>
    <t>Прочие доходы от компенсации затрат бюджетов муниципальных районов</t>
  </si>
  <si>
    <t>1 16 06000 01 0000 140</t>
  </si>
  <si>
    <t>Дотации на выравнивание бюджетной обеспеченности</t>
  </si>
  <si>
    <t>2 02 01001 05 0000 151</t>
  </si>
  <si>
    <t>Дотации бюджетам муниципальных районов на выравнивание бюджетной обеспеченности</t>
  </si>
  <si>
    <t>2 02 01003 05 0000 151</t>
  </si>
  <si>
    <t>Дотации бюджетам муниципальных районов на поддержку мер по обеспечению сбалансированности бюджетов</t>
  </si>
  <si>
    <t>2 02 03015 05 0000 151</t>
  </si>
  <si>
    <t>Субвенции бюджетам муниципальных районов на осуществление первичного воинского учета на территориях, где отсутствуют военные комиссариаты</t>
  </si>
  <si>
    <t>2 02 03020 05 0000 151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</si>
  <si>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</si>
  <si>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2 02 03024 05 0000 151</t>
  </si>
  <si>
    <t>Субвенции бюджетам муниципальных районов на выполнение передаваемых полномочий субъектов Российской Федерации</t>
  </si>
  <si>
    <t>2 02 03029 05 0000 151</t>
  </si>
  <si>
    <t>2 02 03119 05 0000 151</t>
  </si>
  <si>
    <t>2 02 03999 05 0000 151</t>
  </si>
  <si>
    <t>Прочие субвенции бюджетам муниципальных районов</t>
  </si>
  <si>
    <t>2 02 04014 05 0000 151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</si>
  <si>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</si>
  <si>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Код бюджетной классификации Российской Федерации</t>
  </si>
  <si>
    <t>Сумма на 2016 год</t>
  </si>
  <si>
    <t>рублей</t>
  </si>
  <si>
    <t>ГРБС</t>
  </si>
  <si>
    <t xml:space="preserve">НР </t>
  </si>
  <si>
    <t>1001</t>
  </si>
  <si>
    <t>1202</t>
  </si>
  <si>
    <t>2211</t>
  </si>
  <si>
    <t>2212</t>
  </si>
  <si>
    <t>1740</t>
  </si>
  <si>
    <t>1741</t>
  </si>
  <si>
    <t>1134</t>
  </si>
  <si>
    <t>2218</t>
  </si>
  <si>
    <t>1790</t>
  </si>
  <si>
    <t>2220</t>
  </si>
  <si>
    <t>2214</t>
  </si>
  <si>
    <t>1421</t>
  </si>
  <si>
    <t>1054</t>
  </si>
  <si>
    <t>2215</t>
  </si>
  <si>
    <t>2216</t>
  </si>
  <si>
    <t>1130</t>
  </si>
  <si>
    <t>1651</t>
  </si>
  <si>
    <t>5082</t>
  </si>
  <si>
    <t>2222</t>
  </si>
  <si>
    <t>1767</t>
  </si>
  <si>
    <t>1471</t>
  </si>
  <si>
    <t>1477</t>
  </si>
  <si>
    <t>1063</t>
  </si>
  <si>
    <t>1064</t>
  </si>
  <si>
    <t>1066</t>
  </si>
  <si>
    <t>1470</t>
  </si>
  <si>
    <t>2224</t>
  </si>
  <si>
    <t>1075</t>
  </si>
  <si>
    <t>1671</t>
  </si>
  <si>
    <t>1672</t>
  </si>
  <si>
    <t>1478</t>
  </si>
  <si>
    <t>5260</t>
  </si>
  <si>
    <t>1584</t>
  </si>
  <si>
    <t>1586</t>
  </si>
  <si>
    <t>1014</t>
  </si>
  <si>
    <t xml:space="preserve">Непрограммная деятельность </t>
  </si>
  <si>
    <t>1012</t>
  </si>
  <si>
    <t>1006</t>
  </si>
  <si>
    <t>Жилищное хозяйство</t>
  </si>
  <si>
    <t>Дорожное хозяйство (дорожные фонды)</t>
  </si>
  <si>
    <t>Осуществление части полномочий по решешению вопросов местного значения поселений по осуществлению внешнего муниципального контроля</t>
  </si>
  <si>
    <t xml:space="preserve">Субсидии юридическим лицам (кроме некоммерческих организаций), индивидуальным предпринимателям, физическим лицам </t>
  </si>
  <si>
    <t>53 0 1010</t>
  </si>
  <si>
    <t>Пособия, компенсации, меры социальной поддержки по публичным нормативным обязательствам</t>
  </si>
  <si>
    <t xml:space="preserve">Наименование главного администратора доходов местного  бюджета </t>
  </si>
  <si>
    <t>Федеральная служба по надзору в сфере природопользования</t>
  </si>
  <si>
    <t>1 12 01010 01 0000 120</t>
  </si>
  <si>
    <t>1 12 01020 01 0000 120</t>
  </si>
  <si>
    <t>Плата за выбросы загрязняющих веществ в атмосферный воздух передвижными объектами</t>
  </si>
  <si>
    <t>1 12 01030 01 0000 120</t>
  </si>
  <si>
    <t>1 12 01040 01 0000 120</t>
  </si>
  <si>
    <t>Плата за размещение отходов производства и потребления</t>
  </si>
  <si>
    <t>1 16 90050 05 0000 140</t>
  </si>
  <si>
    <t>Федеральная служба по надзору в сфере защиты прав потребителей и благополучия человека</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</si>
  <si>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</si>
  <si>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</si>
  <si>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Федеральная налоговая служба</t>
  </si>
  <si>
    <t>1 01 02000 01 0000 110</t>
  </si>
  <si>
    <t>Налог на доходы физических лиц &lt;1&gt;</t>
  </si>
  <si>
    <t>1 05 02000 02 0000 110</t>
  </si>
  <si>
    <t>Единый налог на вмененный доход для отдельных видов деятельности &lt;1&gt;</t>
  </si>
  <si>
    <t>1 05 03000 01 0000 110</t>
  </si>
  <si>
    <t>Единый сельскохозяйственный налог&lt;1&gt;</t>
  </si>
  <si>
    <t>Налог, взимаемый в связи с применением патентной системы налогообложения &lt;1&gt;</t>
  </si>
  <si>
    <t>1 08 03000 01 0000 110</t>
  </si>
  <si>
    <t xml:space="preserve"> Государственная пошлина по делам, рассматриваемым в судах общей юрисдикции, мировыми судьями&lt;1&gt; </t>
  </si>
  <si>
    <t>1 09 01000 00 0000 000</t>
  </si>
  <si>
    <t xml:space="preserve">  Налог на прибыль организаций, зачислявшийся до 1 января 2005 года в местные бюджеты &lt;1&gt;</t>
  </si>
  <si>
    <t>1 09 07030 00 0000 000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</si>
  <si>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цели&lt;1&gt;</t>
  </si>
  <si>
    <t>1 09 07053 05 0000 000</t>
  </si>
  <si>
    <t>Прочие местные налоги и сборы, мобилизуемые на территориях муниципальных районов&lt;1&gt;</t>
  </si>
  <si>
    <t>Министерство внутренних дел Российской Федерации</t>
  </si>
  <si>
    <t xml:space="preserve"> Федеральная служба государственной регистрации, кадастра и картографии</t>
  </si>
  <si>
    <t>1 16 2500 00 0000 140</t>
  </si>
  <si>
    <t xml:space="preserve">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   </t>
  </si>
  <si>
    <t>Генеральная прокуратура Российской Федерации</t>
  </si>
  <si>
    <t>1 16 90050 05 6000 140</t>
  </si>
  <si>
    <t xml:space="preserve"> Государственная инспекция по надзору за техническим состоянием самоходных машин и других видов техники</t>
  </si>
  <si>
    <t>доходов местного бюджета</t>
  </si>
  <si>
    <t>администратора доходов</t>
  </si>
  <si>
    <t>Наименование  доходов</t>
  </si>
  <si>
    <t>Бюджет городского поселения</t>
  </si>
  <si>
    <t>Бюджеты сельских поселений</t>
  </si>
  <si>
    <t xml:space="preserve"> Доходы от погашения задолженности и перерасчетов по отмененным налогам, сборам и иным обязательным платежам</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</si>
  <si>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</si>
  <si>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Прочие местные налоги и сборы,  мобилизуемые   на территориях  муниципальных районов</t>
  </si>
  <si>
    <t xml:space="preserve"> Доходы от оказания  платных услуг ( работ) и компенсации  затрат  государства</t>
  </si>
  <si>
    <t>Прочие доходы от оказания платных услуг (работ) получателями средств бюджетов муниципальных районов</t>
  </si>
  <si>
    <t>Прочие доходы  от компенсации затрат  бюджетов  муниципальных районов</t>
  </si>
  <si>
    <t>Доходы от административных платежей и сборов</t>
  </si>
  <si>
    <t>Платежи, взимаемые  органами управления (организациями)    муниципальных районов  за выполнение  определенных функций</t>
  </si>
  <si>
    <t>Доходы от штрафов, санкций, возмещения  ущерба</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</si>
  <si>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</si>
  <si>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Прочие поступления от денежных  взысканий (штрафов) и иных сумм  в возмещение  ущерба, зачисляемые  в бюджеты  муниципальных районов</t>
  </si>
  <si>
    <t>Денежные взыскания (штрафы) за нарушение  бюджетного законодательства (в части бюджетов  муниципальных районов)</t>
  </si>
  <si>
    <t xml:space="preserve">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  </t>
  </si>
  <si>
    <t xml:space="preserve"> Прочие неналоговые доходы</t>
  </si>
  <si>
    <t>Невыясненные поступления, зачисляемые  в бюджеты  муниципальных районов</t>
  </si>
  <si>
    <t>Прочие неналоговые доходы  бюджетов  муниципальных районов</t>
  </si>
  <si>
    <t>Наименование  главного администратора и закрепленные источники доходов областного бюджета</t>
  </si>
  <si>
    <t xml:space="preserve"> Главного  администратора доходов</t>
  </si>
  <si>
    <t>доходов бюджета субъектов Российской Федерации</t>
  </si>
  <si>
    <t>1 16 90020 02 0000 140</t>
  </si>
  <si>
    <t xml:space="preserve"> Прочие поступления от денежных взысканий ( штрафов) и иных сумм в возмещение ущерба, зачисляемые в бюджеты субъектов Российской Федерации</t>
  </si>
  <si>
    <t>Перечень главных администраторов доходов бюджета муниципального образования " Клетнянский муниципальный район"</t>
  </si>
  <si>
    <t xml:space="preserve">Наименование  </t>
  </si>
  <si>
    <t>1 08 07150 01 1000 110</t>
  </si>
  <si>
    <t>Государственная пошлина за выдачу разрешения на установку рекламной конструкции</t>
  </si>
  <si>
    <t>1 08 07150 01 4000 110</t>
  </si>
  <si>
    <t>1 11 05013 10 0000 120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</si>
  <si>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</si>
  <si>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</si>
  <si>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</si>
  <si>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</si>
  <si>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</si>
  <si>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</si>
  <si>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</si>
  <si>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</si>
  <si>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</si>
  <si>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1 13 01995 05 0000 130</t>
  </si>
  <si>
    <t xml:space="preserve">Прочие доходы от оказания платных услуг (работ) получателями средств бюджетов муниципальных районов </t>
  </si>
  <si>
    <t>1 13 02995 05 0000 130</t>
  </si>
  <si>
    <t>Прочие доходы  от  компенсации затрат  бюджетов  муниципальных районов</t>
  </si>
  <si>
    <t>1 14 02052 05 0000 410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</si>
  <si>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</si>
  <si>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</si>
  <si>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</si>
  <si>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1 14 02052 05 0000 440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</si>
  <si>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</si>
  <si>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1 14 02053 05 0000 440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</si>
  <si>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</si>
  <si>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1 14 06013 10 0000 430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</si>
  <si>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</si>
  <si>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1 15 02050 05 0000 140</t>
  </si>
  <si>
    <t>Платежи, взимаемые  органами местного самоуправления   (организациями)   муниципальных районов  за выполнение определенных  функций</t>
  </si>
  <si>
    <t>1 16 18050 05 0000 140</t>
  </si>
  <si>
    <t>Денежные взыскания (штрафы) за нарушение бюджетного законодательства (в части бюджетов муниципальных районов)</t>
  </si>
  <si>
    <t>1 16 23051 05 0000 140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</si>
  <si>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</si>
  <si>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1 16 23052 05 0000 140</t>
  </si>
  <si>
    <t>Доходы от возмещения ущерба при возникновении иных  страховых случаев , когда выгодоприобретателями  выступают получатели средств бюджетов муниципальных районов</t>
  </si>
  <si>
    <t>1 16 32000 05 0000 140</t>
  </si>
  <si>
    <t>Прочие поступления от денежных взысканий (штрафов)  и иных сумм в возмещение ущерба, зачисляемые в бюджеты муниципальных районов</t>
  </si>
  <si>
    <t>1 17 01050 05 0000 180</t>
  </si>
  <si>
    <t>Невыясненные поступления, зачисляемые в бюджеты муниципальных районов</t>
  </si>
  <si>
    <t>1 17 05050 05 0000 180</t>
  </si>
  <si>
    <t>Прочие неналоговые доходы бюджетов муниципальных районов</t>
  </si>
  <si>
    <t>2 02 01999 05 0000 151</t>
  </si>
  <si>
    <t>Прочие дотации бюджетам муниципальных районов</t>
  </si>
  <si>
    <t>2 02 02008 05 0000 151</t>
  </si>
  <si>
    <t>Субсидии бюджетам муниципальных районов  на обеспечение  жильем молодых семей</t>
  </si>
  <si>
    <t>2 02 02051 05 0000 151</t>
  </si>
  <si>
    <t>Субсидии бюджетам муниципальных районов на реализацию федеральных целевых программ</t>
  </si>
  <si>
    <t>2 02 02077 05 0000 151</t>
  </si>
  <si>
    <t>Субсидии бюджетам муниципальных районов на бюджетные инвестиции в объекты капитального строительства собственности  муниципальных образований</t>
  </si>
  <si>
    <t>2 02 02078 05 0000 151</t>
  </si>
  <si>
    <t>Субсидии  бюджетам  муниципальных районов на  бюджетные инвестиции для  модернизации объектов коммунальной инфраструктуры</t>
  </si>
  <si>
    <t>2 02 02999 05 0000 151</t>
  </si>
  <si>
    <t>Прочие субсидии бюджетам муниципальных районов</t>
  </si>
  <si>
    <t>2 02 03002 05 0000 151</t>
  </si>
  <si>
    <t>Субвенции  бюджетам  муниципальных районов на осуществление полномочий  по подготовке  проведения  статистических переписей</t>
  </si>
  <si>
    <t>2 02 03007 05 0000 151</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</si>
  <si>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</si>
  <si>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</si>
  <si>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2 02 04999 05 0000 151</t>
  </si>
  <si>
    <t>Прочие межбюджетные трансферты, передаваемые бюджетам муниципальных районов</t>
  </si>
  <si>
    <t>2 08 05000 05 0000 180</t>
  </si>
  <si>
    <t>Перечисления из бюджетов муниципальных районов (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</si>
  <si>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2 18 05010 05 0000 151</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</si>
  <si>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</si>
  <si>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2 19 05000 05 0000 151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</si>
  <si>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</si>
  <si>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Перечень главных администраторов доходов местного бюджета - органов государственной власти Российской Федерации, органов государственной власти Брянской области</t>
  </si>
  <si>
    <t>Прочие поступления от денежных взысканий (штрафов) и иных сумм в возмещение ущерба,зачисляемые в бюджеты муниципальных районов &lt;2&gt;</t>
  </si>
  <si>
    <t xml:space="preserve">Прочие поступления от денежных взысканий (штрафов) и иных сумм в возмещение ущерба, зачисляемые в бюджеты муниципальных районов   </t>
  </si>
  <si>
    <t xml:space="preserve"> Управление ветеринарии Брянской области</t>
  </si>
  <si>
    <t xml:space="preserve">Прочие поступления от денежных взысканий (штрафов) и иных сумм в возмещение ущерба,зачисляемые в бюджеты муниципальных районов   </t>
  </si>
  <si>
    <t>&lt;1&gt;  Администрирование поступлений по всем программам и подстатьям соответствующей статьи осуществляется администратором, указанным в группировочном коде бюджетной классификации в пределах определенной законодательством Российской Федерации компетенции</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</si>
  <si>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</si>
  <si>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Приложение 5</t>
  </si>
  <si>
    <t>Перечень главных администраторов источников финансирования дефицита бюджета муниципального образования "Клетнянский муниципальный район"</t>
  </si>
  <si>
    <t>Код бюджетной классификации Российской Федерации администратора</t>
  </si>
  <si>
    <t>Код бюджетной классификации Российской  Федерации источников внутреннего финансирования дефицита</t>
  </si>
  <si>
    <t xml:space="preserve">Наименование администраторов источников финансирования дефицита районного бюджета </t>
  </si>
  <si>
    <t>01 05 02 01 05 0000 510</t>
  </si>
  <si>
    <t xml:space="preserve">  Увеличение прочих остатков денежных средств  бюджетов муниципальных районов</t>
  </si>
  <si>
    <t>01 05 02 01 05 0000 610</t>
  </si>
  <si>
    <t xml:space="preserve">  Уменьшение прочих остатков денежных средств бюджетов муниципальных районов</t>
  </si>
  <si>
    <t>Приложение 12</t>
  </si>
  <si>
    <t>КБК</t>
  </si>
  <si>
    <t>НАИМЕНОВАНИЕ</t>
  </si>
  <si>
    <t>853 01 05 00 00 00 0000 000</t>
  </si>
  <si>
    <t>Изменение остатков средств на счетах по учету средств бюджета</t>
  </si>
  <si>
    <t>853 01 05 00 00 00 0000 500</t>
  </si>
  <si>
    <t>Увеличение остатков средств бюджетов</t>
  </si>
  <si>
    <t>853 01 05 02 00 00 0000 500</t>
  </si>
  <si>
    <t>Увеличение прочих остатков средств бюджетов</t>
  </si>
  <si>
    <t>853 01 05 02 01 00 0000 510</t>
  </si>
  <si>
    <t xml:space="preserve">Увеличение прочих остатков денежных средств бюджетов </t>
  </si>
  <si>
    <t>853 01 05 02 01 05 0000 510</t>
  </si>
  <si>
    <t>Увеличение прочих остатков денежных средств бюджетов муниципальных районов</t>
  </si>
  <si>
    <t>853 01 05 00 00 00 0000 600</t>
  </si>
  <si>
    <t>Уменьшение остатков средств бюджетов</t>
  </si>
  <si>
    <t>853 01 05 02 00 00 0000 600</t>
  </si>
  <si>
    <t>Уменьшение прочих остатков средств бюджетов</t>
  </si>
  <si>
    <t>853 01 05 02 01 00 0000 610</t>
  </si>
  <si>
    <t>Уменьшение прочих остатков денежных средств бюджетов</t>
  </si>
  <si>
    <t>853 01 05 02 01 05 0000 610</t>
  </si>
  <si>
    <t>Уменьшение прочих остатков денежных средств бюджетов муниципальных районов</t>
  </si>
  <si>
    <t>Итого источников внутреннего финансирования дефицита</t>
  </si>
  <si>
    <t>Утверждено на 2015 год</t>
  </si>
  <si>
    <t>Утверждено на 2016 год</t>
  </si>
  <si>
    <t>Приложение 1</t>
  </si>
  <si>
    <t>Приложение 2</t>
  </si>
  <si>
    <t>Приложение 4</t>
  </si>
  <si>
    <t>Таблица 2</t>
  </si>
  <si>
    <t>Таблица 3</t>
  </si>
  <si>
    <t>Таблица 4</t>
  </si>
  <si>
    <t>Таблица 5</t>
  </si>
  <si>
    <t>Приложение 13</t>
  </si>
  <si>
    <t>52 0 2231</t>
  </si>
  <si>
    <t>2231</t>
  </si>
  <si>
    <t>70 0 1010</t>
  </si>
  <si>
    <t>51 0 1010</t>
  </si>
  <si>
    <t>52 0 1010</t>
  </si>
  <si>
    <t>1010</t>
  </si>
  <si>
    <t xml:space="preserve">Сумма, рублей </t>
  </si>
  <si>
    <t>(рублей)</t>
  </si>
  <si>
    <t>53 0 5118</t>
  </si>
  <si>
    <t xml:space="preserve">Мероприятия по поддержке малого и среднего предпринимательства в Клетнянском районе </t>
  </si>
  <si>
    <t>Создание, развитие многофункционального центра на территории Клетнянского района</t>
  </si>
  <si>
    <t>51 0 1865</t>
  </si>
  <si>
    <t>Единая дежурно-диспетчерская служба</t>
  </si>
  <si>
    <t>1865</t>
  </si>
  <si>
    <t>1891</t>
  </si>
  <si>
    <t>вед</t>
  </si>
  <si>
    <t>функц</t>
  </si>
  <si>
    <t>дох</t>
  </si>
  <si>
    <t>ППЭБР ОБ</t>
  </si>
  <si>
    <t>ППЭБР МБ</t>
  </si>
  <si>
    <t>53 0 1202</t>
  </si>
  <si>
    <t>октябрь</t>
  </si>
  <si>
    <t>инвестиции</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</si>
  <si>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</si>
  <si>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</si>
  <si>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70 0 1003</t>
  </si>
  <si>
    <t>1003</t>
  </si>
  <si>
    <t xml:space="preserve">Ремонт муниципального жилищного фонда </t>
  </si>
  <si>
    <t>51 0 7105</t>
  </si>
  <si>
    <t>7105</t>
  </si>
  <si>
    <t>51 0 5118</t>
  </si>
  <si>
    <t>Нормативы распределения доходов на 2015 год и на плановый период 2016 и 2017 годов между бюджетом муниципального образования "Клетнянский муниципальный район" и бюджетами городского и сельских поселений</t>
  </si>
  <si>
    <t>к решению районного Совета народных депутатов "О бюджете муниципального образования "Клетнянский муниципальный район" на 2015 год и на плановый период 2016 и 2017 годов"</t>
  </si>
  <si>
    <t>к Решению районного Совета народных депутатов  "О бюджете муниципального образования "Клетнянский муниципальный район" на 2015 год и на плановый период 2016 и 2017 годов"</t>
  </si>
  <si>
    <t>853</t>
  </si>
  <si>
    <t>Уплата иных платежей</t>
  </si>
  <si>
    <t>Уплата прочих налогов, сборов</t>
  </si>
  <si>
    <t>Капитальные вложения в объекты государственной (муниципальной) собственности</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</si>
  <si>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"Совершенствование социальной поддержки семьи и детей" государственной программы Российской Федерации "Социальная поддержка граждан"</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</si>
  <si>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</si>
  <si>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Распределение дотаций  поселениям на выравнивание бюджетной обеспеченности за счет средств областного бюджета на 2015 год</t>
  </si>
  <si>
    <t xml:space="preserve">Распределение субвенций бюджетам поселений на 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 на 2015 год
</t>
  </si>
  <si>
    <t>Распределение дотаций на поддержку мер по обеспечению сбалансированности бюджетов поселений на 2015 год</t>
  </si>
  <si>
    <t>Организация и проведение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</si>
  <si>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51 0 1251</t>
  </si>
  <si>
    <t xml:space="preserve">Учреждения клубного типа </t>
  </si>
  <si>
    <t>Осуществление полномочий по решению вопросов местного значения поселений в соответствии с заключенными соглашениями в части обеспечения населения услугами учреждений культуры</t>
  </si>
  <si>
    <t>Осуществление полномочий по решению вопросов местного значения поселений в соответствии с заключенными соглашениями в части организации библиотечного обслуживания населения</t>
  </si>
  <si>
    <t>Осуществление части полномочий по решению вопросов местного значения поселений в соответствии с заключенными соглашениями на мероприятия в области физической культуры и спорта</t>
  </si>
  <si>
    <t>Осуществление части полномочий по решению вопросов местного значения поселений в соответствии с заключенными соглашениями по формированию архивных фондов поселений</t>
  </si>
  <si>
    <t>51 0 7201</t>
  </si>
  <si>
    <t>Обеспечение сохранности автомобильных дорог местного значения и условий безопасного движения по ним</t>
  </si>
  <si>
    <t>51 0 1016</t>
  </si>
  <si>
    <t>70 0 1015</t>
  </si>
  <si>
    <t>1016</t>
  </si>
  <si>
    <t>7201</t>
  </si>
  <si>
    <t>1768</t>
  </si>
  <si>
    <t>1251</t>
  </si>
  <si>
    <t>1015</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</si>
  <si>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</si>
  <si>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из функцструктуры</t>
  </si>
  <si>
    <t>Отклонение</t>
  </si>
  <si>
    <t>Областной бюджет</t>
  </si>
  <si>
    <t>Бюджеты поселений</t>
  </si>
  <si>
    <t>Местный бюджет</t>
  </si>
  <si>
    <t>Судебная система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</si>
  <si>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"Реализация функций" в рамках непрограммного направления деятельности "Государственная судебная власть"</t>
  </si>
  <si>
    <t>51 0 5120</t>
  </si>
  <si>
    <t>5120</t>
  </si>
  <si>
    <t>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непрограммного направления деятельности "Реализация функций иных федеральных органов государственной власти"</t>
  </si>
  <si>
    <t>Финансовое обеспечение получения дошкольного образования в образовательных организациях</t>
  </si>
  <si>
    <t>Подпрограмма "Развитие сельского хозяйства в Клетнянском районе" (2015-2017 годы)</t>
  </si>
  <si>
    <t>Подпрограмма "Культура Клетнянского района на 2015-2017 годы"</t>
  </si>
  <si>
    <t>скрыть</t>
  </si>
  <si>
    <t>Подпрограмма "Комплексные меры противодействия злоупотреблению наркотиками и их незаконному обороту" (2015-2017 годы)</t>
  </si>
  <si>
    <t>Подпрограмма "Развитие молодежной политики, физической культуры и спорта Клетнянского района" (2015-2017 годы)</t>
  </si>
  <si>
    <t>Подпрограмма "Социальная политика Клетнянского района" (2015-2017 годы)</t>
  </si>
  <si>
    <t>Подпрограмма "Обеспечение жильем молодых семей  Клетнянского района на 2015-2017 годы"</t>
  </si>
  <si>
    <t>Подпрограмма "Развитие малого и среднего предпринимательства в Клетнянском районе" (2015-2017 годы)</t>
  </si>
  <si>
    <t>Управление муниципальными финансами муниципального образования "Клетнянский муниципальный район" на 2015-2017 годы</t>
  </si>
  <si>
    <t>Развитие системы образования Клетнянского муниципального  района на 2015-2017 годы</t>
  </si>
  <si>
    <t>Обеспечние реализации полномочий Клетнянского муниципального района на 2015 - 2017 годы</t>
  </si>
  <si>
    <t>Доходы всего</t>
  </si>
  <si>
    <t xml:space="preserve">Доходы С+ОД </t>
  </si>
  <si>
    <t>доходы</t>
  </si>
  <si>
    <t>Приложение 3</t>
  </si>
  <si>
    <t>В соответствии с приказом департамента финансов Брянской области от 23 декабря 2013 года №171  " Об утверждении указаний об установлении, детализации и определении порядка применения бюджетной классификации Российской Федерации в части, относящейся к областному бюджету и бюджету территориального фонда обязательного медицинского страхования Брянской области".</t>
  </si>
  <si>
    <t>048</t>
  </si>
  <si>
    <t>Федеральное казначейство</t>
  </si>
  <si>
    <t>1 03 02230 01 0000 110</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</si>
  <si>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</si>
  <si>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</si>
  <si>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</si>
  <si>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</si>
  <si>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</si>
  <si>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с учетом установленных дифференцированных нормативов отчислений в местные бюджеты</t>
  </si>
  <si>
    <t>1 16 03010 01 0000 140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</si>
  <si>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128,129, 129.1, 132, 133, 134, 135,1 35,1 Налогового кодекса Российской Федерации&lt;1&gt;</t>
  </si>
  <si>
    <t>Денежные взыскания (штрафы) за нарушение законодательства о применении контрольно - кассовой техники при осуществлении наличных денежных расчетов и (или) расчетов с использованием платежных карт &lt;1&gt;</t>
  </si>
  <si>
    <t>&lt;2&gt;  Администрирование отчислений от уплаты акцизов, подлежащих зачислению в консолидированные бюджеты субъектов Российской Федерации для последующего распределения во входящие в их состав бюджеты по дифференцированным нормативам отчислений, установленным органами государственной власти субъектов Российской Федерации и отражаемых по кодам бюджетной классификации 000 1 03 02230 01 0000 110, 000 1 03 02240 01 0000 110, 000 1 03 02250 01 0000 110, 000 1 03 02260 01 0000 110  осуществляется Федеральным казначейством.</t>
  </si>
  <si>
    <t>&lt;3&gt;  Администрирование данных поступлений осуществляется как органами государственной власти Российской Федерации (органами управления государственными внебюджетными фондами Российской Федерации, Центральным банком Российской Федерации), так и органами государственной власти субъектов Российской Федерации</t>
  </si>
  <si>
    <t>к Решению Клетнянского районного Совета народных депутатов "О бюджете муниципального образования "Клетнянский муниципальный район" на 2015 год и на плановый период 2016 и 2017 годов"</t>
  </si>
  <si>
    <t>Источники доходов областного бюджета, закрепленные за главными администраторами доходов бюджета - органами местного самоуправления муниципального образования "Клетнянский муниципальный район"</t>
  </si>
  <si>
    <t>доходов бюджета муниципального района</t>
  </si>
  <si>
    <t>Бюджет муниципального района</t>
  </si>
  <si>
    <t>Распределение субвенции бюджетам поселений на осуществление отдельных государственных полномочий Российской Федерации по первичному воинскому учету на территориях, где отсутствуют военные комиссариаты на 2015 год</t>
  </si>
  <si>
    <t xml:space="preserve">Субвенция бюджетам поселений (за счет субвенции, полученной из областного бюджета) для осуществления отдельных государственных полномочий Брянской области по определению перечня должностных лиц органов местного самоуправления, уполномоченный составлять протоколы об административных правонарушениях на 2015 год
</t>
  </si>
  <si>
    <t xml:space="preserve">Субвенция бюджетам поселений (за счет субвенции, полученной из областного бюджета) для осуществления отдельных государственных полномочий Брянской области по определению перечня должностных лиц органов местного самоуправления, уполномоченный составлять протоколы об административных правонарушениях на плановый период 2016 и 2017 годов
</t>
  </si>
  <si>
    <t>Распределение субвенции бюджетам поселений на осуществление отдельных государственных полномочий Российской Федерации по первичному воинскому учету на территориях, где отсутствуют военные комиссариаты на плановый период 2016 и 2017 годов</t>
  </si>
  <si>
    <t xml:space="preserve">Распределение субвенций бюджетам поселений на 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 на плановый период 2016 и 2017 годов
</t>
  </si>
  <si>
    <t>Распределение дотаций на поддержку мер по обеспечению сбалансированности бюджетов поселений на плановый период 2016 и 2017 годов</t>
  </si>
  <si>
    <t>Сумма на 2017 год</t>
  </si>
  <si>
    <t>Источники внутреннего финансирования дефицита бюджета муниципального образования "Клетнянский муниципальный район" на 2015 год</t>
  </si>
  <si>
    <t>УУР</t>
  </si>
  <si>
    <t>Всего расходы по видам бюджетов</t>
  </si>
  <si>
    <t>ППЭБР</t>
  </si>
  <si>
    <t>Ведомственная структура расходов бюджета бюджета муниципального образования "Клетнянский муниципальный район" на плановый период 2016 и 2017 годов</t>
  </si>
  <si>
    <t>Приложение 7</t>
  </si>
  <si>
    <t>Приложение 9</t>
  </si>
  <si>
    <t>МП</t>
  </si>
  <si>
    <t>ППМП</t>
  </si>
  <si>
    <t>Приложение 10</t>
  </si>
  <si>
    <t>Продолжение приложения 10</t>
  </si>
  <si>
    <t>Приложение 11</t>
  </si>
  <si>
    <t>Источники внутреннего финансирования дефицита бюджета муниципального образования "Клетнянский муниципальный район" на плановый период 2016 и 2017 годов</t>
  </si>
  <si>
    <t>Распределение дотаций  поселениям на выравнивание бюджетной обеспеченности за счет средств областного бюджета на плановый период 2016 и 2017 годов</t>
  </si>
  <si>
    <t>51 1 2218</t>
  </si>
  <si>
    <t>51 2 1054</t>
  </si>
  <si>
    <t>51 2 1055</t>
  </si>
  <si>
    <t>51 2 1057</t>
  </si>
  <si>
    <t>51 2 1058</t>
  </si>
  <si>
    <t>51 2 1421</t>
  </si>
  <si>
    <t>51 2 2215</t>
  </si>
  <si>
    <t>51 2 2216</t>
  </si>
  <si>
    <t>51 3 1130</t>
  </si>
  <si>
    <t>51 4 1767</t>
  </si>
  <si>
    <t>51 4 1768</t>
  </si>
  <si>
    <t>51 5 1651</t>
  </si>
  <si>
    <t>51 5 2222</t>
  </si>
  <si>
    <t>51 5 5082</t>
  </si>
  <si>
    <t>51 6 2226</t>
  </si>
  <si>
    <t>51 7 1891</t>
  </si>
  <si>
    <t>субв</t>
  </si>
  <si>
    <t>от пос.</t>
  </si>
  <si>
    <t xml:space="preserve">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</si>
  <si>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Контрольно-счетная палата Клетнянского муниципального района</t>
  </si>
  <si>
    <t>Продолжение приложения 11</t>
  </si>
  <si>
    <t>Реализация отдельных мероприятий в сфере развития животноводства Клетнянского района</t>
  </si>
  <si>
    <t>511</t>
  </si>
  <si>
    <t xml:space="preserve">Дотации             </t>
  </si>
  <si>
    <t>510</t>
  </si>
  <si>
    <t>Уточненный план на 01.03.15.</t>
  </si>
  <si>
    <t>Выполнение работ по газификации Клетнянского района</t>
  </si>
  <si>
    <t>51 0 2221</t>
  </si>
  <si>
    <t>2221</t>
  </si>
  <si>
    <t>51 0 1127</t>
  </si>
  <si>
    <t>Софинансирование объектов капитальных вложений муниципальной собственности</t>
  </si>
  <si>
    <t>51 1 2219</t>
  </si>
  <si>
    <t>2219</t>
  </si>
  <si>
    <t>Ремонт водопроводной сети Клетнянского района</t>
  </si>
  <si>
    <t>ОБ</t>
  </si>
  <si>
    <t>7211</t>
  </si>
  <si>
    <t xml:space="preserve">Передача полномочий бюджетам сельских поселений в соответствии с заключенными соглашениями по сохранению культурного наследия </t>
  </si>
  <si>
    <t>51 2 2217</t>
  </si>
  <si>
    <t>2217</t>
  </si>
  <si>
    <t>1127</t>
  </si>
  <si>
    <t>изм.февраль</t>
  </si>
  <si>
    <t>к Решению районного Совета народных депутатов  "О внесении изменений в Решение районного Совета народных депутатов "О бюджете муниципального образования "Клетнянский муниципальный район" на 2015 год и на плановый период 2016 и 2017 годов"</t>
  </si>
  <si>
    <t>512</t>
  </si>
  <si>
    <t>Дотации</t>
  </si>
  <si>
    <t>51 0 2223</t>
  </si>
  <si>
    <t>2223</t>
  </si>
  <si>
    <t>Дополнительные меры государственной поддержки обучающихся</t>
  </si>
  <si>
    <t>52 0 1473</t>
  </si>
  <si>
    <t>1473</t>
  </si>
  <si>
    <t>Изм февраль</t>
  </si>
  <si>
    <t>Изм апрель</t>
  </si>
  <si>
    <t>Уточненный план на 01.05.15.</t>
  </si>
  <si>
    <t>1055</t>
  </si>
  <si>
    <t>1057</t>
  </si>
  <si>
    <t>1058</t>
  </si>
  <si>
    <t>2226</t>
  </si>
  <si>
    <t>МР</t>
  </si>
  <si>
    <t>пос</t>
  </si>
  <si>
    <t>Пос</t>
  </si>
  <si>
    <t>ФБ</t>
  </si>
  <si>
    <t>ВСЕГО</t>
  </si>
  <si>
    <t>изм.апрель</t>
  </si>
  <si>
    <t>изм.апр.2015</t>
  </si>
  <si>
    <t>План на 2017 год на 01.05.15.</t>
  </si>
  <si>
    <t>51 0 1133</t>
  </si>
  <si>
    <t>Взносы Клетнянского района в уставные капиталы муниципальных унитарных предприятий</t>
  </si>
  <si>
    <t>1133</t>
  </si>
  <si>
    <t>Полномочия бюджетам поселений на обеспечение  проживающих в поселении и нуждающихся в жилых помещениях малоимущих граждан жилыми помещениями, организацию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</si>
  <si>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7106</t>
  </si>
  <si>
    <t>2227</t>
  </si>
  <si>
    <t>Полномочия бюджетам поселений на организацию в границах поселений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</si>
  <si>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 xml:space="preserve">Поддержка мер по обеспечению сбалансированности  бюджетов поселений из бюджета муниципального образования "Клетнянский муниципальный  район"
</t>
  </si>
  <si>
    <t>53 0 1599</t>
  </si>
  <si>
    <t>1599</t>
  </si>
  <si>
    <t>Распределение дотаций на поддержку мер по обеспечению сбалансированности бюджетов поселений из бюджета муниципального образования "Клетнянский муниципальный  район" на 2015 год</t>
  </si>
  <si>
    <t xml:space="preserve">План на 2016 год </t>
  </si>
  <si>
    <t xml:space="preserve">План на 2017 год </t>
  </si>
  <si>
    <t>Распределение расходов бюджета муниципального образования "Клетнянский муниципальный район" по целевым статьям (муниципальным программам и непрограммным направлениям деятельности), группам видов расходов на плановый период 2016 и 2017 годов</t>
  </si>
  <si>
    <t xml:space="preserve">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t>
  </si>
  <si>
    <t xml:space="preserve">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организаций </t>
  </si>
  <si>
    <t>Таблица 7</t>
  </si>
  <si>
    <t>Таблица 8</t>
  </si>
  <si>
    <t>Распределение иных межбюджетных трансфертов бюджетам поселений на обеспечение  проживающих в поселении и нуждающихся в жилых помещениях малоимущих граждан жилыми помещениями, организацию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из бюджета муниципального образования "Клетнянский муниципальный  район" на 2015 год</t>
  </si>
  <si>
    <t>Таблица 9</t>
  </si>
  <si>
    <t>Распределение иных межбюджетных трансфертов бюджетам поселений на организацию в границах поселений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на 2015 год</t>
  </si>
  <si>
    <t>План на 2016 год</t>
  </si>
  <si>
    <t>Создание и развитие сети многофункциональных центров предоставления государственных и муниципальных услуг в рамках подпрограммы "Совершенствование государственного и муниципального управления" государственной программы Российской Федерации "Экономическое развитие и инновационная экономика"</t>
  </si>
  <si>
    <t>51 0 5392</t>
  </si>
  <si>
    <t>5392</t>
  </si>
  <si>
    <t>Уточненный план на 01.07.15.</t>
  </si>
  <si>
    <t>Обеспечение проведения выборов и референдумов</t>
  </si>
  <si>
    <t>Организация и проведение выборов и референдумов</t>
  </si>
  <si>
    <t>70 0 1011</t>
  </si>
  <si>
    <t>Специальные расходы</t>
  </si>
  <si>
    <t>880</t>
  </si>
  <si>
    <t>52 0 1479</t>
  </si>
  <si>
    <t>Мероприятия по проведению оздоровительной кампании детей</t>
  </si>
  <si>
    <t>Изм июнь</t>
  </si>
  <si>
    <t>1011</t>
  </si>
  <si>
    <t>1479</t>
  </si>
  <si>
    <t>Утверждено на 01.05.15.</t>
  </si>
  <si>
    <t>изм.июнь</t>
  </si>
  <si>
    <t xml:space="preserve">Межбюджетные трансферты общего характера бюджетам бюджетной системы Российской Федерации </t>
  </si>
  <si>
    <t>Развитие и совершенствование сети автомобильных дорог местного значения</t>
  </si>
  <si>
    <t>51 0 7200</t>
  </si>
  <si>
    <t>Развитие сети автомобильных дорог, ведущих к общественно значимым объектам сельских населенных пунктов, объектам производства и переработки сельскохозяйственной продукции</t>
  </si>
  <si>
    <t>51 0 1616</t>
  </si>
  <si>
    <t>Реализация мероприятий федеральной целевой программы "Устойчивое развитие сельских территорий на 2014 - 2017 годы и на период до 2020 года" государственной программы Российской Федерации "Государственная программа развития сельского хозяйства и регулирования рынков сельскохозяйственной продукции, сырья и продовольствия на 2013 - 2020 годы"</t>
  </si>
  <si>
    <t>51 0 5018</t>
  </si>
  <si>
    <t>в ручную</t>
  </si>
  <si>
    <t>53 0 7211</t>
  </si>
  <si>
    <t>53 0 7106</t>
  </si>
  <si>
    <t>53 0 2227</t>
  </si>
  <si>
    <t>Распределение иных межбюджетных трансфертов бюджетам поселений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</si>
  <si>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Передача полномочий бюджетам сельских поселений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</si>
  <si>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51 2 5146</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</si>
  <si>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в рамках подпрограммы "Наследие" государственной программы Российской Федерации "Развитие культуры и туризма"</t>
  </si>
  <si>
    <t>Изм октябрь</t>
  </si>
  <si>
    <t>7200</t>
  </si>
  <si>
    <t>5018</t>
  </si>
  <si>
    <t>5146</t>
  </si>
  <si>
    <t>не пойдут на в/у</t>
  </si>
  <si>
    <t>пож.мер-я сб.из ОБ</t>
  </si>
  <si>
    <t>в/у ФБ - 726512,      г/п - 389203</t>
  </si>
  <si>
    <t>Дох.субв+субс+ иные МБТ</t>
  </si>
  <si>
    <t>откл.коммун.</t>
  </si>
  <si>
    <t>51 6 1620</t>
  </si>
  <si>
    <t>Социальные выплаты молодым семьям на приобретение жилья</t>
  </si>
  <si>
    <t>1620</t>
  </si>
  <si>
    <t>51 0 2228</t>
  </si>
  <si>
    <t>Мероприятия в сфере коммунального хозяйства, в части оформления имущественных отношений</t>
  </si>
  <si>
    <t>Средства поселений</t>
  </si>
  <si>
    <t>На 1.11.15.</t>
  </si>
  <si>
    <t>изм.октябрь</t>
  </si>
  <si>
    <t>Таблица 6</t>
  </si>
  <si>
    <t>2228</t>
  </si>
  <si>
    <t>Утверждено</t>
  </si>
  <si>
    <t>Приложение 6</t>
  </si>
  <si>
    <t>Приложение 8</t>
  </si>
  <si>
    <t>Распределение расходов бюджета муниципального образования "Клетнянский муниципальный район" по целевым статьям (муниципальным программам и непрограммным направлениям деятельности), группам видов расходов на 2015 год</t>
  </si>
  <si>
    <t>Распределение бюджетных ассигнований на 2015 год по ведомственной структуре расходов бюджета муниципального образования "Клетнянский муниципальный район"</t>
  </si>
  <si>
    <t xml:space="preserve">Приложение </t>
  </si>
  <si>
    <t xml:space="preserve">к пояснительной записке к Решению районного Совета народных депутатов  "О бюджете муниципального образования "Клетнянский муниципальный район" на 2015 год и на плановый период 2016 и 2017 годов" </t>
  </si>
  <si>
    <t>налог</t>
  </si>
  <si>
    <t>неналог</t>
  </si>
  <si>
    <t>Наименование доходов</t>
  </si>
  <si>
    <t>изменения февраль</t>
  </si>
  <si>
    <t>изменения апрель</t>
  </si>
  <si>
    <t>изменения июнь</t>
  </si>
  <si>
    <r>
      <t xml:space="preserve">изменения </t>
    </r>
    <r>
      <rPr>
        <sz val="9"/>
        <color rgb="FFFF0000"/>
        <rFont val="Arial"/>
        <family val="2"/>
        <charset val="204"/>
      </rPr>
      <t>октябрь</t>
    </r>
  </si>
  <si>
    <t>Утверждено на 2017 год</t>
  </si>
  <si>
    <t xml:space="preserve">  1 00 00000 00 0000 000</t>
  </si>
  <si>
    <t xml:space="preserve"> НАЛОГОВЫЕ И НЕНАЛОГОВЫЕ ДОХОДЫ</t>
  </si>
  <si>
    <t xml:space="preserve">  1 01 00000 00 0000 000</t>
  </si>
  <si>
    <t>НАЛОГИ НА ПРИБЫЛЬ, ДОХОДЫ</t>
  </si>
  <si>
    <t xml:space="preserve"> 1 01 02000 01 0000 110</t>
  </si>
  <si>
    <t>Налог на доходы физических лиц</t>
  </si>
  <si>
    <t xml:space="preserve">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</si>
  <si>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Налогового Кодекса Российской Федерации</t>
  </si>
  <si>
    <t xml:space="preserve">  1 01 02020 01 0000 110</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</si>
  <si>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</si>
  <si>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 xml:space="preserve">  1 01 02030 01 0000 110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</si>
  <si>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</si>
  <si>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 xml:space="preserve">  1 0102040 01 1000 110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</si>
  <si>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t>
  </si>
  <si>
    <t xml:space="preserve"> 1 03 00000 00 0000 000</t>
  </si>
  <si>
    <t xml:space="preserve"> Налоги на товары ( работы, услуги), реализуемые на территории Российской Федерации</t>
  </si>
  <si>
    <t xml:space="preserve"> 1 03 02000 01 0000 110</t>
  </si>
  <si>
    <t>Акцизы по подакцизным товарам ( продукции), производимым на территории Российской Федерации</t>
  </si>
  <si>
    <t xml:space="preserve"> 1 03 02230 01 0000 110</t>
  </si>
  <si>
    <t xml:space="preserve">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</si>
  <si>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</si>
  <si>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</si>
  <si>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</si>
  <si>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</si>
  <si>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</si>
  <si>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1 05 00000 00 0000 000</t>
  </si>
  <si>
    <t>НАЛОГИ НА СОВОКУПНЫЙ ДОХОД</t>
  </si>
  <si>
    <t xml:space="preserve">  1 05 02000 02 0000 110</t>
  </si>
  <si>
    <t>Единый  налог на  вмененный  доход для  отдельных видов  деятельности</t>
  </si>
  <si>
    <t xml:space="preserve">  1 05 02010 02 0000 110</t>
  </si>
  <si>
    <t xml:space="preserve">  1 05 02020 02 0000 110</t>
  </si>
  <si>
    <t>Единый  налог на  вмененный  доход для  отдельных видов  деятельности (за налоговые периоды, истекшие до 1 января 2011 года)</t>
  </si>
  <si>
    <t xml:space="preserve">  1 05 03000 01 0000 110</t>
  </si>
  <si>
    <t>Единый сельскохозяйственный налог</t>
  </si>
  <si>
    <t>1 05 03010 01 0000 110</t>
  </si>
  <si>
    <t>Налог, взимаемый в связи с применением патентной системы налогообложения</t>
  </si>
  <si>
    <t>1 05 04020 02 0000 110</t>
  </si>
  <si>
    <t>Налог, взимаемый в связи с применением патентной системы налогообложения, зачисляемый в бюджеты муниципальных районов</t>
  </si>
  <si>
    <t>1 08 00000 00 0000 000</t>
  </si>
  <si>
    <t>ГОСУДАРСТВЕННАЯ ПОШЛИНА,  СБОРЫ</t>
  </si>
  <si>
    <t xml:space="preserve"> 1 08 03000 01 0000 110</t>
  </si>
  <si>
    <t>Государственная пошлина  по делам,  рассматриваемым в судах  общей  юрисдикции, мировыми судьями</t>
  </si>
  <si>
    <t xml:space="preserve">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</si>
  <si>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</si>
  <si>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1 11 00000 00 0000 000</t>
  </si>
  <si>
    <t>ДОХОДЫ ОТ ИСПОЛЬЗОВАНИЯ  ИМУЩЕСТВА  НАХОДЯЩЕГОСЯ В ГОСУДАРСТВЕННОЙ И  МУНИЦИПАЛЬНОЙ СОБСТВЕННОСТИ</t>
  </si>
  <si>
    <t>1 11 05000 00 0000 120</t>
  </si>
  <si>
    <t xml:space="preserve">Доходы, получаемые  в виде арендной либо  иной платы за передачу  в возмездное  пользование  государственного  и муниципального   имущества ( за исключением  имущества автономных учреждений, а  также  имущества государственных  и муниципальных  унитарных  предприятий, в том числе казенных)  </t>
  </si>
  <si>
    <t xml:space="preserve">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</si>
  <si>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</si>
  <si>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  1 11 05013 10 0000 120</t>
  </si>
  <si>
    <r>
      <t xml:space="preserve">Доходы,  получаемые  в виде  арендной платы за  земельные  участки,  государственная  собственность  на  которые  не разграничена  и которые  расположенны в  </t>
    </r>
    <r>
      <rPr>
        <b/>
        <sz val="9"/>
        <rFont val="Arial"/>
        <family val="2"/>
        <charset val="204"/>
      </rPr>
      <t>границах поселений</t>
    </r>
    <r>
      <rPr>
        <sz val="9"/>
        <rFont val="Arial"/>
        <family val="2"/>
        <charset val="204"/>
      </rPr>
      <t>,  а также средства от продажи  права на  заключение  договоров  аренды  указанных земельных  участков</t>
    </r>
  </si>
  <si>
    <r>
      <t>Доходы,  получаемые  в виде  арендной платы за  земельные  участки,  государственная  собственность  на  которые  не разграничена  и которые  расположенны в  границах</t>
    </r>
    <r>
      <rPr>
        <b/>
        <sz val="9"/>
        <rFont val="Arial"/>
        <family val="2"/>
        <charset val="204"/>
      </rPr>
      <t xml:space="preserve"> сельских</t>
    </r>
    <r>
      <rPr>
        <sz val="9"/>
        <rFont val="Arial"/>
        <family val="2"/>
        <charset val="204"/>
      </rPr>
      <t xml:space="preserve"> поселений,  а также средства от продажи  права на  заключение  договоров  аренды  указанных земельных  участков</t>
    </r>
  </si>
  <si>
    <t>1 11 05013 13 0000 120</t>
  </si>
  <si>
    <r>
      <t>Доходы,  получаемые  в виде  арендной платы за  земельные  участки,  государственная  собственность  на  которые  не разграничена  и которые  расположенны в  г</t>
    </r>
    <r>
      <rPr>
        <b/>
        <sz val="9"/>
        <rFont val="Arial"/>
        <family val="2"/>
        <charset val="204"/>
      </rPr>
      <t>раницах  городских поселений</t>
    </r>
    <r>
      <rPr>
        <sz val="9"/>
        <rFont val="Arial"/>
        <family val="2"/>
        <charset val="204"/>
      </rPr>
      <t>,  а также средства от продажи  права на  заключение  договоров  аренды  указанных земельных  участков</t>
    </r>
  </si>
  <si>
    <t>1 11 05030 00 0000 120</t>
  </si>
  <si>
    <t xml:space="preserve">Доходы от сдачи  в аренду  имущества, находяшегося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 за исключением  имущества бюджетных и  автономных учреждений) </t>
  </si>
  <si>
    <t>Доходы от сдачи  в аренду имущества,  находящегося в оперативном управлении органов управления муниципальных районов и созданных  ими  учреждений ( за  исключением имущества  муниципальных бюджетных и   автономных учреждений)</t>
  </si>
  <si>
    <t>1 11 09000 00 0000 120</t>
  </si>
  <si>
    <t>Прочие доходы  от использования  имущества и прав ,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</si>
  <si>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</si>
  <si>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</si>
  <si>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</si>
  <si>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</si>
  <si>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1 12 00000 00 0000 000</t>
  </si>
  <si>
    <t xml:space="preserve">ПЛАТЕЖИ ПРИ ПОЛЬЗОВАНИИ ПРИРОДНЫМИ РЕСУРСАМИ </t>
  </si>
  <si>
    <t xml:space="preserve">  1 12 01000 01 0000 120</t>
  </si>
  <si>
    <t>Плата за  негативное  воздействие  на окружающую среду</t>
  </si>
  <si>
    <t xml:space="preserve">  1 12 01010 01 0000 120</t>
  </si>
  <si>
    <t xml:space="preserve">  1 12 01020 01 0000 120</t>
  </si>
  <si>
    <t>Плата за выбросы загрязняющих веществ передвижными объектами</t>
  </si>
  <si>
    <t xml:space="preserve">  1 12 01030 01 0000 120</t>
  </si>
  <si>
    <t xml:space="preserve">  1 12 01040 01 0000 120</t>
  </si>
  <si>
    <t>Плата за иные виды негативного воздействия на окружающую среду</t>
  </si>
  <si>
    <t>1 13 00000 00 0000 000</t>
  </si>
  <si>
    <t>ДОХОДЫ ОТ ОКАЗАНИЯ ПЛАТНЫХ УСЛУГ (РАБОТ) И КОМПЕНСАЦИИ ЗАТРАТ ГОСУДАРСТВА</t>
  </si>
  <si>
    <t>1 13 02000 00 0000 130</t>
  </si>
  <si>
    <t>Доходы от   компенсации затрат  государства</t>
  </si>
  <si>
    <t>1 13 02990 00 0000 130</t>
  </si>
  <si>
    <t>Прочие  доходы от   компенсации затрат  государства</t>
  </si>
  <si>
    <t xml:space="preserve">  1 13 02995 05 0000 130</t>
  </si>
  <si>
    <t>1 14 00000 00 0000 000</t>
  </si>
  <si>
    <t>ДОХОДЫ ОТ ПРОДАЖИ  МАТЕРИАЛЬНЫХ И НЕМАТЕРИАЛЬНЫХ  АКТИВОВ</t>
  </si>
  <si>
    <t>1 14 06000 00 0000 430</t>
  </si>
  <si>
    <t>Доходы от продажи земельных участков, находящихся  в государственной  и муниципальной собственности ( за исключением  земельных участков  автономных  учреждений, а  также  земельных  участков государственных и муниципальных  предпрятий, в том  числе казенных)</t>
  </si>
  <si>
    <t xml:space="preserve">  1 14 06010 00 0000 430</t>
  </si>
  <si>
    <t>Доходы  от продажи  земельных участков,  государственная  собственность  на которые  не разграничена</t>
  </si>
  <si>
    <t xml:space="preserve">  1 14 06013 10 0000 430</t>
  </si>
  <si>
    <r>
      <t>Доходы  от продажи  земельных участков,  государственная  собственность  на которые  не разграничена и которые  расположены  в г</t>
    </r>
    <r>
      <rPr>
        <b/>
        <sz val="9"/>
        <rFont val="Arial"/>
        <family val="2"/>
        <charset val="204"/>
      </rPr>
      <t>раницах поселений</t>
    </r>
  </si>
  <si>
    <r>
      <t xml:space="preserve">Доходы  от продажи  земельных участков,  государственная  собственность  на которые  не разграничена и которые  расположены  в </t>
    </r>
    <r>
      <rPr>
        <b/>
        <sz val="9"/>
        <rFont val="Arial"/>
        <family val="2"/>
        <charset val="204"/>
      </rPr>
      <t>границах сельских поселений</t>
    </r>
  </si>
  <si>
    <t xml:space="preserve">  1 14 06013 13 0000 430</t>
  </si>
  <si>
    <r>
      <t xml:space="preserve">Доходы  от продажи  земельных участков,  государственная  собственность  на которые  не разграничена и которые  расположены  в </t>
    </r>
    <r>
      <rPr>
        <b/>
        <sz val="9"/>
        <rFont val="Arial"/>
        <family val="2"/>
        <charset val="204"/>
      </rPr>
      <t>границах городских поселений</t>
    </r>
  </si>
  <si>
    <t>1 16 00000 00 0000 000</t>
  </si>
  <si>
    <t>ШТРАФЫ. САНКЦИИ. ВОЗМЕЩЕНИЕ УЩЕРБА</t>
  </si>
  <si>
    <t>1 16 03000 00 0000 140</t>
  </si>
  <si>
    <t>Денежные взыскания (штрафы) за нарушение  законодательства о налогах и сборах</t>
  </si>
  <si>
    <t xml:space="preserve">  1 16 03010 01 0000 140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</si>
  <si>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128,129, 129.1, 132, 133,134, 135, 135.1   Налогового кодекса  Российской  Федерации</t>
  </si>
  <si>
    <t>Денежные взыскания (штрафы) за нарушение  законодательства  о применении  контрольно- кассовой  техники при осуществлении  наличных денежных расчетов  и (или)  расчетов  с использованием  платежных карт</t>
  </si>
  <si>
    <t>1 16 25000 01 0000 140</t>
  </si>
  <si>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</si>
  <si>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 xml:space="preserve">  1 16 25060 01 0000 140</t>
  </si>
  <si>
    <t>Денежные взыскания (штрафы) за нарушение земельного законодательства</t>
  </si>
  <si>
    <t xml:space="preserve">  1 16 28000 00 0000 140</t>
  </si>
  <si>
    <t>Денежные взыскания  (штрафы) за нарушение законодательства  в области  обеспечения  санитарно- эпидемиологического  благополучия  человека  и законодательства  в сфере  защиты  прав потребителей</t>
  </si>
  <si>
    <t xml:space="preserve">   1 16 43000 01 0000 140</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</si>
  <si>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РФ об административных правонарушениях  </t>
  </si>
  <si>
    <t>1 16 900 00 00 0000 140</t>
  </si>
  <si>
    <t>Прочие  поступления  от денежных  взысканий  (штрафов) и иных сумм в возмещение  ущерба</t>
  </si>
  <si>
    <t>1 16 900 05 00 0000 140</t>
  </si>
  <si>
    <t>Прочие  поступления  от денежных  взысканий  (штрафов) и иных сумм в возмещение  ущерба, зачисляемые в бюджеты муниципальных районов</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</si>
  <si>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</si>
  <si>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</si>
  <si>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</si>
  <si>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</si>
  <si>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2 02 01000 00 0000 151</t>
  </si>
  <si>
    <t>Дотации бюджетам субъектов Российской Федерации и муниципальных образований</t>
  </si>
  <si>
    <t>2 02 01001 00 0000 151</t>
  </si>
  <si>
    <t>2 02 01003 00 0000 151</t>
  </si>
  <si>
    <t>Дотации бюджетам на поддержку мер по обеспечению сбалансированности бюджетов</t>
  </si>
  <si>
    <t>2 02 02000 00 0000 151</t>
  </si>
  <si>
    <t>Субсидии бюджетам бюджетной системы Российской Федерации (межбюджетные субсидии)</t>
  </si>
  <si>
    <t>2 02 02008 00 0000 151</t>
  </si>
  <si>
    <t>Субсидии бюджетам на обеспечение жильем молодых семей</t>
  </si>
  <si>
    <t>Субсидии бюджетам муниципальных районов на обеспечение жильем молодых семей</t>
  </si>
  <si>
    <t>2 02 02051 00 0000 151</t>
  </si>
  <si>
    <t>Субсидии бюджетам на реализацию федеральных целевых программ</t>
  </si>
  <si>
    <t>2 02 02077 00 0000 151</t>
  </si>
  <si>
    <t xml:space="preserve">Субсидии бюджетам на софинансирование капитальных вложений в объекты государственной (муниципальной) собственности </t>
  </si>
  <si>
    <t xml:space="preserve">Субсидии бюджетам муниципальных районов на софинансирование капитальных вложений в объекты муниципальной собственности </t>
  </si>
  <si>
    <t xml:space="preserve"> - пристройка к МОУ СОШ №2 п.Клетня</t>
  </si>
  <si>
    <t xml:space="preserve"> - строительство систем газоснабжения для населенных пунктов Брянской области</t>
  </si>
  <si>
    <t xml:space="preserve"> - реализация мероприятий федеральной целевой программы "Устойчивое развитие сельских территорий на 2014 - 2017 годы и на период до 2020 года" </t>
  </si>
  <si>
    <t>2 02 02999 00 0000 151</t>
  </si>
  <si>
    <t>Прочие субсидии</t>
  </si>
  <si>
    <t xml:space="preserve"> - дополнительные меры государственной поддержки обучающихся</t>
  </si>
  <si>
    <t xml:space="preserve"> - мероприятия по проведению оздоровительной кампании детей</t>
  </si>
  <si>
    <t>2 02 03000 00 0000 151</t>
  </si>
  <si>
    <t>Субвенции бюджетам субъектов Российской Федерации и муниципальных образований</t>
  </si>
  <si>
    <t>2 02 03007 00 0000 151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</si>
  <si>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</si>
  <si>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</si>
  <si>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2 02 03015 00 0000 151</t>
  </si>
  <si>
    <t>Субвенции бюджетам на осуществление первичного воинского учета на территориях, где отсутствуют военные комиссариаты</t>
  </si>
  <si>
    <t>2 02 03020 00 0000 151</t>
  </si>
  <si>
    <t>Субвенции бюджетам на выплату единовременного пособия при всех формах устройства детей, лишенных родительского попечения, в семью</t>
  </si>
  <si>
    <t>2 02 03024 00 0000 151</t>
  </si>
  <si>
    <t>Субвенции местным бюджетам на выполнение передаваемых полномочий субъектов Российской Федерации</t>
  </si>
  <si>
    <t xml:space="preserve"> - субвенции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t>
  </si>
  <si>
    <t xml:space="preserve"> - субвенции бюджетам муниципальных районов на поддержку мер по обеспечению сбалансированности бюджетов поселений</t>
  </si>
  <si>
    <t xml:space="preserve"> - субвенции бюджетам муниципальных районов на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t>
  </si>
  <si>
    <t>было</t>
  </si>
  <si>
    <t xml:space="preserve"> - субвенции бюджетам муниципальных районов на финансовое обеспечение получения дошкольного образования в дошкольных образовательных организациях </t>
  </si>
  <si>
    <t xml:space="preserve"> - субвенции бюджетам муниципальных районов, на 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  </t>
  </si>
  <si>
    <t xml:space="preserve"> - субвенции бюджетам муниципальных районов на предоставление мер социальной поддержки работникам образовательных организаций, работающим в сельских населенных пунктах и поселках городского типа на территории Брянской области    </t>
  </si>
  <si>
    <t xml:space="preserve"> - субвенции бюджетам муниципальных районов на осуществление отдельных государственных полномочий Брянской области по проведению Всероссийской сельскохозяйственной переписи в 2016 году  </t>
  </si>
  <si>
    <t xml:space="preserve"> - субвенции бюджетам муниципальных районов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t>
  </si>
  <si>
    <t xml:space="preserve"> - 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t>
  </si>
  <si>
    <t xml:space="preserve"> - субвенции бюджетам муниципальных районов на обеспечение  сохранности жилых помещений, закрепленных за детьми-сиротами и детьми, оставшимися без попечения родителей</t>
  </si>
  <si>
    <t xml:space="preserve"> - субвенции бюджетам муниципальных районов  на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организаций </t>
  </si>
  <si>
    <t xml:space="preserve"> - субвенции бюджетам муниципальных районов  на финансовое обеспечение деятельности муниципальных общеобразовательных организаций,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t>
  </si>
  <si>
    <t xml:space="preserve"> - субвенции бюджетам муниципальных районов на организацию и осуществление деятельности по опеке и попечительству, выплату ежемесячных денежных средств на содержание и проезд ребенка, переданного на воспитание в семью опекуна (попечителя), приемную семью, вознаграждение приемным родителям</t>
  </si>
  <si>
    <t xml:space="preserve"> -  субвенции бюджетам муниципальных районов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</si>
  <si>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2 02 03029 00 0000 151</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</si>
  <si>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</si>
  <si>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</si>
  <si>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2 02 03119 00 0000 151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</si>
  <si>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</si>
  <si>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</si>
  <si>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2 02 04000 00 0000 151</t>
  </si>
  <si>
    <t>2 02 04014 00 0000 151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</si>
  <si>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</si>
  <si>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2 02 04041 00 0000 151</t>
  </si>
  <si>
    <t>Межбюджетные трансферты,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</si>
  <si>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2 02 04041 05 0000 151</t>
  </si>
  <si>
    <t>Межбюджетные трансферты, передаваемые бюджетам муниципальных районов,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</si>
  <si>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2 02 04061 00 0000 151</t>
  </si>
  <si>
    <t>Межбюджетные трансферты, передаваемые бюджетам на создание и развитие сети многофункциональных центров предоставления государственных и муниципальных услуг</t>
  </si>
  <si>
    <t>2 02 04061 05 0000 151</t>
  </si>
  <si>
    <t>Межбюджетные трансферты,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t>
  </si>
  <si>
    <t>2 02 04999 00 0000 151</t>
  </si>
  <si>
    <t>Прочие межбюджетные трансферты, передаваемые бюджетам</t>
  </si>
  <si>
    <t>Всего доходов</t>
  </si>
  <si>
    <t>Прогнозируемые доходы бюджета муниципального образования "Клетнянский муниципальный район" на 2015 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</si>
</sst>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
    <numFmt numFmtId="165" formatCode="#,##0.00_ ;[Red]\-#,##0.00\ "/>
    <numFmt numFmtId="166" formatCode="#,##0_ ;[Red]\-#,##0\ "/>
    <numFmt numFmtId="167" formatCode="0.000"/>
    <numFmt numFmtId="168" formatCode="0.0"/>
  </numFmts>
  <fonts count="43" x14ac:knownFonts="1">
    <font>
      <sz val="11"/>
      <color theme="1"/>
      <name val="Calibri"/>
      <family val="2"/>
      <scheme val="minor"/>
    </font>
    <font>
      <sz val="9"/>
      <name val="Arial"/>
      <family val="2"/>
      <charset val="204"/>
    </font>
    <font>
      <sz val="9"/>
      <color theme="1"/>
      <name val="Arial"/>
      <family val="2"/>
      <charset val="204"/>
    </font>
    <font>
      <sz val="9"/>
      <color rgb="FF000000"/>
      <name val="Arial"/>
      <family val="2"/>
      <charset val="204"/>
    </font>
    <font>
      <sz val="9"/>
      <color rgb="FFFF0000"/>
      <name val="Arial"/>
      <family val="2"/>
      <charset val="204"/>
    </font>
    <font>
      <b/>
      <u/>
      <sz val="9"/>
      <name val="Arial"/>
      <family val="2"/>
      <charset val="204"/>
    </font>
    <font>
      <b/>
      <sz val="9"/>
      <name val="Arial"/>
      <family val="2"/>
      <charset val="204"/>
    </font>
    <font>
      <b/>
      <i/>
      <sz val="9"/>
      <name val="Arial"/>
      <family val="2"/>
      <charset val="204"/>
    </font>
    <font>
      <sz val="9"/>
      <color rgb="FFFF5050"/>
      <name val="Arial"/>
      <family val="2"/>
      <charset val="204"/>
    </font>
    <font>
      <b/>
      <sz val="9"/>
      <color theme="1"/>
      <name val="Arial"/>
      <family val="2"/>
      <charset val="204"/>
    </font>
    <font>
      <sz val="9"/>
      <color theme="0"/>
      <name val="Arial"/>
      <family val="2"/>
      <charset val="204"/>
    </font>
    <font>
      <sz val="10"/>
      <name val="Times New Roman Cyr"/>
      <charset val="204"/>
    </font>
    <font>
      <u/>
      <sz val="10"/>
      <name val="Arial"/>
      <family val="2"/>
      <charset val="204"/>
    </font>
    <font>
      <sz val="10"/>
      <name val="Arial"/>
      <family val="2"/>
      <charset val="204"/>
    </font>
    <font>
      <sz val="8"/>
      <name val="Arial"/>
      <family val="2"/>
      <charset val="204"/>
    </font>
    <font>
      <i/>
      <sz val="8"/>
      <name val="Arial"/>
      <family val="2"/>
      <charset val="204"/>
    </font>
    <font>
      <b/>
      <sz val="12"/>
      <name val="Arial"/>
      <family val="2"/>
      <charset val="204"/>
    </font>
    <font>
      <sz val="12"/>
      <name val="Arial"/>
      <family val="2"/>
      <charset val="204"/>
    </font>
    <font>
      <b/>
      <sz val="12"/>
      <color indexed="59"/>
      <name val="Arial"/>
      <family val="2"/>
      <charset val="204"/>
    </font>
    <font>
      <b/>
      <sz val="10"/>
      <name val="Arial"/>
      <family val="2"/>
      <charset val="204"/>
    </font>
    <font>
      <b/>
      <u/>
      <sz val="9"/>
      <color rgb="FF000000"/>
      <name val="Arial"/>
      <family val="2"/>
      <charset val="204"/>
    </font>
    <font>
      <sz val="7"/>
      <color theme="1"/>
      <name val="Arial"/>
      <family val="2"/>
      <charset val="204"/>
    </font>
    <font>
      <b/>
      <u/>
      <sz val="12"/>
      <name val="Arial"/>
      <family val="2"/>
      <charset val="204"/>
    </font>
    <font>
      <b/>
      <sz val="11"/>
      <name val="Arial"/>
      <family val="2"/>
      <charset val="204"/>
    </font>
    <font>
      <sz val="10"/>
      <color theme="1"/>
      <name val="Arial"/>
      <family val="2"/>
      <charset val="204"/>
    </font>
    <font>
      <u/>
      <sz val="11"/>
      <color theme="10"/>
      <name val="Calibri"/>
      <family val="2"/>
      <scheme val="minor"/>
    </font>
    <font>
      <sz val="11"/>
      <color theme="1"/>
      <name val="Arial"/>
      <family val="2"/>
      <charset val="204"/>
    </font>
    <font>
      <sz val="12"/>
      <color theme="1"/>
      <name val="Arial"/>
      <family val="2"/>
      <charset val="204"/>
    </font>
    <font>
      <b/>
      <sz val="10"/>
      <color theme="1"/>
      <name val="Arial"/>
      <family val="2"/>
      <charset val="204"/>
    </font>
    <font>
      <sz val="14"/>
      <color theme="1"/>
      <name val="Times New Roman"/>
      <family val="1"/>
      <charset val="204"/>
    </font>
    <font>
      <sz val="10"/>
      <color indexed="10"/>
      <name val="Arial"/>
      <family val="2"/>
      <charset val="204"/>
    </font>
    <font>
      <sz val="8"/>
      <name val="Arial Cyr"/>
      <charset val="204"/>
    </font>
    <font>
      <sz val="9"/>
      <name val="Arial Cyr"/>
      <charset val="204"/>
    </font>
    <font>
      <sz val="10"/>
      <color indexed="12"/>
      <name val="Arial"/>
      <family val="2"/>
      <charset val="204"/>
    </font>
    <font>
      <b/>
      <sz val="11"/>
      <color theme="1"/>
      <name val="Calibri"/>
      <family val="2"/>
      <scheme val="minor"/>
    </font>
    <font>
      <sz val="9"/>
      <color theme="1"/>
      <name val="Calibri"/>
      <family val="2"/>
      <scheme val="minor"/>
    </font>
    <font>
      <b/>
      <sz val="9"/>
      <color rgb="FFFF5050"/>
      <name val="Arial"/>
      <family val="2"/>
      <charset val="204"/>
    </font>
    <font>
      <u/>
      <sz val="9"/>
      <name val="Arial"/>
      <family val="2"/>
      <charset val="204"/>
    </font>
    <font>
      <sz val="11"/>
      <name val="Arial"/>
      <family val="2"/>
      <charset val="204"/>
    </font>
    <font>
      <b/>
      <sz val="11"/>
      <color indexed="59"/>
      <name val="Arial"/>
      <family val="2"/>
      <charset val="204"/>
    </font>
    <font>
      <sz val="11"/>
      <color rgb="FFFF0000"/>
      <name val="Arial"/>
      <family val="2"/>
      <charset val="204"/>
    </font>
    <font>
      <b/>
      <sz val="10"/>
      <color indexed="59"/>
      <name val="Arial"/>
      <family val="2"/>
      <charset val="204"/>
    </font>
    <font>
      <sz val="9"/>
      <color rgb="FF0033CC"/>
      <name val="Arial"/>
      <family val="2"/>
      <charset val="204"/>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FFCCFF"/>
        <bgColor indexed="64"/>
      </patternFill>
    </fill>
    <fill>
      <patternFill patternType="solid">
        <fgColor rgb="FFCCFFFF"/>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3">
    <xf numFmtId="0" fontId="0" fillId="0" borderId="0"/>
    <xf numFmtId="0" fontId="11" fillId="0" borderId="0"/>
    <xf numFmtId="0" fontId="25" fillId="0" borderId="0" applyNumberFormat="0" applyFill="0" applyBorder="0" applyAlignment="0" applyProtection="0"/>
  </cellStyleXfs>
  <cellXfs count="601">
    <xf numFmtId="0" fontId="0" fillId="0" borderId="0" xfId="0"/>
    <xf numFmtId="49" fontId="1" fillId="0" borderId="1" xfId="0" applyNumberFormat="1" applyFont="1" applyFill="1" applyBorder="1" applyAlignment="1">
      <alignment horizontal="center" vertical="top"/>
    </xf>
    <xf numFmtId="4" fontId="1" fillId="0" borderId="1" xfId="0" applyNumberFormat="1" applyFont="1" applyFill="1" applyBorder="1" applyAlignment="1">
      <alignment vertical="top"/>
    </xf>
    <xf numFmtId="0" fontId="2" fillId="0" borderId="0" xfId="0" applyFont="1"/>
    <xf numFmtId="0" fontId="1" fillId="0" borderId="4" xfId="0" applyFont="1" applyFill="1" applyBorder="1" applyAlignment="1">
      <alignment vertical="top"/>
    </xf>
    <xf numFmtId="0" fontId="1" fillId="0" borderId="4" xfId="0" applyFont="1" applyFill="1" applyBorder="1" applyAlignment="1">
      <alignment horizontal="center" vertical="top"/>
    </xf>
    <xf numFmtId="0" fontId="1" fillId="0" borderId="0" xfId="0" applyFont="1" applyFill="1" applyAlignment="1">
      <alignment vertical="top"/>
    </xf>
    <xf numFmtId="49" fontId="5" fillId="0" borderId="1" xfId="0" applyNumberFormat="1" applyFont="1" applyFill="1" applyBorder="1" applyAlignment="1">
      <alignment horizontal="center" vertical="top"/>
    </xf>
    <xf numFmtId="4" fontId="5" fillId="0" borderId="1" xfId="0" applyNumberFormat="1" applyFont="1" applyFill="1" applyBorder="1" applyAlignment="1">
      <alignment vertical="top"/>
    </xf>
    <xf numFmtId="4" fontId="1" fillId="0" borderId="0" xfId="0" applyNumberFormat="1" applyFont="1" applyFill="1" applyAlignment="1">
      <alignment vertical="top"/>
    </xf>
    <xf numFmtId="0" fontId="5" fillId="0" borderId="0" xfId="0" applyFont="1" applyFill="1" applyAlignment="1">
      <alignment vertical="top"/>
    </xf>
    <xf numFmtId="49" fontId="6" fillId="0" borderId="1" xfId="0" applyNumberFormat="1" applyFont="1" applyFill="1" applyBorder="1" applyAlignment="1">
      <alignment horizontal="center" vertical="top"/>
    </xf>
    <xf numFmtId="4" fontId="6" fillId="0" borderId="1" xfId="0" applyNumberFormat="1" applyFont="1" applyFill="1" applyBorder="1" applyAlignment="1">
      <alignment vertical="top"/>
    </xf>
    <xf numFmtId="0" fontId="6" fillId="0" borderId="0" xfId="0" applyFont="1" applyFill="1" applyAlignment="1">
      <alignment vertical="top"/>
    </xf>
    <xf numFmtId="4" fontId="6" fillId="0" borderId="0" xfId="0" applyNumberFormat="1" applyFont="1" applyFill="1" applyAlignment="1">
      <alignment vertical="top"/>
    </xf>
    <xf numFmtId="0" fontId="1" fillId="0" borderId="1" xfId="0" applyFont="1" applyFill="1" applyBorder="1" applyAlignment="1">
      <alignment vertical="top"/>
    </xf>
    <xf numFmtId="0" fontId="6" fillId="0" borderId="1" xfId="0" applyFont="1" applyFill="1" applyBorder="1" applyAlignment="1">
      <alignment horizontal="center" vertical="top" wrapText="1"/>
    </xf>
    <xf numFmtId="0" fontId="3" fillId="0" borderId="1" xfId="0" applyFont="1" applyFill="1" applyBorder="1" applyAlignment="1">
      <alignment horizontal="left" vertical="center" wrapText="1"/>
    </xf>
    <xf numFmtId="49" fontId="1" fillId="0" borderId="1" xfId="0" applyNumberFormat="1" applyFont="1" applyFill="1" applyBorder="1" applyAlignment="1">
      <alignment horizontal="center" vertical="top" wrapText="1"/>
    </xf>
    <xf numFmtId="0" fontId="4" fillId="0" borderId="1" xfId="0" applyFont="1" applyFill="1" applyBorder="1" applyAlignment="1">
      <alignment vertical="top"/>
    </xf>
    <xf numFmtId="49" fontId="6" fillId="0" borderId="1" xfId="0" applyNumberFormat="1" applyFont="1" applyFill="1" applyBorder="1" applyAlignment="1">
      <alignment horizontal="center" vertical="top" wrapText="1"/>
    </xf>
    <xf numFmtId="4" fontId="1" fillId="0" borderId="1" xfId="0" applyNumberFormat="1" applyFont="1" applyFill="1" applyBorder="1" applyAlignment="1">
      <alignment vertical="top" wrapText="1"/>
    </xf>
    <xf numFmtId="4" fontId="6" fillId="0" borderId="1" xfId="0" applyNumberFormat="1" applyFont="1" applyFill="1" applyBorder="1" applyAlignment="1">
      <alignment horizontal="right" vertical="top"/>
    </xf>
    <xf numFmtId="0" fontId="1" fillId="0" borderId="0" xfId="0" applyFont="1" applyFill="1" applyAlignment="1">
      <alignment vertical="top" wrapText="1"/>
    </xf>
    <xf numFmtId="0" fontId="7" fillId="0" borderId="0" xfId="0" applyFont="1" applyFill="1" applyAlignment="1">
      <alignment vertical="top"/>
    </xf>
    <xf numFmtId="0" fontId="6" fillId="0" borderId="8" xfId="0" applyFont="1" applyFill="1" applyBorder="1" applyAlignment="1">
      <alignment horizontal="left" vertical="top" wrapText="1"/>
    </xf>
    <xf numFmtId="0" fontId="1" fillId="0" borderId="8" xfId="0" applyFont="1" applyFill="1" applyBorder="1" applyAlignment="1">
      <alignment horizontal="center" vertical="top" wrapText="1"/>
    </xf>
    <xf numFmtId="49" fontId="1" fillId="0" borderId="8" xfId="0" applyNumberFormat="1" applyFont="1" applyFill="1" applyBorder="1" applyAlignment="1">
      <alignment horizontal="center" vertical="top"/>
    </xf>
    <xf numFmtId="0" fontId="1" fillId="0" borderId="3" xfId="0" applyFont="1" applyFill="1" applyBorder="1" applyAlignment="1">
      <alignment horizontal="center" vertical="top"/>
    </xf>
    <xf numFmtId="0" fontId="5" fillId="0" borderId="6" xfId="0" applyFont="1" applyFill="1" applyBorder="1" applyAlignment="1">
      <alignment horizontal="left" vertical="top" wrapText="1"/>
    </xf>
    <xf numFmtId="0" fontId="6" fillId="0" borderId="6" xfId="0" applyFont="1" applyFill="1" applyBorder="1" applyAlignment="1">
      <alignment vertical="top" wrapText="1"/>
    </xf>
    <xf numFmtId="0" fontId="6" fillId="0" borderId="0" xfId="0" applyFont="1" applyFill="1" applyBorder="1" applyAlignment="1">
      <alignment vertical="top"/>
    </xf>
    <xf numFmtId="0" fontId="2" fillId="0" borderId="1" xfId="0" applyFont="1" applyFill="1" applyBorder="1" applyAlignment="1">
      <alignment vertical="top" wrapText="1"/>
    </xf>
    <xf numFmtId="0" fontId="2" fillId="0" borderId="0" xfId="0" applyFont="1" applyFill="1" applyAlignment="1">
      <alignment vertical="top" wrapText="1"/>
    </xf>
    <xf numFmtId="49" fontId="5" fillId="0" borderId="1" xfId="0" applyNumberFormat="1" applyFont="1" applyFill="1" applyBorder="1" applyAlignment="1">
      <alignment horizontal="center" vertical="top" wrapText="1"/>
    </xf>
    <xf numFmtId="4" fontId="5" fillId="0" borderId="1" xfId="0" applyNumberFormat="1" applyFont="1" applyFill="1" applyBorder="1" applyAlignment="1">
      <alignment vertical="top" wrapText="1"/>
    </xf>
    <xf numFmtId="4" fontId="6" fillId="0" borderId="1" xfId="0" applyNumberFormat="1" applyFont="1" applyFill="1" applyBorder="1" applyAlignment="1">
      <alignment horizontal="right" vertical="top" wrapText="1"/>
    </xf>
    <xf numFmtId="4" fontId="1" fillId="0" borderId="1" xfId="0" applyNumberFormat="1" applyFont="1" applyFill="1" applyBorder="1" applyAlignment="1">
      <alignment horizontal="right" vertical="top" wrapText="1"/>
    </xf>
    <xf numFmtId="49" fontId="8" fillId="0" borderId="1" xfId="0" applyNumberFormat="1" applyFont="1" applyFill="1" applyBorder="1" applyAlignment="1">
      <alignment horizontal="center" vertical="top"/>
    </xf>
    <xf numFmtId="0" fontId="5" fillId="0" borderId="6" xfId="0" applyFont="1" applyFill="1" applyBorder="1" applyAlignment="1">
      <alignment horizontal="center" vertical="top"/>
    </xf>
    <xf numFmtId="0" fontId="1" fillId="0" borderId="6" xfId="0" applyFont="1" applyFill="1" applyBorder="1" applyAlignment="1">
      <alignment horizontal="left" vertical="top" wrapText="1"/>
    </xf>
    <xf numFmtId="0" fontId="1" fillId="0" borderId="6" xfId="0" applyFont="1" applyFill="1" applyBorder="1" applyAlignment="1">
      <alignment vertical="top" wrapText="1"/>
    </xf>
    <xf numFmtId="0" fontId="2" fillId="0" borderId="1" xfId="0" applyFont="1" applyBorder="1" applyAlignment="1">
      <alignment vertical="top" wrapText="1"/>
    </xf>
    <xf numFmtId="0" fontId="12" fillId="0" borderId="0" xfId="1" applyFont="1" applyFill="1"/>
    <xf numFmtId="0" fontId="13" fillId="0" borderId="0" xfId="1" applyFont="1" applyFill="1"/>
    <xf numFmtId="0" fontId="14" fillId="0" borderId="0" xfId="0" applyFont="1" applyAlignment="1">
      <alignment horizontal="left" vertical="top" wrapText="1"/>
    </xf>
    <xf numFmtId="0" fontId="13" fillId="0" borderId="0" xfId="0" applyFont="1"/>
    <xf numFmtId="49" fontId="14" fillId="0" borderId="0" xfId="0" applyNumberFormat="1" applyFont="1" applyFill="1" applyAlignment="1">
      <alignment horizontal="left" vertical="top" wrapText="1"/>
    </xf>
    <xf numFmtId="49" fontId="15" fillId="0" borderId="0" xfId="0" applyNumberFormat="1" applyFont="1" applyFill="1" applyAlignment="1">
      <alignment horizontal="left" vertical="top" wrapText="1"/>
    </xf>
    <xf numFmtId="0" fontId="17" fillId="0" borderId="0" xfId="1" applyFont="1" applyFill="1" applyBorder="1" applyAlignment="1">
      <alignment horizontal="center" wrapText="1"/>
    </xf>
    <xf numFmtId="0" fontId="13" fillId="0" borderId="0" xfId="1" applyFont="1" applyFill="1" applyAlignment="1">
      <alignment horizontal="center" vertical="top" wrapText="1"/>
    </xf>
    <xf numFmtId="0" fontId="13" fillId="0" borderId="0" xfId="0" applyFont="1" applyAlignment="1">
      <alignment horizontal="center" vertical="top" wrapText="1"/>
    </xf>
    <xf numFmtId="0" fontId="17" fillId="0" borderId="1" xfId="1" applyFont="1" applyFill="1" applyBorder="1" applyAlignment="1">
      <alignment horizontal="center"/>
    </xf>
    <xf numFmtId="0" fontId="17" fillId="0" borderId="1" xfId="1" applyFont="1" applyFill="1" applyBorder="1"/>
    <xf numFmtId="165" fontId="17" fillId="0" borderId="1" xfId="1" applyNumberFormat="1" applyFont="1" applyFill="1" applyBorder="1" applyAlignment="1">
      <alignment horizontal="center"/>
    </xf>
    <xf numFmtId="0" fontId="16" fillId="0" borderId="1" xfId="0" applyFont="1" applyBorder="1"/>
    <xf numFmtId="0" fontId="18" fillId="0" borderId="1" xfId="1" applyFont="1" applyFill="1" applyBorder="1" applyAlignment="1"/>
    <xf numFmtId="165" fontId="16" fillId="0" borderId="1" xfId="1" applyNumberFormat="1" applyFont="1" applyFill="1" applyBorder="1" applyAlignment="1">
      <alignment horizontal="center"/>
    </xf>
    <xf numFmtId="0" fontId="16" fillId="0" borderId="0" xfId="1" applyFont="1" applyFill="1"/>
    <xf numFmtId="0" fontId="16" fillId="0" borderId="0" xfId="0" applyFont="1"/>
    <xf numFmtId="0" fontId="12" fillId="0" borderId="0" xfId="1" applyFont="1" applyFill="1" applyAlignment="1">
      <alignment horizontal="center" vertical="center"/>
    </xf>
    <xf numFmtId="0" fontId="13" fillId="0" borderId="0" xfId="1" applyFont="1" applyFill="1" applyAlignment="1">
      <alignment horizontal="center" vertical="center"/>
    </xf>
    <xf numFmtId="0" fontId="13" fillId="0" borderId="0" xfId="0" applyFont="1" applyAlignment="1">
      <alignment horizontal="center" vertical="center"/>
    </xf>
    <xf numFmtId="0" fontId="1" fillId="0" borderId="1" xfId="0" applyFont="1" applyFill="1" applyBorder="1" applyAlignment="1">
      <alignment horizontal="center" vertical="top"/>
    </xf>
    <xf numFmtId="0" fontId="1" fillId="0" borderId="0" xfId="0" applyFont="1" applyFill="1" applyAlignment="1">
      <alignment horizontal="center" vertical="top"/>
    </xf>
    <xf numFmtId="4" fontId="2" fillId="0" borderId="1" xfId="0" applyNumberFormat="1" applyFont="1" applyFill="1" applyBorder="1" applyAlignment="1">
      <alignment vertical="top"/>
    </xf>
    <xf numFmtId="0" fontId="2" fillId="0" borderId="0" xfId="0" applyFont="1" applyFill="1" applyAlignment="1">
      <alignment vertical="top"/>
    </xf>
    <xf numFmtId="49" fontId="1" fillId="0" borderId="0" xfId="0" applyNumberFormat="1" applyFont="1" applyFill="1" applyAlignment="1">
      <alignment horizontal="center" vertical="top"/>
    </xf>
    <xf numFmtId="49" fontId="1" fillId="0" borderId="0" xfId="0" applyNumberFormat="1" applyFont="1" applyFill="1" applyAlignment="1">
      <alignment vertical="top"/>
    </xf>
    <xf numFmtId="0" fontId="2" fillId="0" borderId="1" xfId="0" applyFont="1" applyFill="1" applyBorder="1" applyAlignment="1">
      <alignment horizontal="center" vertical="top"/>
    </xf>
    <xf numFmtId="49" fontId="2" fillId="0" borderId="1" xfId="0" applyNumberFormat="1" applyFont="1" applyFill="1" applyBorder="1" applyAlignment="1">
      <alignment horizontal="center" vertical="top"/>
    </xf>
    <xf numFmtId="0" fontId="2" fillId="0" borderId="1" xfId="0" applyFont="1" applyFill="1" applyBorder="1" applyAlignment="1">
      <alignment vertical="top"/>
    </xf>
    <xf numFmtId="0" fontId="10" fillId="0" borderId="0" xfId="0" applyFont="1" applyFill="1" applyAlignment="1">
      <alignment vertical="top"/>
    </xf>
    <xf numFmtId="0" fontId="2" fillId="0" borderId="0" xfId="0" applyFont="1" applyFill="1" applyAlignment="1">
      <alignment horizontal="center" vertical="top"/>
    </xf>
    <xf numFmtId="4" fontId="1" fillId="0" borderId="0" xfId="0" applyNumberFormat="1" applyFont="1" applyFill="1" applyBorder="1" applyAlignment="1">
      <alignment vertical="top"/>
    </xf>
    <xf numFmtId="0" fontId="6" fillId="0" borderId="1" xfId="0" applyFont="1" applyFill="1" applyBorder="1" applyAlignment="1">
      <alignment horizontal="center" vertical="top"/>
    </xf>
    <xf numFmtId="0" fontId="2" fillId="0" borderId="1" xfId="0" applyFont="1" applyFill="1" applyBorder="1" applyAlignment="1">
      <alignment horizontal="center" vertical="top" wrapText="1"/>
    </xf>
    <xf numFmtId="0" fontId="13" fillId="0" borderId="1" xfId="1" applyFont="1" applyFill="1" applyBorder="1" applyAlignment="1">
      <alignment horizontal="center" vertical="top" wrapText="1"/>
    </xf>
    <xf numFmtId="0" fontId="17" fillId="0" borderId="1" xfId="1" applyFont="1" applyFill="1" applyBorder="1" applyAlignment="1">
      <alignment horizontal="center" vertical="center"/>
    </xf>
    <xf numFmtId="0" fontId="17" fillId="0" borderId="1" xfId="1" applyFont="1" applyFill="1" applyBorder="1" applyAlignment="1">
      <alignment vertical="center"/>
    </xf>
    <xf numFmtId="165" fontId="17" fillId="0" borderId="1" xfId="1" applyNumberFormat="1" applyFont="1" applyFill="1" applyBorder="1" applyAlignment="1">
      <alignment horizontal="center" vertical="center"/>
    </xf>
    <xf numFmtId="0" fontId="13" fillId="0" borderId="0" xfId="1" applyFont="1" applyFill="1" applyAlignment="1">
      <alignment vertical="center"/>
    </xf>
    <xf numFmtId="0" fontId="13" fillId="0" borderId="0" xfId="0" applyFont="1" applyAlignment="1">
      <alignment vertical="center"/>
    </xf>
    <xf numFmtId="0" fontId="16" fillId="0" borderId="1" xfId="0" applyFont="1" applyBorder="1" applyAlignment="1">
      <alignment vertical="center"/>
    </xf>
    <xf numFmtId="0" fontId="18" fillId="0" borderId="1" xfId="1" applyFont="1" applyFill="1" applyBorder="1" applyAlignment="1">
      <alignment vertical="center"/>
    </xf>
    <xf numFmtId="165" fontId="16" fillId="0" borderId="1" xfId="1" applyNumberFormat="1" applyFont="1" applyFill="1" applyBorder="1" applyAlignment="1">
      <alignment horizontal="center" vertical="center"/>
    </xf>
    <xf numFmtId="0" fontId="16" fillId="0" borderId="0" xfId="1" applyFont="1" applyFill="1" applyAlignment="1">
      <alignment vertical="center"/>
    </xf>
    <xf numFmtId="0" fontId="16" fillId="0" borderId="0" xfId="0" applyFont="1" applyAlignment="1">
      <alignment vertical="center"/>
    </xf>
    <xf numFmtId="0" fontId="13" fillId="0" borderId="0" xfId="1" applyFont="1" applyFill="1" applyAlignment="1">
      <alignment horizontal="right"/>
    </xf>
    <xf numFmtId="0" fontId="1" fillId="0" borderId="0" xfId="0" applyFont="1" applyFill="1" applyBorder="1" applyAlignment="1">
      <alignment vertical="top"/>
    </xf>
    <xf numFmtId="49" fontId="14" fillId="0" borderId="1" xfId="0" applyNumberFormat="1" applyFont="1" applyFill="1" applyBorder="1" applyAlignment="1">
      <alignment horizontal="center" vertical="top"/>
    </xf>
    <xf numFmtId="0" fontId="1" fillId="0" borderId="0" xfId="0" applyFont="1" applyFill="1" applyBorder="1" applyAlignment="1">
      <alignment horizontal="left" vertical="top" wrapText="1"/>
    </xf>
    <xf numFmtId="4" fontId="1" fillId="0" borderId="3" xfId="0" applyNumberFormat="1" applyFont="1" applyFill="1" applyBorder="1" applyAlignment="1">
      <alignment vertical="top"/>
    </xf>
    <xf numFmtId="49" fontId="13" fillId="0" borderId="1" xfId="0" applyNumberFormat="1" applyFont="1" applyFill="1" applyBorder="1" applyAlignment="1">
      <alignment horizontal="center" vertical="top" wrapText="1"/>
    </xf>
    <xf numFmtId="0" fontId="13" fillId="0" borderId="0" xfId="0" applyFont="1" applyFill="1" applyAlignment="1">
      <alignment vertical="top"/>
    </xf>
    <xf numFmtId="0" fontId="14" fillId="0" borderId="0" xfId="0" applyFont="1" applyFill="1" applyAlignment="1">
      <alignment vertical="top"/>
    </xf>
    <xf numFmtId="0" fontId="6" fillId="0" borderId="9" xfId="0" applyFont="1" applyFill="1" applyBorder="1" applyAlignment="1">
      <alignment vertical="top" wrapText="1"/>
    </xf>
    <xf numFmtId="4" fontId="5" fillId="0" borderId="1" xfId="0" applyNumberFormat="1" applyFont="1" applyFill="1" applyBorder="1" applyAlignment="1">
      <alignment horizontal="right" vertical="top" wrapText="1"/>
    </xf>
    <xf numFmtId="49" fontId="14" fillId="0" borderId="0" xfId="0" applyNumberFormat="1" applyFont="1" applyFill="1" applyAlignment="1">
      <alignment horizontal="left" vertical="top" wrapText="1"/>
    </xf>
    <xf numFmtId="49" fontId="1" fillId="0" borderId="3" xfId="0" applyNumberFormat="1" applyFont="1" applyFill="1" applyBorder="1" applyAlignment="1">
      <alignment horizontal="center" vertical="top"/>
    </xf>
    <xf numFmtId="49" fontId="1" fillId="0" borderId="3" xfId="0" applyNumberFormat="1" applyFont="1" applyFill="1" applyBorder="1" applyAlignment="1">
      <alignment horizontal="center" vertical="top" wrapText="1"/>
    </xf>
    <xf numFmtId="49" fontId="6" fillId="0" borderId="3" xfId="0" applyNumberFormat="1" applyFont="1" applyFill="1" applyBorder="1" applyAlignment="1">
      <alignment horizontal="center" vertical="top" wrapText="1"/>
    </xf>
    <xf numFmtId="0" fontId="3" fillId="0" borderId="1" xfId="0" applyFont="1" applyFill="1" applyBorder="1" applyAlignment="1">
      <alignment horizontal="center" vertical="top" wrapText="1"/>
    </xf>
    <xf numFmtId="4" fontId="3" fillId="0" borderId="1" xfId="0" applyNumberFormat="1" applyFont="1" applyFill="1" applyBorder="1" applyAlignment="1">
      <alignment horizontal="right" vertical="top" wrapText="1"/>
    </xf>
    <xf numFmtId="0" fontId="2" fillId="0" borderId="0" xfId="0" applyFont="1" applyFill="1" applyBorder="1" applyAlignment="1">
      <alignment vertical="top"/>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xf>
    <xf numFmtId="4" fontId="6" fillId="0" borderId="1" xfId="0" applyNumberFormat="1" applyFont="1" applyFill="1" applyBorder="1" applyAlignment="1">
      <alignment vertical="center"/>
    </xf>
    <xf numFmtId="0" fontId="1" fillId="0" borderId="0" xfId="0" applyFont="1" applyFill="1" applyAlignment="1">
      <alignment vertical="center"/>
    </xf>
    <xf numFmtId="0" fontId="6" fillId="0" borderId="5"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9" xfId="0" applyFont="1" applyFill="1" applyBorder="1" applyAlignment="1">
      <alignment horizontal="center" vertical="top" wrapText="1"/>
    </xf>
    <xf numFmtId="0" fontId="14" fillId="0" borderId="0" xfId="0" applyFont="1"/>
    <xf numFmtId="0" fontId="14" fillId="0" borderId="0" xfId="0" applyFont="1" applyFill="1" applyAlignment="1">
      <alignment horizontal="left" vertical="top" wrapText="1"/>
    </xf>
    <xf numFmtId="0" fontId="17" fillId="0" borderId="0" xfId="0" applyFont="1"/>
    <xf numFmtId="0" fontId="22" fillId="0" borderId="0" xfId="1" applyFont="1" applyFill="1"/>
    <xf numFmtId="0" fontId="16" fillId="0" borderId="0" xfId="1" applyFont="1" applyFill="1" applyBorder="1" applyAlignment="1">
      <alignment vertical="center" wrapText="1"/>
    </xf>
    <xf numFmtId="0" fontId="17" fillId="0" borderId="0" xfId="1" applyFont="1" applyFill="1"/>
    <xf numFmtId="0" fontId="16" fillId="0" borderId="0" xfId="1" applyFont="1" applyFill="1" applyBorder="1" applyAlignment="1">
      <alignment horizontal="center" wrapText="1"/>
    </xf>
    <xf numFmtId="0" fontId="16" fillId="0" borderId="0" xfId="1" applyFont="1" applyFill="1" applyBorder="1" applyAlignment="1">
      <alignment wrapText="1"/>
    </xf>
    <xf numFmtId="0" fontId="18" fillId="0" borderId="0" xfId="1" applyFont="1" applyFill="1" applyBorder="1" applyAlignment="1">
      <alignment horizontal="center"/>
    </xf>
    <xf numFmtId="166" fontId="18" fillId="0" borderId="0" xfId="1" applyNumberFormat="1" applyFont="1" applyFill="1" applyBorder="1"/>
    <xf numFmtId="0" fontId="14" fillId="0" borderId="1" xfId="0" applyFont="1" applyFill="1" applyBorder="1" applyAlignment="1">
      <alignment horizontal="center" vertical="top" wrapText="1"/>
    </xf>
    <xf numFmtId="0" fontId="26" fillId="0" borderId="0" xfId="0" applyFont="1"/>
    <xf numFmtId="0" fontId="24" fillId="0" borderId="0" xfId="0" applyFont="1"/>
    <xf numFmtId="0" fontId="24" fillId="0" borderId="10" xfId="0" applyFont="1" applyBorder="1" applyAlignment="1">
      <alignment horizontal="center" vertical="center" wrapText="1"/>
    </xf>
    <xf numFmtId="0" fontId="27" fillId="0" borderId="0" xfId="0" applyFont="1" applyAlignment="1">
      <alignment horizontal="center"/>
    </xf>
    <xf numFmtId="0" fontId="27" fillId="0" borderId="0" xfId="0" applyFont="1"/>
    <xf numFmtId="0" fontId="13" fillId="0" borderId="0" xfId="0" applyFont="1" applyAlignment="1">
      <alignment vertical="top"/>
    </xf>
    <xf numFmtId="0" fontId="19" fillId="0" borderId="3" xfId="0" applyFont="1" applyBorder="1" applyAlignment="1">
      <alignment horizontal="left" vertical="center" wrapText="1"/>
    </xf>
    <xf numFmtId="0" fontId="13" fillId="0" borderId="1" xfId="0" applyFont="1" applyBorder="1" applyAlignment="1">
      <alignment vertical="center"/>
    </xf>
    <xf numFmtId="0" fontId="13" fillId="0" borderId="1" xfId="0" applyFont="1" applyBorder="1" applyAlignment="1">
      <alignment vertical="top" wrapText="1"/>
    </xf>
    <xf numFmtId="9" fontId="13" fillId="0" borderId="1" xfId="0" applyNumberFormat="1" applyFont="1" applyBorder="1" applyAlignment="1">
      <alignment vertical="top"/>
    </xf>
    <xf numFmtId="0" fontId="13" fillId="0" borderId="1" xfId="0" applyFont="1" applyBorder="1" applyAlignment="1">
      <alignment vertical="top"/>
    </xf>
    <xf numFmtId="0" fontId="19" fillId="0" borderId="3" xfId="0" applyFont="1" applyBorder="1" applyAlignment="1">
      <alignment vertical="top" wrapText="1"/>
    </xf>
    <xf numFmtId="0" fontId="13" fillId="0" borderId="3" xfId="0" applyFont="1" applyBorder="1" applyAlignment="1">
      <alignment vertical="top" wrapText="1"/>
    </xf>
    <xf numFmtId="0" fontId="19" fillId="0" borderId="1" xfId="0" applyFont="1" applyBorder="1" applyAlignment="1">
      <alignment vertical="center" wrapText="1"/>
    </xf>
    <xf numFmtId="9" fontId="13" fillId="0" borderId="1" xfId="0" applyNumberFormat="1" applyFont="1" applyBorder="1" applyAlignment="1">
      <alignment vertical="center"/>
    </xf>
    <xf numFmtId="49" fontId="13" fillId="0" borderId="0" xfId="0" applyNumberFormat="1" applyFont="1" applyAlignment="1">
      <alignment vertical="top" wrapText="1"/>
    </xf>
    <xf numFmtId="49" fontId="14" fillId="0" borderId="0" xfId="0" applyNumberFormat="1" applyFont="1" applyAlignment="1">
      <alignment vertical="top" wrapText="1"/>
    </xf>
    <xf numFmtId="49" fontId="13" fillId="0" borderId="0" xfId="0" applyNumberFormat="1" applyFont="1" applyFill="1" applyBorder="1" applyAlignment="1">
      <alignment vertical="top" wrapText="1"/>
    </xf>
    <xf numFmtId="0" fontId="13" fillId="0" borderId="0" xfId="0" applyFont="1" applyAlignment="1">
      <alignment vertical="top" wrapText="1"/>
    </xf>
    <xf numFmtId="0" fontId="13" fillId="0" borderId="1" xfId="0" applyFont="1" applyBorder="1" applyAlignment="1">
      <alignment horizontal="left" vertical="top" wrapText="1"/>
    </xf>
    <xf numFmtId="0" fontId="24" fillId="0" borderId="0" xfId="0" applyFont="1" applyAlignment="1">
      <alignment vertical="top" wrapText="1"/>
    </xf>
    <xf numFmtId="0" fontId="24" fillId="0" borderId="0" xfId="0" applyFont="1" applyAlignment="1">
      <alignment horizontal="center"/>
    </xf>
    <xf numFmtId="0" fontId="13" fillId="2" borderId="1" xfId="0" applyFont="1" applyFill="1" applyBorder="1" applyAlignment="1">
      <alignment horizontal="center" vertical="top" wrapText="1"/>
    </xf>
    <xf numFmtId="0" fontId="21" fillId="0" borderId="0" xfId="0" applyFont="1" applyAlignment="1">
      <alignment vertical="top" wrapText="1"/>
    </xf>
    <xf numFmtId="0" fontId="24" fillId="0" borderId="1" xfId="0" applyFont="1" applyBorder="1" applyAlignment="1">
      <alignment horizontal="justify" vertical="center" wrapText="1"/>
    </xf>
    <xf numFmtId="0" fontId="13" fillId="0" borderId="1" xfId="2" applyFont="1" applyBorder="1" applyAlignment="1">
      <alignment horizontal="justify" vertical="center" wrapText="1"/>
    </xf>
    <xf numFmtId="0" fontId="13" fillId="0" borderId="1" xfId="0" applyFont="1" applyBorder="1" applyAlignment="1">
      <alignment horizontal="justify" vertical="center" wrapText="1"/>
    </xf>
    <xf numFmtId="0" fontId="24" fillId="0" borderId="1" xfId="0" applyFont="1" applyBorder="1" applyAlignment="1">
      <alignment vertical="center" wrapText="1"/>
    </xf>
    <xf numFmtId="0" fontId="29" fillId="0" borderId="0" xfId="0" applyFont="1" applyAlignment="1">
      <alignment horizontal="justify" vertical="center"/>
    </xf>
    <xf numFmtId="49" fontId="15" fillId="0" borderId="0" xfId="0" applyNumberFormat="1" applyFont="1" applyAlignment="1">
      <alignment vertical="top" wrapText="1"/>
    </xf>
    <xf numFmtId="0" fontId="14" fillId="0" borderId="0" xfId="0" applyFont="1" applyAlignment="1">
      <alignment vertical="top" wrapText="1"/>
    </xf>
    <xf numFmtId="0" fontId="13" fillId="0" borderId="1" xfId="0" applyFont="1" applyFill="1" applyBorder="1" applyAlignment="1">
      <alignment horizontal="center" vertical="center"/>
    </xf>
    <xf numFmtId="0" fontId="13" fillId="0" borderId="1" xfId="0" applyFont="1" applyFill="1" applyBorder="1" applyAlignment="1">
      <alignment horizontal="left" vertical="center" wrapText="1"/>
    </xf>
    <xf numFmtId="0" fontId="30" fillId="0" borderId="0" xfId="0" applyFont="1" applyFill="1" applyAlignment="1">
      <alignment horizontal="center" vertical="center"/>
    </xf>
    <xf numFmtId="0" fontId="13" fillId="0" borderId="0" xfId="0" applyFont="1" applyFill="1" applyAlignment="1">
      <alignment horizontal="center" vertical="center"/>
    </xf>
    <xf numFmtId="0" fontId="13" fillId="0" borderId="0" xfId="0" applyFont="1" applyAlignment="1">
      <alignment horizontal="center" vertical="center" wrapText="1"/>
    </xf>
    <xf numFmtId="0" fontId="13" fillId="0" borderId="0" xfId="0" applyFont="1" applyBorder="1" applyAlignment="1">
      <alignment vertical="top" wrapText="1"/>
    </xf>
    <xf numFmtId="0" fontId="31" fillId="0" borderId="0" xfId="0" applyFont="1" applyFill="1" applyBorder="1" applyAlignment="1">
      <alignment horizontal="left" vertical="top" wrapText="1"/>
    </xf>
    <xf numFmtId="49" fontId="31" fillId="0" borderId="0" xfId="0" applyNumberFormat="1" applyFont="1" applyFill="1" applyBorder="1" applyAlignment="1">
      <alignment horizontal="center" vertical="top" shrinkToFit="1"/>
    </xf>
    <xf numFmtId="49" fontId="32" fillId="0" borderId="0" xfId="0" applyNumberFormat="1" applyFont="1" applyFill="1" applyBorder="1" applyAlignment="1">
      <alignment horizontal="center" vertical="top" shrinkToFit="1"/>
    </xf>
    <xf numFmtId="0" fontId="13" fillId="0" borderId="0" xfId="0" applyFont="1" applyFill="1" applyAlignment="1">
      <alignment horizontal="center" vertical="top"/>
    </xf>
    <xf numFmtId="0" fontId="13" fillId="0" borderId="0" xfId="0" applyFont="1" applyFill="1" applyAlignment="1">
      <alignment vertical="top" wrapText="1"/>
    </xf>
    <xf numFmtId="0" fontId="13" fillId="0" borderId="0" xfId="0" applyFont="1" applyFill="1"/>
    <xf numFmtId="0" fontId="13" fillId="0" borderId="0" xfId="0" applyFont="1" applyFill="1" applyAlignment="1">
      <alignment horizontal="center"/>
    </xf>
    <xf numFmtId="0" fontId="13" fillId="0" borderId="0" xfId="0" applyFont="1" applyFill="1" applyAlignment="1">
      <alignment horizontal="right"/>
    </xf>
    <xf numFmtId="164" fontId="13" fillId="0" borderId="1" xfId="0" applyNumberFormat="1" applyFont="1" applyFill="1" applyBorder="1" applyAlignment="1">
      <alignment horizontal="center" vertical="top" wrapText="1"/>
    </xf>
    <xf numFmtId="0" fontId="19" fillId="0" borderId="1" xfId="0" applyFont="1" applyFill="1" applyBorder="1" applyAlignment="1">
      <alignment horizontal="center" vertical="center" wrapText="1"/>
    </xf>
    <xf numFmtId="164" fontId="19" fillId="0" borderId="1" xfId="0" applyNumberFormat="1" applyFont="1" applyFill="1" applyBorder="1" applyAlignment="1">
      <alignment horizontal="center" vertical="center" wrapText="1"/>
    </xf>
    <xf numFmtId="0" fontId="19" fillId="0" borderId="0" xfId="0" applyFont="1" applyFill="1" applyAlignment="1">
      <alignment vertical="center"/>
    </xf>
    <xf numFmtId="167" fontId="13" fillId="0" borderId="0" xfId="0" applyNumberFormat="1" applyFont="1" applyFill="1" applyAlignment="1">
      <alignment vertical="top" wrapText="1"/>
    </xf>
    <xf numFmtId="0" fontId="30" fillId="0" borderId="0" xfId="0" applyFont="1" applyFill="1" applyAlignment="1">
      <alignment vertical="top" wrapText="1"/>
    </xf>
    <xf numFmtId="0" fontId="33" fillId="0" borderId="0" xfId="0" applyFont="1" applyFill="1" applyAlignment="1">
      <alignment vertical="top" wrapText="1"/>
    </xf>
    <xf numFmtId="0" fontId="4" fillId="0" borderId="1" xfId="0" applyFont="1" applyFill="1" applyBorder="1" applyAlignment="1">
      <alignment horizontal="left" vertical="top" wrapText="1"/>
    </xf>
    <xf numFmtId="49" fontId="6" fillId="0" borderId="1" xfId="0" applyNumberFormat="1" applyFont="1" applyFill="1" applyBorder="1" applyAlignment="1">
      <alignment horizontal="left" vertical="top" wrapText="1"/>
    </xf>
    <xf numFmtId="0" fontId="1" fillId="0" borderId="5" xfId="0" applyFont="1" applyFill="1" applyBorder="1" applyAlignment="1">
      <alignment vertical="top" wrapText="1"/>
    </xf>
    <xf numFmtId="0" fontId="1" fillId="0" borderId="7" xfId="0" applyFont="1" applyFill="1" applyBorder="1" applyAlignment="1">
      <alignment horizontal="center" vertical="top"/>
    </xf>
    <xf numFmtId="0" fontId="13" fillId="0" borderId="0" xfId="0" applyFont="1" applyFill="1" applyAlignment="1">
      <alignment horizontal="center" vertical="top" wrapText="1"/>
    </xf>
    <xf numFmtId="0" fontId="1" fillId="0" borderId="1" xfId="0" applyFont="1" applyFill="1" applyBorder="1" applyAlignment="1">
      <alignment horizontal="center" wrapText="1"/>
    </xf>
    <xf numFmtId="0" fontId="1" fillId="0" borderId="0" xfId="0" applyFont="1" applyFill="1" applyAlignment="1">
      <alignment wrapText="1"/>
    </xf>
    <xf numFmtId="0" fontId="1" fillId="0" borderId="1" xfId="0" applyFont="1" applyFill="1" applyBorder="1" applyAlignment="1">
      <alignment wrapText="1"/>
    </xf>
    <xf numFmtId="49" fontId="1" fillId="0" borderId="4" xfId="0" applyNumberFormat="1" applyFont="1" applyFill="1" applyBorder="1" applyAlignment="1">
      <alignment vertical="top"/>
    </xf>
    <xf numFmtId="49" fontId="1" fillId="0" borderId="4" xfId="0" applyNumberFormat="1" applyFont="1" applyFill="1" applyBorder="1" applyAlignment="1">
      <alignment horizontal="center" vertical="top"/>
    </xf>
    <xf numFmtId="49" fontId="14" fillId="0" borderId="0" xfId="0" applyNumberFormat="1" applyFont="1" applyFill="1" applyAlignment="1">
      <alignment vertical="top" wrapText="1"/>
    </xf>
    <xf numFmtId="0" fontId="0" fillId="0" borderId="0" xfId="0" applyAlignment="1">
      <alignment vertical="top"/>
    </xf>
    <xf numFmtId="0" fontId="14" fillId="0" borderId="1" xfId="0" applyFont="1" applyFill="1" applyBorder="1" applyAlignment="1">
      <alignment horizontal="center" vertical="top" wrapText="1"/>
    </xf>
    <xf numFmtId="0" fontId="14" fillId="0" borderId="0" xfId="0" applyFont="1" applyFill="1" applyAlignment="1">
      <alignment horizontal="center" vertical="top" wrapText="1"/>
    </xf>
    <xf numFmtId="0" fontId="26" fillId="0" borderId="0" xfId="0" applyFont="1" applyAlignment="1">
      <alignment horizontal="center"/>
    </xf>
    <xf numFmtId="0" fontId="10" fillId="0" borderId="0" xfId="0" applyFont="1" applyFill="1" applyAlignment="1">
      <alignment horizontal="center" vertical="top"/>
    </xf>
    <xf numFmtId="4" fontId="10" fillId="0" borderId="0" xfId="0" applyNumberFormat="1" applyFont="1" applyFill="1" applyAlignment="1">
      <alignment vertical="top"/>
    </xf>
    <xf numFmtId="4" fontId="2" fillId="0" borderId="0" xfId="0" applyNumberFormat="1" applyFont="1" applyFill="1" applyAlignment="1">
      <alignment vertical="top"/>
    </xf>
    <xf numFmtId="0" fontId="13" fillId="0" borderId="1" xfId="1" applyFont="1" applyFill="1" applyBorder="1" applyAlignment="1">
      <alignment horizontal="center" vertical="top" wrapText="1"/>
    </xf>
    <xf numFmtId="0" fontId="13" fillId="0" borderId="1" xfId="1" applyFont="1" applyFill="1" applyBorder="1" applyAlignment="1">
      <alignment horizontal="center" vertical="center" wrapText="1"/>
    </xf>
    <xf numFmtId="0" fontId="13" fillId="0" borderId="0" xfId="0" applyFont="1" applyAlignment="1">
      <alignment horizontal="center"/>
    </xf>
    <xf numFmtId="0" fontId="1" fillId="0" borderId="1" xfId="0" applyFont="1" applyFill="1" applyBorder="1" applyAlignment="1">
      <alignment horizontal="right" vertical="top"/>
    </xf>
    <xf numFmtId="49" fontId="1" fillId="0" borderId="0" xfId="0" applyNumberFormat="1" applyFont="1" applyFill="1" applyAlignment="1">
      <alignment vertical="center"/>
    </xf>
    <xf numFmtId="0" fontId="5" fillId="0" borderId="1" xfId="0" applyFont="1" applyFill="1" applyBorder="1" applyAlignment="1">
      <alignment vertical="top"/>
    </xf>
    <xf numFmtId="49" fontId="14" fillId="4" borderId="1" xfId="0" applyNumberFormat="1" applyFont="1" applyFill="1" applyBorder="1" applyAlignment="1">
      <alignment horizontal="center" vertical="top"/>
    </xf>
    <xf numFmtId="49" fontId="1" fillId="4" borderId="1" xfId="0" applyNumberFormat="1" applyFont="1" applyFill="1" applyBorder="1" applyAlignment="1">
      <alignment horizontal="center" vertical="top"/>
    </xf>
    <xf numFmtId="0" fontId="13" fillId="0" borderId="1" xfId="0" applyFont="1" applyBorder="1" applyAlignment="1">
      <alignment horizontal="center" vertical="top" wrapText="1"/>
    </xf>
    <xf numFmtId="0" fontId="13" fillId="0" borderId="1" xfId="0" applyFont="1" applyFill="1" applyBorder="1" applyAlignment="1">
      <alignment horizontal="center" vertical="top" wrapText="1"/>
    </xf>
    <xf numFmtId="0" fontId="24" fillId="0" borderId="1" xfId="0" applyFont="1" applyBorder="1" applyAlignment="1">
      <alignment horizontal="center" vertical="center" wrapText="1"/>
    </xf>
    <xf numFmtId="0" fontId="13" fillId="0" borderId="1" xfId="1" applyFont="1" applyFill="1" applyBorder="1" applyAlignment="1">
      <alignment horizontal="center" vertical="top" wrapText="1"/>
    </xf>
    <xf numFmtId="0" fontId="13" fillId="0" borderId="1" xfId="0" applyFont="1" applyFill="1" applyBorder="1" applyAlignment="1">
      <alignment vertical="top" wrapText="1"/>
    </xf>
    <xf numFmtId="0" fontId="6" fillId="0" borderId="9" xfId="0" applyFont="1" applyFill="1" applyBorder="1" applyAlignment="1">
      <alignment horizontal="center" vertical="top" wrapText="1"/>
    </xf>
    <xf numFmtId="167" fontId="1" fillId="0" borderId="0" xfId="0" applyNumberFormat="1" applyFont="1" applyFill="1" applyAlignment="1">
      <alignment vertical="top"/>
    </xf>
    <xf numFmtId="0" fontId="14" fillId="0" borderId="0" xfId="0" applyFont="1" applyFill="1" applyBorder="1" applyAlignment="1">
      <alignment vertical="top"/>
    </xf>
    <xf numFmtId="4" fontId="6" fillId="0" borderId="3" xfId="0" applyNumberFormat="1" applyFont="1" applyFill="1" applyBorder="1" applyAlignment="1">
      <alignment vertical="top"/>
    </xf>
    <xf numFmtId="4" fontId="1" fillId="0" borderId="3" xfId="0" applyNumberFormat="1" applyFont="1" applyFill="1" applyBorder="1" applyAlignment="1">
      <alignment vertical="top" wrapText="1"/>
    </xf>
    <xf numFmtId="4" fontId="3" fillId="0" borderId="9" xfId="0" applyNumberFormat="1" applyFont="1" applyFill="1" applyBorder="1" applyAlignment="1">
      <alignment horizontal="right" vertical="top" wrapText="1"/>
    </xf>
    <xf numFmtId="49" fontId="24" fillId="0" borderId="1" xfId="0" applyNumberFormat="1" applyFont="1" applyBorder="1" applyAlignment="1">
      <alignment horizontal="center" vertical="center" wrapText="1"/>
    </xf>
    <xf numFmtId="0" fontId="13" fillId="0" borderId="10" xfId="1" applyFont="1" applyFill="1" applyBorder="1" applyAlignment="1">
      <alignment horizontal="center" vertical="top" wrapText="1"/>
    </xf>
    <xf numFmtId="0" fontId="6" fillId="0" borderId="0" xfId="0" applyFont="1" applyFill="1" applyAlignment="1">
      <alignment horizontal="center" vertical="top"/>
    </xf>
    <xf numFmtId="0" fontId="0" fillId="0" borderId="0" xfId="0" applyFill="1" applyAlignment="1">
      <alignment vertical="top"/>
    </xf>
    <xf numFmtId="0" fontId="1" fillId="0" borderId="5" xfId="0" applyFont="1" applyFill="1" applyBorder="1" applyAlignment="1">
      <alignment horizontal="left" vertical="top" wrapText="1"/>
    </xf>
    <xf numFmtId="49" fontId="1" fillId="0" borderId="1" xfId="0" applyNumberFormat="1" applyFont="1" applyFill="1" applyBorder="1" applyAlignment="1">
      <alignment vertical="top"/>
    </xf>
    <xf numFmtId="0" fontId="1" fillId="0" borderId="1" xfId="0" applyFont="1" applyFill="1" applyBorder="1" applyAlignment="1">
      <alignment horizontal="center" vertical="top" wrapText="1"/>
    </xf>
    <xf numFmtId="0" fontId="0" fillId="0" borderId="0" xfId="0" applyFill="1"/>
    <xf numFmtId="0" fontId="0" fillId="0" borderId="0" xfId="0" applyFill="1" applyAlignment="1">
      <alignment horizontal="center"/>
    </xf>
    <xf numFmtId="0" fontId="35" fillId="0" borderId="0" xfId="0" applyFont="1" applyFill="1"/>
    <xf numFmtId="0" fontId="14" fillId="0" borderId="0" xfId="0" applyFont="1" applyFill="1" applyAlignment="1">
      <alignment vertical="top" wrapText="1"/>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0" fontId="13" fillId="0" borderId="1" xfId="0" applyFont="1" applyBorder="1" applyAlignment="1">
      <alignment horizontal="center" vertical="top" wrapText="1"/>
    </xf>
    <xf numFmtId="0" fontId="6"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6" fillId="0" borderId="1" xfId="0" applyFont="1" applyFill="1" applyBorder="1" applyAlignment="1">
      <alignment vertical="top" wrapText="1"/>
    </xf>
    <xf numFmtId="0" fontId="1" fillId="0" borderId="1" xfId="0" applyFont="1" applyFill="1" applyBorder="1" applyAlignment="1">
      <alignment horizontal="left" vertical="top"/>
    </xf>
    <xf numFmtId="0" fontId="14" fillId="0" borderId="1" xfId="0" applyFont="1" applyFill="1" applyBorder="1" applyAlignment="1">
      <alignment horizontal="center" vertical="top" wrapText="1"/>
    </xf>
    <xf numFmtId="0" fontId="6" fillId="0" borderId="1" xfId="0" applyFont="1" applyFill="1" applyBorder="1" applyAlignment="1">
      <alignment vertical="top"/>
    </xf>
    <xf numFmtId="0" fontId="5" fillId="0" borderId="1" xfId="0" applyFont="1" applyFill="1" applyBorder="1" applyAlignment="1">
      <alignment horizontal="center" vertical="top" wrapText="1"/>
    </xf>
    <xf numFmtId="0" fontId="5" fillId="0" borderId="1" xfId="0" applyFont="1" applyFill="1" applyBorder="1" applyAlignment="1">
      <alignment horizontal="center" vertical="top"/>
    </xf>
    <xf numFmtId="0" fontId="13" fillId="0" borderId="1" xfId="0" applyFont="1" applyFill="1" applyBorder="1" applyAlignment="1">
      <alignment vertical="top" wrapText="1"/>
    </xf>
    <xf numFmtId="0" fontId="1" fillId="0" borderId="1" xfId="0" applyFont="1" applyFill="1" applyBorder="1" applyAlignment="1">
      <alignment horizontal="left" vertical="center" wrapText="1"/>
    </xf>
    <xf numFmtId="0" fontId="3" fillId="0" borderId="1" xfId="0" applyFont="1" applyFill="1" applyBorder="1" applyAlignment="1">
      <alignment vertical="top" wrapText="1"/>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xf>
    <xf numFmtId="0" fontId="1" fillId="0" borderId="4" xfId="0" applyFont="1" applyFill="1" applyBorder="1" applyAlignment="1">
      <alignment horizontal="center" vertical="top"/>
    </xf>
    <xf numFmtId="4" fontId="1" fillId="0" borderId="8" xfId="0" applyNumberFormat="1" applyFont="1" applyFill="1" applyBorder="1" applyAlignment="1">
      <alignment vertical="top"/>
    </xf>
    <xf numFmtId="49" fontId="36" fillId="0" borderId="1" xfId="0" applyNumberFormat="1" applyFont="1" applyFill="1" applyBorder="1" applyAlignment="1">
      <alignment horizontal="center" vertical="top"/>
    </xf>
    <xf numFmtId="164" fontId="6" fillId="0" borderId="1" xfId="0" applyNumberFormat="1" applyFont="1" applyFill="1" applyBorder="1" applyAlignment="1">
      <alignment vertical="top"/>
    </xf>
    <xf numFmtId="0" fontId="19" fillId="0" borderId="0" xfId="0" applyFont="1" applyFill="1" applyBorder="1" applyAlignment="1">
      <alignment vertical="center" wrapText="1"/>
    </xf>
    <xf numFmtId="0" fontId="6" fillId="0" borderId="0" xfId="0" applyFont="1" applyFill="1" applyBorder="1" applyAlignment="1">
      <alignment vertical="top" wrapText="1"/>
    </xf>
    <xf numFmtId="0" fontId="6" fillId="0" borderId="0" xfId="0" applyFont="1" applyFill="1" applyBorder="1" applyAlignment="1">
      <alignment vertical="center" wrapText="1"/>
    </xf>
    <xf numFmtId="0" fontId="6" fillId="0" borderId="0" xfId="0" applyFont="1" applyFill="1" applyBorder="1" applyAlignment="1">
      <alignment horizontal="center" vertical="center" wrapText="1"/>
    </xf>
    <xf numFmtId="49" fontId="6" fillId="0" borderId="0" xfId="0" applyNumberFormat="1" applyFont="1" applyFill="1" applyBorder="1" applyAlignment="1">
      <alignment horizontal="center" vertical="center"/>
    </xf>
    <xf numFmtId="4" fontId="6" fillId="0" borderId="0" xfId="0" applyNumberFormat="1" applyFont="1" applyFill="1" applyBorder="1" applyAlignment="1">
      <alignment vertical="center"/>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2"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0" fontId="1" fillId="0" borderId="3" xfId="0" applyFont="1" applyFill="1" applyBorder="1" applyAlignment="1">
      <alignment vertical="top" wrapText="1"/>
    </xf>
    <xf numFmtId="0" fontId="6" fillId="0" borderId="3" xfId="0" applyFont="1" applyFill="1" applyBorder="1" applyAlignment="1">
      <alignment horizontal="left" vertical="top"/>
    </xf>
    <xf numFmtId="0" fontId="5" fillId="0" borderId="1" xfId="0" applyFont="1" applyFill="1" applyBorder="1" applyAlignment="1">
      <alignment horizontal="left" vertical="top" wrapText="1"/>
    </xf>
    <xf numFmtId="0" fontId="6" fillId="0" borderId="1" xfId="0" applyFont="1" applyFill="1" applyBorder="1" applyAlignment="1">
      <alignment vertical="top" wrapText="1"/>
    </xf>
    <xf numFmtId="0" fontId="14" fillId="0" borderId="1" xfId="0" applyFont="1" applyFill="1" applyBorder="1" applyAlignment="1">
      <alignment horizontal="center" vertical="top" wrapText="1"/>
    </xf>
    <xf numFmtId="0" fontId="5" fillId="0" borderId="3" xfId="0" applyFont="1" applyFill="1" applyBorder="1" applyAlignment="1">
      <alignment horizontal="center" vertical="top"/>
    </xf>
    <xf numFmtId="0" fontId="6" fillId="0" borderId="1" xfId="0" applyFont="1" applyFill="1" applyBorder="1" applyAlignment="1">
      <alignment horizontal="left" vertical="top" wrapText="1"/>
    </xf>
    <xf numFmtId="0" fontId="5" fillId="0" borderId="1" xfId="0" applyFont="1" applyFill="1" applyBorder="1" applyAlignment="1">
      <alignment horizontal="center" vertical="top"/>
    </xf>
    <xf numFmtId="0" fontId="3" fillId="0" borderId="1" xfId="0" applyFont="1" applyFill="1" applyBorder="1" applyAlignment="1">
      <alignment horizontal="left" vertical="top" wrapText="1"/>
    </xf>
    <xf numFmtId="0" fontId="5" fillId="0" borderId="1" xfId="0" applyFont="1" applyFill="1" applyBorder="1" applyAlignment="1">
      <alignment horizontal="center" vertical="top" wrapText="1"/>
    </xf>
    <xf numFmtId="0" fontId="6" fillId="0" borderId="1" xfId="0" applyFont="1" applyFill="1" applyBorder="1" applyAlignment="1">
      <alignment vertical="top"/>
    </xf>
    <xf numFmtId="0" fontId="5" fillId="0" borderId="2" xfId="0" applyFont="1" applyFill="1" applyBorder="1" applyAlignment="1">
      <alignment horizontal="center" vertical="top" wrapText="1"/>
    </xf>
    <xf numFmtId="0" fontId="1" fillId="5" borderId="0" xfId="0" applyFont="1" applyFill="1" applyAlignment="1">
      <alignment vertical="top"/>
    </xf>
    <xf numFmtId="0" fontId="1" fillId="3" borderId="0" xfId="0" applyFont="1" applyFill="1" applyAlignment="1">
      <alignment vertical="top"/>
    </xf>
    <xf numFmtId="4" fontId="1" fillId="3" borderId="0" xfId="0" applyNumberFormat="1" applyFont="1" applyFill="1" applyAlignment="1">
      <alignment vertical="top"/>
    </xf>
    <xf numFmtId="4" fontId="1" fillId="5" borderId="0" xfId="0" applyNumberFormat="1" applyFont="1" applyFill="1" applyAlignment="1">
      <alignment vertical="top"/>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2"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0" fontId="6" fillId="0" borderId="3" xfId="0" applyFont="1" applyFill="1" applyBorder="1" applyAlignment="1">
      <alignment horizontal="left" vertical="top"/>
    </xf>
    <xf numFmtId="0" fontId="1" fillId="0" borderId="3" xfId="0" applyFont="1" applyFill="1" applyBorder="1" applyAlignment="1">
      <alignment vertical="top" wrapText="1"/>
    </xf>
    <xf numFmtId="0" fontId="5"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6" fillId="0" borderId="1" xfId="0" applyFont="1" applyFill="1" applyBorder="1" applyAlignment="1">
      <alignment vertical="top"/>
    </xf>
    <xf numFmtId="0" fontId="5" fillId="0" borderId="1" xfId="0" applyFont="1" applyFill="1" applyBorder="1" applyAlignment="1">
      <alignment horizontal="center" vertical="top" wrapText="1"/>
    </xf>
    <xf numFmtId="0" fontId="6" fillId="0" borderId="1" xfId="0" applyFont="1" applyFill="1" applyBorder="1" applyAlignment="1">
      <alignment vertical="top" wrapText="1"/>
    </xf>
    <xf numFmtId="0" fontId="5" fillId="0" borderId="1" xfId="0" applyFont="1" applyFill="1" applyBorder="1" applyAlignment="1">
      <alignment horizontal="center" vertical="top"/>
    </xf>
    <xf numFmtId="0" fontId="14" fillId="0" borderId="1" xfId="0" applyFont="1" applyFill="1" applyBorder="1" applyAlignment="1">
      <alignment horizontal="center" vertical="top" wrapText="1"/>
    </xf>
    <xf numFmtId="0" fontId="5" fillId="0" borderId="3" xfId="0" applyFont="1" applyFill="1" applyBorder="1" applyAlignment="1">
      <alignment horizontal="center" vertical="top"/>
    </xf>
    <xf numFmtId="0" fontId="5" fillId="0" borderId="2" xfId="0" applyFont="1" applyFill="1" applyBorder="1" applyAlignment="1">
      <alignment horizontal="center" vertical="top" wrapText="1"/>
    </xf>
    <xf numFmtId="0" fontId="37" fillId="0" borderId="1" xfId="0" applyFont="1" applyFill="1" applyBorder="1" applyAlignment="1">
      <alignment horizontal="center" vertical="top" wrapText="1"/>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0" fontId="1" fillId="0" borderId="3" xfId="0" applyFont="1" applyFill="1" applyBorder="1" applyAlignment="1">
      <alignment horizontal="left" vertical="top" wrapText="1"/>
    </xf>
    <xf numFmtId="0" fontId="6" fillId="0" borderId="3" xfId="0" applyFont="1" applyFill="1" applyBorder="1" applyAlignment="1">
      <alignment horizontal="left" vertical="top" wrapText="1"/>
    </xf>
    <xf numFmtId="0" fontId="5" fillId="0" borderId="3" xfId="0" applyFont="1" applyFill="1" applyBorder="1" applyAlignment="1">
      <alignment horizontal="left" vertical="top" wrapText="1"/>
    </xf>
    <xf numFmtId="0" fontId="1" fillId="0" borderId="3" xfId="0" applyFont="1" applyFill="1" applyBorder="1" applyAlignment="1">
      <alignment vertical="top" wrapText="1"/>
    </xf>
    <xf numFmtId="0" fontId="5"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6" fillId="0" borderId="1" xfId="0" applyFont="1" applyFill="1" applyBorder="1" applyAlignment="1">
      <alignment vertical="top"/>
    </xf>
    <xf numFmtId="4" fontId="4" fillId="0" borderId="1" xfId="0" applyNumberFormat="1" applyFont="1" applyFill="1" applyBorder="1" applyAlignment="1">
      <alignment vertical="top"/>
    </xf>
    <xf numFmtId="0" fontId="1" fillId="0" borderId="1" xfId="0" applyFont="1" applyFill="1" applyBorder="1" applyAlignment="1">
      <alignment horizontal="left" vertical="top" wrapText="1"/>
    </xf>
    <xf numFmtId="0" fontId="1" fillId="0" borderId="3"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1" xfId="0" applyFont="1" applyFill="1" applyBorder="1" applyAlignment="1">
      <alignment horizontal="left" vertical="top" wrapText="1"/>
    </xf>
    <xf numFmtId="0" fontId="14" fillId="0" borderId="1" xfId="0" applyFont="1" applyFill="1" applyBorder="1" applyAlignment="1">
      <alignment horizontal="center" vertical="top" wrapText="1"/>
    </xf>
    <xf numFmtId="0" fontId="3" fillId="0" borderId="1" xfId="0" applyFont="1" applyFill="1" applyBorder="1" applyAlignment="1">
      <alignment horizontal="left" vertical="top" wrapText="1"/>
    </xf>
    <xf numFmtId="0" fontId="6" fillId="0" borderId="1" xfId="0" applyFont="1" applyFill="1" applyBorder="1" applyAlignment="1">
      <alignment vertical="top"/>
    </xf>
    <xf numFmtId="0" fontId="1" fillId="0" borderId="1" xfId="0" applyFont="1" applyFill="1" applyBorder="1" applyAlignment="1">
      <alignment vertical="top" wrapText="1"/>
    </xf>
    <xf numFmtId="0" fontId="1" fillId="0" borderId="3" xfId="0" applyFont="1" applyFill="1" applyBorder="1" applyAlignment="1">
      <alignment vertical="top" wrapText="1"/>
    </xf>
    <xf numFmtId="0" fontId="1" fillId="0" borderId="1" xfId="0" applyFont="1" applyFill="1" applyBorder="1" applyAlignment="1">
      <alignment vertical="top" wrapText="1"/>
    </xf>
    <xf numFmtId="0" fontId="1" fillId="0" borderId="3" xfId="0" applyFont="1" applyFill="1" applyBorder="1" applyAlignment="1">
      <alignment vertical="top" wrapText="1"/>
    </xf>
    <xf numFmtId="0" fontId="1"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14" fillId="0" borderId="1" xfId="0" applyFont="1" applyFill="1" applyBorder="1" applyAlignment="1">
      <alignment horizontal="center" vertical="top" wrapText="1"/>
    </xf>
    <xf numFmtId="0" fontId="1" fillId="0" borderId="1" xfId="0" applyFont="1" applyFill="1" applyBorder="1" applyAlignment="1">
      <alignment vertical="top" wrapText="1"/>
    </xf>
    <xf numFmtId="0" fontId="6" fillId="0" borderId="1" xfId="0" applyFont="1" applyFill="1" applyBorder="1" applyAlignment="1">
      <alignment vertical="top"/>
    </xf>
    <xf numFmtId="0" fontId="14" fillId="0" borderId="1" xfId="0" applyFont="1" applyFill="1" applyBorder="1" applyAlignment="1">
      <alignment horizontal="center" vertical="top" wrapText="1"/>
    </xf>
    <xf numFmtId="0" fontId="13" fillId="0" borderId="1" xfId="1" applyFont="1" applyFill="1" applyBorder="1" applyAlignment="1">
      <alignment horizontal="center" vertical="top" wrapText="1"/>
    </xf>
    <xf numFmtId="0" fontId="13" fillId="0" borderId="1" xfId="1" applyFont="1" applyFill="1" applyBorder="1" applyAlignment="1">
      <alignment horizontal="center" vertical="center" wrapText="1"/>
    </xf>
    <xf numFmtId="0" fontId="13" fillId="0" borderId="10" xfId="1" applyFont="1" applyFill="1" applyBorder="1" applyAlignment="1">
      <alignment horizontal="center" vertical="center" wrapText="1"/>
    </xf>
    <xf numFmtId="49" fontId="1" fillId="0" borderId="0" xfId="0" applyNumberFormat="1" applyFont="1" applyFill="1" applyBorder="1" applyAlignment="1">
      <alignment horizontal="center" vertical="top"/>
    </xf>
    <xf numFmtId="49" fontId="1" fillId="0" borderId="0" xfId="0" applyNumberFormat="1" applyFont="1" applyFill="1" applyBorder="1" applyAlignment="1">
      <alignment horizontal="center" vertical="top" wrapText="1"/>
    </xf>
    <xf numFmtId="0" fontId="3" fillId="0" borderId="0" xfId="0" applyFont="1" applyFill="1" applyBorder="1" applyAlignment="1">
      <alignment horizontal="center" vertical="top" wrapText="1"/>
    </xf>
    <xf numFmtId="0" fontId="10" fillId="0" borderId="1" xfId="0" applyFont="1" applyFill="1" applyBorder="1" applyAlignment="1">
      <alignment vertical="top"/>
    </xf>
    <xf numFmtId="49" fontId="10" fillId="0" borderId="1" xfId="0" applyNumberFormat="1" applyFont="1" applyFill="1" applyBorder="1" applyAlignment="1">
      <alignment horizontal="center" vertical="top"/>
    </xf>
    <xf numFmtId="49" fontId="10" fillId="0" borderId="1" xfId="0" applyNumberFormat="1" applyFont="1" applyFill="1" applyBorder="1" applyAlignment="1">
      <alignment vertical="top"/>
    </xf>
    <xf numFmtId="49" fontId="2" fillId="0" borderId="1" xfId="0" applyNumberFormat="1" applyFont="1" applyFill="1" applyBorder="1" applyAlignment="1">
      <alignment vertical="top"/>
    </xf>
    <xf numFmtId="0" fontId="7" fillId="0" borderId="1" xfId="0" applyFont="1" applyFill="1" applyBorder="1" applyAlignment="1">
      <alignment vertical="top"/>
    </xf>
    <xf numFmtId="2" fontId="1" fillId="0" borderId="1" xfId="0" applyNumberFormat="1" applyFont="1" applyFill="1" applyBorder="1" applyAlignment="1">
      <alignment vertical="top"/>
    </xf>
    <xf numFmtId="0" fontId="38" fillId="0" borderId="1" xfId="1" applyFont="1" applyFill="1" applyBorder="1" applyAlignment="1">
      <alignment horizontal="center" vertical="center"/>
    </xf>
    <xf numFmtId="0" fontId="38" fillId="0" borderId="1" xfId="1" applyFont="1" applyFill="1" applyBorder="1" applyAlignment="1">
      <alignment vertical="center"/>
    </xf>
    <xf numFmtId="165" fontId="38" fillId="0" borderId="1" xfId="1" applyNumberFormat="1" applyFont="1" applyFill="1" applyBorder="1" applyAlignment="1">
      <alignment horizontal="center" vertical="center"/>
    </xf>
    <xf numFmtId="0" fontId="38" fillId="0" borderId="0" xfId="0" applyFont="1" applyAlignment="1">
      <alignment vertical="center"/>
    </xf>
    <xf numFmtId="0" fontId="23" fillId="0" borderId="1" xfId="0" applyFont="1" applyBorder="1" applyAlignment="1">
      <alignment vertical="center"/>
    </xf>
    <xf numFmtId="0" fontId="39" fillId="0" borderId="1" xfId="1" applyFont="1" applyFill="1" applyBorder="1" applyAlignment="1">
      <alignment vertical="center"/>
    </xf>
    <xf numFmtId="165" fontId="23" fillId="0" borderId="1" xfId="1" applyNumberFormat="1" applyFont="1" applyFill="1" applyBorder="1" applyAlignment="1">
      <alignment horizontal="center" vertical="center"/>
    </xf>
    <xf numFmtId="0" fontId="23" fillId="0" borderId="0" xfId="0" applyFont="1" applyAlignment="1">
      <alignment vertical="center"/>
    </xf>
    <xf numFmtId="165" fontId="38" fillId="0" borderId="1" xfId="0" applyNumberFormat="1" applyFont="1" applyBorder="1" applyAlignment="1">
      <alignment horizontal="center" vertical="center"/>
    </xf>
    <xf numFmtId="4" fontId="38" fillId="0" borderId="0" xfId="0" applyNumberFormat="1" applyFont="1" applyAlignment="1">
      <alignment vertical="center"/>
    </xf>
    <xf numFmtId="165" fontId="13" fillId="0" borderId="0" xfId="0" applyNumberFormat="1" applyFont="1" applyAlignment="1">
      <alignment horizontal="center" vertical="top" wrapText="1"/>
    </xf>
    <xf numFmtId="4" fontId="40" fillId="0" borderId="1" xfId="1" applyNumberFormat="1" applyFont="1" applyFill="1" applyBorder="1" applyAlignment="1">
      <alignment horizontal="center" vertical="center"/>
    </xf>
    <xf numFmtId="0" fontId="17" fillId="0" borderId="1" xfId="0" applyFont="1" applyBorder="1" applyAlignment="1">
      <alignment horizontal="center" vertical="center"/>
    </xf>
    <xf numFmtId="165" fontId="17" fillId="0" borderId="1" xfId="0" applyNumberFormat="1" applyFont="1" applyBorder="1" applyAlignment="1">
      <alignment horizontal="center" vertical="center"/>
    </xf>
    <xf numFmtId="165" fontId="13" fillId="0" borderId="0" xfId="0" applyNumberFormat="1" applyFont="1" applyAlignment="1">
      <alignment vertical="center"/>
    </xf>
    <xf numFmtId="2" fontId="13" fillId="0" borderId="0" xfId="0" applyNumberFormat="1" applyFont="1" applyAlignment="1">
      <alignment vertical="center"/>
    </xf>
    <xf numFmtId="0" fontId="1" fillId="0" borderId="1" xfId="0" applyFont="1" applyFill="1" applyBorder="1" applyAlignment="1">
      <alignment horizontal="left" vertical="top" wrapText="1"/>
    </xf>
    <xf numFmtId="0" fontId="1" fillId="0" borderId="3" xfId="0" applyFont="1" applyFill="1" applyBorder="1" applyAlignment="1">
      <alignment horizontal="left" vertical="top" wrapText="1"/>
    </xf>
    <xf numFmtId="4" fontId="13" fillId="0" borderId="0" xfId="0" quotePrefix="1" applyNumberFormat="1" applyFont="1" applyFill="1" applyAlignment="1">
      <alignment vertical="top" wrapText="1"/>
    </xf>
    <xf numFmtId="0" fontId="1" fillId="0" borderId="1" xfId="0" applyFont="1" applyFill="1" applyBorder="1" applyAlignment="1">
      <alignment horizontal="left" vertical="top" wrapText="1"/>
    </xf>
    <xf numFmtId="0" fontId="1" fillId="0" borderId="1" xfId="0" applyFont="1" applyFill="1" applyBorder="1" applyAlignment="1">
      <alignment vertical="top" wrapText="1"/>
    </xf>
    <xf numFmtId="49" fontId="14" fillId="0" borderId="0" xfId="0" applyNumberFormat="1" applyFont="1" applyFill="1" applyAlignment="1">
      <alignment horizontal="left" vertical="top" wrapText="1"/>
    </xf>
    <xf numFmtId="0" fontId="5"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1" xfId="0" applyFont="1" applyFill="1" applyBorder="1" applyAlignment="1">
      <alignment horizontal="left" vertical="top"/>
    </xf>
    <xf numFmtId="0" fontId="6" fillId="0" borderId="1" xfId="0" applyFont="1" applyFill="1" applyBorder="1" applyAlignment="1">
      <alignment vertical="top"/>
    </xf>
    <xf numFmtId="0" fontId="13" fillId="0" borderId="1" xfId="1" applyFont="1" applyFill="1" applyBorder="1" applyAlignment="1">
      <alignment horizontal="center" vertical="top" wrapText="1"/>
    </xf>
    <xf numFmtId="0" fontId="13" fillId="0" borderId="1" xfId="1" applyFont="1" applyFill="1" applyBorder="1" applyAlignment="1">
      <alignment horizontal="center" vertical="center" wrapText="1"/>
    </xf>
    <xf numFmtId="0" fontId="14" fillId="0" borderId="0" xfId="0" applyFont="1" applyAlignment="1">
      <alignment horizontal="left" vertical="top" wrapText="1"/>
    </xf>
    <xf numFmtId="0" fontId="13" fillId="0" borderId="1" xfId="0" applyFont="1" applyFill="1" applyBorder="1" applyAlignment="1">
      <alignment vertical="top" wrapText="1"/>
    </xf>
    <xf numFmtId="4" fontId="13" fillId="0" borderId="0" xfId="0" applyNumberFormat="1" applyFont="1" applyFill="1" applyAlignment="1">
      <alignment vertical="top" wrapText="1"/>
    </xf>
    <xf numFmtId="49" fontId="14" fillId="0" borderId="0" xfId="0" applyNumberFormat="1" applyFont="1" applyFill="1" applyAlignment="1">
      <alignment horizontal="left" vertical="top" wrapText="1"/>
    </xf>
    <xf numFmtId="0" fontId="1" fillId="0" borderId="1" xfId="0" applyFont="1" applyFill="1" applyBorder="1" applyAlignment="1">
      <alignment vertical="top" wrapText="1"/>
    </xf>
    <xf numFmtId="0" fontId="6" fillId="0" borderId="1" xfId="0" applyFont="1" applyFill="1" applyBorder="1" applyAlignment="1">
      <alignment horizontal="left" vertical="top"/>
    </xf>
    <xf numFmtId="0" fontId="13" fillId="0" borderId="1" xfId="0" applyFont="1" applyFill="1" applyBorder="1" applyAlignment="1">
      <alignment vertical="top" wrapText="1"/>
    </xf>
    <xf numFmtId="0" fontId="6" fillId="0" borderId="11" xfId="0" applyFont="1" applyFill="1" applyBorder="1" applyAlignment="1">
      <alignment horizontal="center" vertical="top" wrapText="1"/>
    </xf>
    <xf numFmtId="0" fontId="6" fillId="0" borderId="12" xfId="0" applyFont="1" applyFill="1" applyBorder="1" applyAlignment="1">
      <alignment vertical="top" wrapText="1"/>
    </xf>
    <xf numFmtId="0" fontId="13" fillId="0" borderId="1" xfId="0" applyFont="1" applyFill="1" applyBorder="1" applyAlignment="1">
      <alignment horizontal="left" vertical="top" wrapText="1"/>
    </xf>
    <xf numFmtId="49" fontId="13" fillId="0" borderId="1" xfId="0" applyNumberFormat="1" applyFont="1" applyFill="1" applyBorder="1" applyAlignment="1">
      <alignment horizontal="center" vertical="top"/>
    </xf>
    <xf numFmtId="0" fontId="1" fillId="0" borderId="1" xfId="0" applyFont="1" applyFill="1" applyBorder="1" applyAlignment="1">
      <alignment horizontal="left" vertical="top" wrapText="1"/>
    </xf>
    <xf numFmtId="0" fontId="14" fillId="0" borderId="1" xfId="0" applyFont="1" applyFill="1" applyBorder="1" applyAlignment="1">
      <alignment horizontal="center" vertical="top" wrapText="1"/>
    </xf>
    <xf numFmtId="0" fontId="5"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1" xfId="0" applyFont="1" applyFill="1" applyBorder="1" applyAlignment="1">
      <alignment vertical="top" wrapText="1"/>
    </xf>
    <xf numFmtId="0" fontId="1" fillId="0" borderId="1" xfId="0" applyFont="1" applyFill="1" applyBorder="1" applyAlignment="1">
      <alignment vertical="top" wrapText="1"/>
    </xf>
    <xf numFmtId="0" fontId="5" fillId="0" borderId="1" xfId="0" applyFont="1" applyFill="1" applyBorder="1" applyAlignment="1">
      <alignment horizontal="center" vertical="top"/>
    </xf>
    <xf numFmtId="0" fontId="5" fillId="0" borderId="1" xfId="0" applyFont="1" applyFill="1" applyBorder="1" applyAlignment="1">
      <alignment horizontal="center" vertical="top" wrapText="1"/>
    </xf>
    <xf numFmtId="0" fontId="6" fillId="0" borderId="1" xfId="0" applyFont="1" applyFill="1" applyBorder="1" applyAlignment="1">
      <alignment vertical="top"/>
    </xf>
    <xf numFmtId="0" fontId="14" fillId="0" borderId="0" xfId="0" applyFont="1" applyFill="1" applyAlignment="1">
      <alignment vertical="top" wrapText="1"/>
    </xf>
    <xf numFmtId="0" fontId="1" fillId="0" borderId="4" xfId="0" applyFont="1" applyFill="1" applyBorder="1" applyAlignment="1">
      <alignment horizontal="center" vertical="top"/>
    </xf>
    <xf numFmtId="2" fontId="1" fillId="0" borderId="1" xfId="0" applyNumberFormat="1" applyFont="1" applyFill="1" applyBorder="1" applyAlignment="1">
      <alignment wrapText="1"/>
    </xf>
    <xf numFmtId="2" fontId="5" fillId="0" borderId="1" xfId="0" applyNumberFormat="1" applyFont="1" applyFill="1" applyBorder="1" applyAlignment="1">
      <alignment vertical="top"/>
    </xf>
    <xf numFmtId="2" fontId="6" fillId="0" borderId="1" xfId="0" applyNumberFormat="1" applyFont="1" applyFill="1" applyBorder="1" applyAlignment="1">
      <alignment vertical="top"/>
    </xf>
    <xf numFmtId="0" fontId="38" fillId="0" borderId="0" xfId="0" applyFont="1"/>
    <xf numFmtId="0" fontId="38" fillId="0" borderId="0" xfId="0" applyFont="1" applyAlignment="1">
      <alignment horizontal="center"/>
    </xf>
    <xf numFmtId="2" fontId="1" fillId="0" borderId="1" xfId="0" applyNumberFormat="1" applyFont="1" applyFill="1" applyBorder="1" applyAlignment="1">
      <alignment vertical="top" wrapText="1"/>
    </xf>
    <xf numFmtId="49" fontId="14" fillId="0" borderId="0" xfId="0" applyNumberFormat="1" applyFont="1" applyFill="1" applyAlignment="1">
      <alignment horizontal="left" vertical="top" wrapText="1"/>
    </xf>
    <xf numFmtId="0" fontId="14" fillId="0" borderId="0" xfId="0" applyFont="1" applyFill="1" applyAlignment="1">
      <alignment vertical="top" wrapText="1"/>
    </xf>
    <xf numFmtId="0" fontId="13" fillId="0" borderId="1" xfId="1" applyFont="1" applyFill="1" applyBorder="1" applyAlignment="1">
      <alignment horizontal="center" vertical="top" wrapText="1"/>
    </xf>
    <xf numFmtId="0" fontId="13" fillId="0" borderId="1" xfId="1" applyFont="1" applyFill="1" applyBorder="1" applyAlignment="1">
      <alignment horizontal="center" vertical="center" wrapText="1"/>
    </xf>
    <xf numFmtId="0" fontId="14" fillId="0" borderId="0" xfId="0" applyFont="1" applyAlignment="1">
      <alignment horizontal="left" vertical="top" wrapText="1"/>
    </xf>
    <xf numFmtId="0" fontId="13" fillId="0" borderId="0" xfId="1" applyFont="1" applyFill="1" applyBorder="1" applyAlignment="1">
      <alignment horizontal="center" wrapText="1"/>
    </xf>
    <xf numFmtId="0" fontId="13" fillId="0" borderId="1" xfId="1" applyFont="1" applyFill="1" applyBorder="1" applyAlignment="1">
      <alignment vertical="center"/>
    </xf>
    <xf numFmtId="165" fontId="13" fillId="0" borderId="1" xfId="1" applyNumberFormat="1" applyFont="1" applyFill="1" applyBorder="1" applyAlignment="1">
      <alignment horizontal="center" vertical="center"/>
    </xf>
    <xf numFmtId="0" fontId="13" fillId="0" borderId="1" xfId="1" applyFont="1" applyFill="1" applyBorder="1" applyAlignment="1">
      <alignment horizontal="center" vertical="center"/>
    </xf>
    <xf numFmtId="0" fontId="19" fillId="0" borderId="1" xfId="0" applyFont="1" applyBorder="1" applyAlignment="1">
      <alignment vertical="center"/>
    </xf>
    <xf numFmtId="0" fontId="41" fillId="0" borderId="1" xfId="1" applyFont="1" applyFill="1" applyBorder="1" applyAlignment="1">
      <alignment vertical="center"/>
    </xf>
    <xf numFmtId="165" fontId="19" fillId="0" borderId="1" xfId="1" applyNumberFormat="1" applyFont="1" applyFill="1" applyBorder="1" applyAlignment="1">
      <alignment horizontal="center" vertical="center"/>
    </xf>
    <xf numFmtId="0" fontId="19" fillId="0" borderId="0" xfId="0" applyFont="1" applyAlignment="1">
      <alignment vertical="center"/>
    </xf>
    <xf numFmtId="0" fontId="1" fillId="0" borderId="1" xfId="0" applyFont="1" applyFill="1" applyBorder="1" applyAlignment="1">
      <alignment horizontal="left" vertical="top" wrapText="1"/>
    </xf>
    <xf numFmtId="0" fontId="1" fillId="0" borderId="3" xfId="0" applyFont="1" applyFill="1" applyBorder="1" applyAlignment="1">
      <alignment vertical="top" wrapText="1"/>
    </xf>
    <xf numFmtId="0" fontId="14" fillId="0" borderId="1" xfId="0" applyFont="1" applyFill="1" applyBorder="1" applyAlignment="1">
      <alignment horizontal="center" vertical="top" wrapText="1"/>
    </xf>
    <xf numFmtId="4" fontId="6" fillId="0" borderId="0" xfId="0" applyNumberFormat="1" applyFont="1" applyFill="1" applyBorder="1" applyAlignment="1">
      <alignment vertical="top"/>
    </xf>
    <xf numFmtId="0" fontId="1"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1" fillId="0" borderId="1" xfId="0" applyFont="1" applyFill="1" applyBorder="1" applyAlignment="1">
      <alignment vertical="top" wrapText="1"/>
    </xf>
    <xf numFmtId="0" fontId="14" fillId="0" borderId="1" xfId="0" applyFont="1" applyFill="1" applyBorder="1" applyAlignment="1">
      <alignment horizontal="center" vertical="top" wrapText="1"/>
    </xf>
    <xf numFmtId="4" fontId="1" fillId="6" borderId="1" xfId="0" applyNumberFormat="1" applyFont="1" applyFill="1" applyBorder="1" applyAlignment="1">
      <alignment vertical="top"/>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4" fillId="0" borderId="1" xfId="0" applyFont="1" applyFill="1" applyBorder="1" applyAlignment="1">
      <alignment horizontal="center" vertical="top" wrapText="1"/>
    </xf>
    <xf numFmtId="0" fontId="6" fillId="0" borderId="1" xfId="0" applyFont="1" applyFill="1" applyBorder="1" applyAlignment="1">
      <alignment horizontal="left" vertical="top" wrapText="1"/>
    </xf>
    <xf numFmtId="0" fontId="1" fillId="0" borderId="3" xfId="0" applyFont="1" applyFill="1" applyBorder="1" applyAlignment="1">
      <alignment horizontal="left" vertical="top" wrapText="1"/>
    </xf>
    <xf numFmtId="0" fontId="42" fillId="0" borderId="0" xfId="0" applyFont="1" applyFill="1" applyBorder="1" applyAlignment="1">
      <alignment vertical="top"/>
    </xf>
    <xf numFmtId="0" fontId="42" fillId="0" borderId="0" xfId="0" applyFont="1" applyFill="1" applyBorder="1" applyAlignment="1">
      <alignment vertical="top" wrapText="1"/>
    </xf>
    <xf numFmtId="0" fontId="42" fillId="0" borderId="0" xfId="0" applyFont="1" applyFill="1" applyBorder="1" applyAlignment="1">
      <alignment horizontal="center" vertical="top" wrapText="1"/>
    </xf>
    <xf numFmtId="49" fontId="42" fillId="0" borderId="0" xfId="0" applyNumberFormat="1" applyFont="1" applyFill="1" applyBorder="1" applyAlignment="1">
      <alignment horizontal="center" vertical="top"/>
    </xf>
    <xf numFmtId="4" fontId="42" fillId="0" borderId="0" xfId="0" applyNumberFormat="1" applyFont="1" applyFill="1" applyBorder="1" applyAlignment="1">
      <alignment vertical="top"/>
    </xf>
    <xf numFmtId="0" fontId="42" fillId="0" borderId="0" xfId="0" applyFont="1" applyFill="1" applyAlignment="1">
      <alignment vertical="top"/>
    </xf>
    <xf numFmtId="0" fontId="42" fillId="0" borderId="0" xfId="0" applyFont="1" applyFill="1" applyAlignment="1">
      <alignment horizontal="center" vertical="top"/>
    </xf>
    <xf numFmtId="4" fontId="42" fillId="0" borderId="0" xfId="0" applyNumberFormat="1" applyFont="1" applyFill="1" applyAlignment="1">
      <alignment vertical="top"/>
    </xf>
    <xf numFmtId="4" fontId="1" fillId="0" borderId="7" xfId="0" applyNumberFormat="1" applyFont="1" applyFill="1" applyBorder="1" applyAlignment="1">
      <alignment vertical="top"/>
    </xf>
    <xf numFmtId="0" fontId="5" fillId="0" borderId="0" xfId="0" applyFont="1" applyFill="1" applyBorder="1" applyAlignment="1">
      <alignment vertical="top"/>
    </xf>
    <xf numFmtId="0" fontId="1" fillId="0" borderId="0" xfId="0" applyFont="1" applyFill="1" applyBorder="1" applyAlignment="1">
      <alignment wrapText="1"/>
    </xf>
    <xf numFmtId="0" fontId="1" fillId="0" borderId="0" xfId="0" applyFont="1" applyFill="1" applyBorder="1" applyAlignment="1">
      <alignment vertical="top" wrapText="1"/>
    </xf>
    <xf numFmtId="0" fontId="1" fillId="0" borderId="0" xfId="0" applyFont="1" applyFill="1" applyBorder="1" applyAlignment="1">
      <alignment vertical="center"/>
    </xf>
    <xf numFmtId="4" fontId="1" fillId="3" borderId="1" xfId="0" applyNumberFormat="1" applyFont="1" applyFill="1" applyBorder="1" applyAlignment="1">
      <alignment vertical="top"/>
    </xf>
    <xf numFmtId="0" fontId="1"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5" fillId="0" borderId="3" xfId="0" applyFont="1" applyFill="1" applyBorder="1" applyAlignment="1">
      <alignment horizontal="left" vertical="top" wrapText="1"/>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1" fillId="0" borderId="1" xfId="0" applyFont="1" applyFill="1" applyBorder="1" applyAlignment="1">
      <alignment horizontal="left" vertical="top"/>
    </xf>
    <xf numFmtId="0" fontId="3" fillId="0" borderId="1" xfId="0" applyFont="1" applyFill="1" applyBorder="1" applyAlignment="1">
      <alignment horizontal="left" vertical="top" wrapText="1"/>
    </xf>
    <xf numFmtId="0" fontId="1" fillId="0" borderId="1" xfId="0" applyFont="1" applyFill="1" applyBorder="1" applyAlignment="1">
      <alignment vertical="top" wrapText="1"/>
    </xf>
    <xf numFmtId="0" fontId="1" fillId="0" borderId="8" xfId="0" applyFont="1" applyFill="1" applyBorder="1" applyAlignment="1">
      <alignment vertical="top"/>
    </xf>
    <xf numFmtId="0" fontId="1" fillId="0" borderId="11" xfId="0" applyFont="1" applyFill="1" applyBorder="1" applyAlignment="1">
      <alignment horizontal="left" vertical="top" wrapText="1"/>
    </xf>
    <xf numFmtId="4" fontId="2" fillId="3" borderId="1" xfId="0" applyNumberFormat="1" applyFont="1" applyFill="1" applyBorder="1" applyAlignment="1">
      <alignment vertical="top"/>
    </xf>
    <xf numFmtId="0" fontId="13" fillId="0" borderId="1" xfId="0" applyFont="1" applyBorder="1" applyAlignment="1">
      <alignment horizontal="center" vertical="top" wrapText="1"/>
    </xf>
    <xf numFmtId="0" fontId="14" fillId="0" borderId="1" xfId="0" applyFont="1" applyFill="1" applyBorder="1" applyAlignment="1">
      <alignment horizontal="center" vertical="top" wrapText="1"/>
    </xf>
    <xf numFmtId="0" fontId="1"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49" fontId="14" fillId="0" borderId="0" xfId="0" applyNumberFormat="1" applyFont="1" applyFill="1" applyAlignment="1">
      <alignment horizontal="left" vertical="top" wrapText="1"/>
    </xf>
    <xf numFmtId="0" fontId="14" fillId="0" borderId="0" xfId="0" applyFont="1" applyAlignment="1">
      <alignment horizontal="left" vertical="top" wrapText="1"/>
    </xf>
    <xf numFmtId="0" fontId="13" fillId="0" borderId="1" xfId="1" applyFont="1" applyFill="1" applyBorder="1" applyAlignment="1">
      <alignment horizontal="center" vertical="top" wrapText="1"/>
    </xf>
    <xf numFmtId="2" fontId="13" fillId="0" borderId="1" xfId="0" applyNumberFormat="1" applyFont="1" applyBorder="1" applyAlignment="1">
      <alignment vertical="center"/>
    </xf>
    <xf numFmtId="165" fontId="13" fillId="0" borderId="1" xfId="0" applyNumberFormat="1" applyFont="1" applyBorder="1" applyAlignment="1">
      <alignment vertical="center"/>
    </xf>
    <xf numFmtId="4" fontId="13" fillId="0" borderId="1" xfId="0" applyNumberFormat="1" applyFont="1" applyFill="1" applyBorder="1" applyAlignment="1">
      <alignment horizontal="center" vertical="top" wrapText="1"/>
    </xf>
    <xf numFmtId="4" fontId="19" fillId="0" borderId="1" xfId="0" applyNumberFormat="1" applyFont="1" applyFill="1" applyBorder="1" applyAlignment="1">
      <alignment horizontal="center" vertical="center" wrapText="1"/>
    </xf>
    <xf numFmtId="0" fontId="26" fillId="0" borderId="0" xfId="0" applyFont="1" applyFill="1" applyAlignment="1">
      <alignment horizontal="left"/>
    </xf>
    <xf numFmtId="49" fontId="14" fillId="0" borderId="0" xfId="0" applyNumberFormat="1" applyFont="1" applyFill="1" applyAlignment="1">
      <alignment horizontal="left" vertical="top" wrapText="1"/>
    </xf>
    <xf numFmtId="0" fontId="14" fillId="0" borderId="0" xfId="0" applyFont="1" applyAlignment="1">
      <alignment horizontal="left" vertical="top" wrapText="1"/>
    </xf>
    <xf numFmtId="0" fontId="13" fillId="0" borderId="1" xfId="0" applyFont="1" applyFill="1" applyBorder="1" applyAlignment="1">
      <alignment horizontal="center" vertical="top" wrapText="1"/>
    </xf>
    <xf numFmtId="0" fontId="1" fillId="0" borderId="1" xfId="0" applyFont="1" applyFill="1" applyBorder="1" applyAlignment="1">
      <alignment vertical="top" wrapText="1"/>
    </xf>
    <xf numFmtId="0" fontId="6" fillId="0" borderId="1" xfId="0" applyFont="1" applyFill="1" applyBorder="1" applyAlignment="1">
      <alignment vertical="top" wrapText="1"/>
    </xf>
    <xf numFmtId="0" fontId="13" fillId="0" borderId="1" xfId="0" applyFont="1" applyFill="1" applyBorder="1" applyAlignment="1">
      <alignment vertical="top" wrapText="1"/>
    </xf>
    <xf numFmtId="2" fontId="13" fillId="0" borderId="1" xfId="0" applyNumberFormat="1" applyFont="1" applyBorder="1" applyAlignment="1">
      <alignment horizontal="center" vertical="center"/>
    </xf>
    <xf numFmtId="49" fontId="13" fillId="0" borderId="0" xfId="0" applyNumberFormat="1" applyFont="1" applyFill="1" applyAlignment="1">
      <alignment horizontal="left" vertical="top" wrapText="1"/>
    </xf>
    <xf numFmtId="0" fontId="24" fillId="0" borderId="0" xfId="0" applyFont="1" applyAlignment="1">
      <alignment horizontal="left" vertical="top" wrapText="1"/>
    </xf>
    <xf numFmtId="0" fontId="19" fillId="0" borderId="0" xfId="0" applyFont="1" applyAlignment="1">
      <alignment horizontal="center" vertical="center" wrapText="1"/>
    </xf>
    <xf numFmtId="0" fontId="13" fillId="0" borderId="1" xfId="0" applyFont="1" applyBorder="1" applyAlignment="1">
      <alignment horizontal="center" vertical="top" wrapText="1"/>
    </xf>
    <xf numFmtId="0" fontId="19" fillId="0" borderId="0" xfId="0" applyFont="1" applyAlignment="1">
      <alignment horizontal="center" vertical="top" wrapText="1"/>
    </xf>
    <xf numFmtId="0" fontId="13" fillId="0" borderId="10" xfId="0" applyFont="1" applyBorder="1" applyAlignment="1">
      <alignment horizontal="center" vertical="center" wrapText="1"/>
    </xf>
    <xf numFmtId="0" fontId="13" fillId="0" borderId="8" xfId="0" applyFont="1" applyBorder="1" applyAlignment="1">
      <alignment horizontal="center" vertical="center" wrapText="1"/>
    </xf>
    <xf numFmtId="0" fontId="19" fillId="0" borderId="3" xfId="0" applyFont="1" applyBorder="1" applyAlignment="1">
      <alignment horizontal="center" vertical="center" wrapText="1"/>
    </xf>
    <xf numFmtId="0" fontId="13" fillId="0" borderId="6" xfId="0" applyFont="1" applyBorder="1" applyAlignment="1">
      <alignment horizontal="center" wrapText="1"/>
    </xf>
    <xf numFmtId="0" fontId="13" fillId="0" borderId="2" xfId="0" applyFont="1" applyBorder="1" applyAlignment="1">
      <alignment horizontal="center" wrapText="1"/>
    </xf>
    <xf numFmtId="0" fontId="13" fillId="0" borderId="3" xfId="0" applyFont="1" applyBorder="1" applyAlignment="1">
      <alignment horizontal="center" vertical="top" wrapText="1"/>
    </xf>
    <xf numFmtId="0" fontId="13" fillId="0" borderId="2" xfId="0" applyFont="1" applyBorder="1" applyAlignment="1">
      <alignment horizontal="center" vertical="top" wrapText="1"/>
    </xf>
    <xf numFmtId="0" fontId="13" fillId="0" borderId="1" xfId="0" applyFont="1" applyFill="1" applyBorder="1" applyAlignment="1">
      <alignment horizontal="center" vertical="top" wrapText="1"/>
    </xf>
    <xf numFmtId="0" fontId="13" fillId="0" borderId="3" xfId="0" applyFont="1" applyFill="1" applyBorder="1" applyAlignment="1">
      <alignment horizontal="center" vertical="top" wrapText="1"/>
    </xf>
    <xf numFmtId="0" fontId="13" fillId="0" borderId="2" xfId="0" applyFont="1" applyFill="1" applyBorder="1" applyAlignment="1">
      <alignment horizontal="center" vertical="top" wrapText="1"/>
    </xf>
    <xf numFmtId="0" fontId="19" fillId="0" borderId="6" xfId="0" applyFont="1" applyBorder="1" applyAlignment="1">
      <alignment horizontal="center" vertical="center" wrapText="1"/>
    </xf>
    <xf numFmtId="0" fontId="24" fillId="0" borderId="1" xfId="0" applyFont="1" applyBorder="1" applyAlignment="1">
      <alignment horizontal="center" vertical="top" wrapText="1"/>
    </xf>
    <xf numFmtId="0" fontId="0" fillId="0" borderId="0" xfId="0" applyAlignment="1">
      <alignment horizontal="left" vertical="top" wrapText="1"/>
    </xf>
    <xf numFmtId="0" fontId="13"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3" fillId="0" borderId="1" xfId="0" applyFont="1" applyBorder="1" applyAlignment="1">
      <alignment horizontal="center" wrapText="1"/>
    </xf>
    <xf numFmtId="0" fontId="24" fillId="0" borderId="0" xfId="0" applyFont="1" applyAlignment="1">
      <alignment horizontal="left" vertical="center" wrapText="1"/>
    </xf>
    <xf numFmtId="0" fontId="28" fillId="0" borderId="1" xfId="0" applyFont="1" applyBorder="1" applyAlignment="1">
      <alignment horizontal="center" vertical="center" wrapText="1"/>
    </xf>
    <xf numFmtId="0" fontId="28" fillId="0" borderId="3" xfId="0" applyFont="1" applyBorder="1" applyAlignment="1">
      <alignment horizontal="center" vertical="center"/>
    </xf>
    <xf numFmtId="0" fontId="24" fillId="0" borderId="6" xfId="0" applyFont="1" applyBorder="1" applyAlignment="1">
      <alignment horizontal="center" vertical="center"/>
    </xf>
    <xf numFmtId="0" fontId="24" fillId="0" borderId="2" xfId="0" applyFont="1" applyBorder="1" applyAlignment="1">
      <alignment horizontal="center" vertical="center"/>
    </xf>
    <xf numFmtId="0" fontId="28" fillId="0" borderId="0" xfId="0" applyFont="1" applyAlignment="1">
      <alignment horizontal="center" vertical="top" wrapText="1"/>
    </xf>
    <xf numFmtId="0" fontId="28" fillId="0" borderId="3" xfId="0" applyFont="1" applyBorder="1" applyAlignment="1">
      <alignment horizontal="center" vertical="center" wrapText="1"/>
    </xf>
    <xf numFmtId="0" fontId="34" fillId="0" borderId="6" xfId="0" applyFont="1" applyBorder="1" applyAlignment="1">
      <alignment vertical="center" wrapText="1"/>
    </xf>
    <xf numFmtId="0" fontId="34" fillId="0" borderId="2" xfId="0" applyFont="1" applyBorder="1" applyAlignment="1">
      <alignment vertical="center" wrapText="1"/>
    </xf>
    <xf numFmtId="0" fontId="24"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5" fillId="0" borderId="1" xfId="0" applyFont="1" applyFill="1" applyBorder="1" applyAlignment="1">
      <alignment horizontal="left" vertical="top" wrapText="1"/>
    </xf>
    <xf numFmtId="0" fontId="19" fillId="0" borderId="0" xfId="0" applyFont="1" applyFill="1" applyBorder="1" applyAlignment="1">
      <alignment horizontal="center" vertical="center" wrapText="1"/>
    </xf>
    <xf numFmtId="0" fontId="14" fillId="0" borderId="1" xfId="0" applyFont="1" applyFill="1" applyBorder="1" applyAlignment="1">
      <alignment horizontal="center" vertical="top" wrapText="1"/>
    </xf>
    <xf numFmtId="0" fontId="5" fillId="0" borderId="3" xfId="0" applyFont="1" applyFill="1" applyBorder="1" applyAlignment="1">
      <alignment horizontal="center" vertical="top"/>
    </xf>
    <xf numFmtId="0" fontId="5" fillId="0" borderId="2" xfId="0" applyFont="1" applyFill="1" applyBorder="1" applyAlignment="1">
      <alignment horizontal="center" vertical="top"/>
    </xf>
    <xf numFmtId="0" fontId="6"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3" xfId="0" applyFont="1" applyFill="1" applyBorder="1" applyAlignment="1">
      <alignment horizontal="left" wrapText="1"/>
    </xf>
    <xf numFmtId="0" fontId="1" fillId="0" borderId="2" xfId="0" applyFont="1" applyFill="1" applyBorder="1" applyAlignment="1">
      <alignment horizontal="left" wrapText="1"/>
    </xf>
    <xf numFmtId="0" fontId="6" fillId="0" borderId="1" xfId="0" applyFont="1" applyFill="1" applyBorder="1" applyAlignment="1">
      <alignment horizontal="left" vertical="top"/>
    </xf>
    <xf numFmtId="0" fontId="1" fillId="0" borderId="1" xfId="0" applyFont="1" applyFill="1" applyBorder="1" applyAlignment="1">
      <alignment horizontal="left" vertical="top"/>
    </xf>
    <xf numFmtId="0" fontId="9" fillId="0" borderId="6" xfId="0" applyFont="1" applyFill="1" applyBorder="1" applyAlignment="1">
      <alignment horizontal="left" vertical="top" wrapText="1"/>
    </xf>
    <xf numFmtId="0" fontId="9" fillId="0" borderId="2"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2" xfId="0" applyFont="1" applyFill="1" applyBorder="1" applyAlignment="1">
      <alignment horizontal="left" vertical="top" wrapText="1"/>
    </xf>
    <xf numFmtId="0" fontId="1" fillId="0" borderId="3" xfId="0" applyFont="1" applyFill="1" applyBorder="1" applyAlignment="1">
      <alignment vertical="top" wrapText="1"/>
    </xf>
    <xf numFmtId="0" fontId="1" fillId="0" borderId="2" xfId="0" applyFont="1" applyFill="1" applyBorder="1" applyAlignment="1">
      <alignment vertical="top" wrapText="1"/>
    </xf>
    <xf numFmtId="0" fontId="6" fillId="0" borderId="3" xfId="0" applyFont="1" applyFill="1" applyBorder="1" applyAlignment="1">
      <alignment horizontal="left" vertical="top" wrapText="1"/>
    </xf>
    <xf numFmtId="0" fontId="6" fillId="0" borderId="2" xfId="0" applyFont="1" applyFill="1" applyBorder="1" applyAlignment="1">
      <alignment horizontal="left" vertical="top" wrapText="1"/>
    </xf>
    <xf numFmtId="0" fontId="13" fillId="0" borderId="3" xfId="0" applyFont="1" applyFill="1" applyBorder="1" applyAlignment="1">
      <alignment horizontal="left" vertical="top" wrapText="1"/>
    </xf>
    <xf numFmtId="0" fontId="13" fillId="0" borderId="2" xfId="0" applyFont="1" applyFill="1" applyBorder="1" applyAlignment="1">
      <alignment horizontal="left" vertical="top" wrapText="1"/>
    </xf>
    <xf numFmtId="0" fontId="4" fillId="0" borderId="1" xfId="0" applyFont="1" applyFill="1" applyBorder="1" applyAlignment="1">
      <alignment horizontal="left" vertical="top" wrapText="1"/>
    </xf>
    <xf numFmtId="0" fontId="1" fillId="0" borderId="3" xfId="0" applyFont="1" applyFill="1" applyBorder="1" applyAlignment="1">
      <alignment horizontal="left" vertical="top"/>
    </xf>
    <xf numFmtId="0" fontId="1" fillId="0" borderId="2" xfId="0" applyFont="1" applyFill="1" applyBorder="1" applyAlignment="1">
      <alignment horizontal="left" vertical="top"/>
    </xf>
    <xf numFmtId="0" fontId="4" fillId="0" borderId="3" xfId="0" applyFont="1" applyFill="1" applyBorder="1" applyAlignment="1">
      <alignment horizontal="left" vertical="top" wrapText="1"/>
    </xf>
    <xf numFmtId="0" fontId="4" fillId="0" borderId="2" xfId="0" applyFont="1" applyFill="1" applyBorder="1" applyAlignment="1">
      <alignment horizontal="left" vertical="top" wrapText="1"/>
    </xf>
    <xf numFmtId="0" fontId="5" fillId="0" borderId="1" xfId="0" applyFont="1" applyFill="1" applyBorder="1" applyAlignment="1">
      <alignment horizontal="center" vertical="top"/>
    </xf>
    <xf numFmtId="0" fontId="1" fillId="0" borderId="1" xfId="0" applyFont="1" applyFill="1" applyBorder="1" applyAlignment="1">
      <alignment vertical="top" wrapText="1"/>
    </xf>
    <xf numFmtId="0" fontId="5" fillId="0" borderId="1" xfId="0" applyFont="1" applyFill="1" applyBorder="1" applyAlignment="1">
      <alignment horizontal="center" vertical="top" wrapText="1"/>
    </xf>
    <xf numFmtId="0" fontId="6" fillId="0" borderId="1" xfId="0" applyFont="1" applyFill="1" applyBorder="1" applyAlignment="1">
      <alignment vertical="top" wrapText="1"/>
    </xf>
    <xf numFmtId="0" fontId="3" fillId="0" borderId="1" xfId="0" applyFont="1" applyFill="1" applyBorder="1" applyAlignment="1">
      <alignment horizontal="left" vertical="top" wrapText="1"/>
    </xf>
    <xf numFmtId="0" fontId="6" fillId="0" borderId="1" xfId="0" applyFont="1" applyFill="1" applyBorder="1" applyAlignment="1">
      <alignment vertical="top"/>
    </xf>
    <xf numFmtId="0" fontId="14" fillId="0" borderId="0" xfId="0" applyFont="1" applyFill="1" applyAlignment="1">
      <alignment horizontal="left" vertical="top" wrapText="1"/>
    </xf>
    <xf numFmtId="49" fontId="14" fillId="0" borderId="0" xfId="0" applyNumberFormat="1" applyFont="1" applyFill="1" applyAlignment="1">
      <alignment horizontal="left" vertical="top" wrapText="1"/>
    </xf>
    <xf numFmtId="0" fontId="2" fillId="0" borderId="1" xfId="0" applyFont="1" applyFill="1" applyBorder="1" applyAlignment="1">
      <alignment horizontal="left" vertical="top" wrapText="1"/>
    </xf>
    <xf numFmtId="0" fontId="5" fillId="0" borderId="3" xfId="0" applyFont="1" applyFill="1" applyBorder="1" applyAlignment="1">
      <alignment horizontal="center" vertical="top" wrapText="1"/>
    </xf>
    <xf numFmtId="0" fontId="5" fillId="0" borderId="2" xfId="0" applyFont="1" applyFill="1" applyBorder="1" applyAlignment="1">
      <alignment horizontal="center" vertical="top" wrapText="1"/>
    </xf>
    <xf numFmtId="0" fontId="1" fillId="0" borderId="4" xfId="0" applyFont="1" applyFill="1" applyBorder="1" applyAlignment="1">
      <alignment horizontal="center" vertical="top"/>
    </xf>
    <xf numFmtId="0" fontId="6" fillId="0" borderId="3" xfId="0" applyFont="1" applyFill="1" applyBorder="1" applyAlignment="1">
      <alignment horizontal="left" vertical="top"/>
    </xf>
    <xf numFmtId="0" fontId="6" fillId="0" borderId="2" xfId="0" applyFont="1" applyFill="1" applyBorder="1" applyAlignment="1">
      <alignment horizontal="left" vertical="top"/>
    </xf>
    <xf numFmtId="0" fontId="20" fillId="0" borderId="3" xfId="0" applyFont="1" applyFill="1" applyBorder="1" applyAlignment="1">
      <alignment horizontal="center" vertical="top" wrapText="1"/>
    </xf>
    <xf numFmtId="0" fontId="20" fillId="0" borderId="2" xfId="0" applyFont="1" applyFill="1" applyBorder="1" applyAlignment="1">
      <alignment horizontal="center" vertical="top" wrapText="1"/>
    </xf>
    <xf numFmtId="0" fontId="14" fillId="0" borderId="0" xfId="0" applyFont="1" applyFill="1" applyAlignment="1">
      <alignment vertical="top" wrapText="1"/>
    </xf>
    <xf numFmtId="0" fontId="16" fillId="0" borderId="0" xfId="1" applyFont="1" applyFill="1" applyBorder="1" applyAlignment="1">
      <alignment horizontal="center" vertical="center" wrapText="1"/>
    </xf>
    <xf numFmtId="0" fontId="14" fillId="0" borderId="0" xfId="0" applyFont="1" applyAlignment="1">
      <alignment horizontal="left" vertical="top" wrapText="1"/>
    </xf>
    <xf numFmtId="0" fontId="13" fillId="0" borderId="1" xfId="1" applyFont="1" applyFill="1" applyBorder="1" applyAlignment="1">
      <alignment horizontal="center" vertical="top" wrapText="1"/>
    </xf>
    <xf numFmtId="0" fontId="13" fillId="0" borderId="1" xfId="1" applyFont="1" applyFill="1" applyBorder="1" applyAlignment="1">
      <alignment horizontal="center" vertical="center" wrapText="1"/>
    </xf>
    <xf numFmtId="0" fontId="23" fillId="0" borderId="0" xfId="1" applyFont="1" applyFill="1" applyBorder="1" applyAlignment="1">
      <alignment horizontal="center" vertical="center" wrapText="1"/>
    </xf>
    <xf numFmtId="0" fontId="19" fillId="0" borderId="0" xfId="1" applyFont="1" applyFill="1" applyBorder="1" applyAlignment="1">
      <alignment horizontal="center" vertical="center" wrapText="1"/>
    </xf>
    <xf numFmtId="49" fontId="14" fillId="0" borderId="0" xfId="0" applyNumberFormat="1" applyFont="1" applyAlignment="1">
      <alignment horizontal="left" vertical="top" wrapText="1"/>
    </xf>
    <xf numFmtId="0" fontId="23" fillId="0" borderId="0" xfId="1" applyFont="1" applyFill="1" applyBorder="1" applyAlignment="1">
      <alignment horizontal="center" wrapText="1"/>
    </xf>
    <xf numFmtId="0" fontId="13" fillId="0" borderId="0" xfId="0" applyFont="1" applyFill="1" applyAlignment="1">
      <alignment horizontal="left" vertical="top"/>
    </xf>
    <xf numFmtId="0" fontId="13" fillId="0" borderId="1" xfId="0" applyFont="1" applyFill="1" applyBorder="1" applyAlignment="1">
      <alignment vertical="top" wrapText="1"/>
    </xf>
    <xf numFmtId="0" fontId="19" fillId="0" borderId="1" xfId="0" applyFont="1" applyFill="1" applyBorder="1" applyAlignment="1">
      <alignment vertical="center" wrapText="1"/>
    </xf>
    <xf numFmtId="0" fontId="23" fillId="0" borderId="0" xfId="0" applyFont="1" applyFill="1" applyAlignment="1">
      <alignment horizontal="center" vertical="center" wrapText="1"/>
    </xf>
    <xf numFmtId="0" fontId="1" fillId="0" borderId="0" xfId="0" applyFont="1" applyFill="1" applyAlignment="1">
      <alignment horizontal="right" vertical="top"/>
    </xf>
    <xf numFmtId="0" fontId="19" fillId="0" borderId="0" xfId="0" applyFont="1" applyFill="1" applyBorder="1" applyAlignment="1">
      <alignment horizontal="center" wrapText="1"/>
    </xf>
    <xf numFmtId="0" fontId="19" fillId="0" borderId="0" xfId="0" applyFont="1" applyFill="1" applyBorder="1" applyAlignment="1">
      <alignment wrapText="1"/>
    </xf>
    <xf numFmtId="0" fontId="14" fillId="0" borderId="0" xfId="0" applyFont="1" applyFill="1" applyBorder="1" applyAlignment="1">
      <alignment horizontal="center" wrapText="1"/>
    </xf>
    <xf numFmtId="4" fontId="14" fillId="0" borderId="0" xfId="0" applyNumberFormat="1" applyFont="1" applyFill="1" applyBorder="1" applyAlignment="1">
      <alignment horizontal="center" wrapText="1"/>
    </xf>
    <xf numFmtId="0" fontId="14" fillId="0" borderId="0" xfId="0" applyFont="1" applyFill="1" applyBorder="1" applyAlignment="1">
      <alignment wrapText="1"/>
    </xf>
    <xf numFmtId="0" fontId="2" fillId="0" borderId="0" xfId="0" applyFont="1" applyAlignment="1">
      <alignment vertical="top"/>
    </xf>
    <xf numFmtId="0" fontId="2" fillId="0" borderId="0" xfId="0" applyFont="1" applyAlignment="1">
      <alignment vertical="top" wrapText="1"/>
    </xf>
    <xf numFmtId="49" fontId="1" fillId="2" borderId="10" xfId="0" applyNumberFormat="1" applyFont="1" applyFill="1" applyBorder="1" applyAlignment="1">
      <alignment horizontal="center" vertical="top" wrapText="1" shrinkToFit="1"/>
    </xf>
    <xf numFmtId="0" fontId="1" fillId="0" borderId="1" xfId="0" applyFont="1" applyBorder="1" applyAlignment="1">
      <alignment horizontal="center" vertical="top" wrapText="1"/>
    </xf>
    <xf numFmtId="4" fontId="10" fillId="0" borderId="1" xfId="0" applyNumberFormat="1" applyFont="1" applyBorder="1" applyAlignment="1">
      <alignment vertical="top" wrapText="1"/>
    </xf>
    <xf numFmtId="4" fontId="10" fillId="0" borderId="1" xfId="0" applyNumberFormat="1" applyFont="1" applyFill="1" applyBorder="1" applyAlignment="1">
      <alignment vertical="top" wrapText="1"/>
    </xf>
    <xf numFmtId="4" fontId="10" fillId="0" borderId="0" xfId="0" applyNumberFormat="1" applyFont="1" applyFill="1" applyBorder="1" applyAlignment="1">
      <alignment vertical="top" wrapText="1"/>
    </xf>
    <xf numFmtId="0" fontId="2" fillId="0" borderId="1" xfId="0" applyFont="1" applyBorder="1" applyAlignment="1">
      <alignment vertical="top"/>
    </xf>
    <xf numFmtId="0" fontId="6" fillId="0" borderId="1" xfId="0" applyFont="1" applyBorder="1" applyAlignment="1">
      <alignment horizontal="right" vertical="top"/>
    </xf>
    <xf numFmtId="0" fontId="6" fillId="0" borderId="1" xfId="0" applyFont="1" applyBorder="1" applyAlignment="1">
      <alignment vertical="top"/>
    </xf>
    <xf numFmtId="4" fontId="6" fillId="0" borderId="1" xfId="0" applyNumberFormat="1" applyFont="1" applyBorder="1" applyAlignment="1">
      <alignment vertical="top"/>
    </xf>
    <xf numFmtId="0" fontId="1" fillId="0" borderId="0" xfId="0" applyFont="1" applyAlignment="1">
      <alignment vertical="top"/>
    </xf>
    <xf numFmtId="0" fontId="6" fillId="0" borderId="1" xfId="0" applyFont="1" applyBorder="1" applyAlignment="1">
      <alignment vertical="top" wrapText="1"/>
    </xf>
    <xf numFmtId="0" fontId="1" fillId="0" borderId="1" xfId="0" applyFont="1" applyBorder="1" applyAlignment="1">
      <alignment horizontal="right" vertical="top"/>
    </xf>
    <xf numFmtId="0" fontId="1" fillId="0" borderId="1" xfId="0" applyFont="1" applyBorder="1" applyAlignment="1">
      <alignment vertical="top" wrapText="1"/>
    </xf>
    <xf numFmtId="4" fontId="1" fillId="2" borderId="1" xfId="0" applyNumberFormat="1" applyFont="1" applyFill="1" applyBorder="1" applyAlignment="1">
      <alignment vertical="top"/>
    </xf>
    <xf numFmtId="4" fontId="1" fillId="0" borderId="0" xfId="0" applyNumberFormat="1" applyFont="1" applyFill="1" applyBorder="1" applyAlignment="1">
      <alignment vertical="top" wrapText="1"/>
    </xf>
    <xf numFmtId="0" fontId="1" fillId="0" borderId="1" xfId="0" applyNumberFormat="1" applyFont="1" applyBorder="1" applyAlignment="1">
      <alignment vertical="top" wrapText="1"/>
    </xf>
    <xf numFmtId="4" fontId="1" fillId="0" borderId="1" xfId="0" applyNumberFormat="1" applyFont="1" applyBorder="1" applyAlignment="1">
      <alignment vertical="top"/>
    </xf>
    <xf numFmtId="4" fontId="6" fillId="2" borderId="1" xfId="0" applyNumberFormat="1" applyFont="1" applyFill="1" applyBorder="1" applyAlignment="1">
      <alignment vertical="top" wrapText="1"/>
    </xf>
    <xf numFmtId="4" fontId="6" fillId="0" borderId="1" xfId="0" applyNumberFormat="1" applyFont="1" applyFill="1" applyBorder="1" applyAlignment="1">
      <alignment vertical="top" wrapText="1"/>
    </xf>
    <xf numFmtId="4" fontId="6" fillId="0" borderId="0" xfId="0" applyNumberFormat="1" applyFont="1" applyFill="1" applyBorder="1" applyAlignment="1">
      <alignment vertical="top" wrapText="1"/>
    </xf>
    <xf numFmtId="4" fontId="1" fillId="2" borderId="1" xfId="0" applyNumberFormat="1" applyFont="1" applyFill="1" applyBorder="1" applyAlignment="1">
      <alignment vertical="top" wrapText="1"/>
    </xf>
    <xf numFmtId="0" fontId="1" fillId="0" borderId="1" xfId="0" applyFont="1" applyBorder="1" applyAlignment="1">
      <alignment horizontal="left" vertical="top" wrapText="1"/>
    </xf>
    <xf numFmtId="4" fontId="1" fillId="0" borderId="1" xfId="0" applyNumberFormat="1" applyFont="1" applyBorder="1" applyAlignment="1">
      <alignment vertical="top" wrapText="1"/>
    </xf>
    <xf numFmtId="4" fontId="6" fillId="0" borderId="1" xfId="0" applyNumberFormat="1" applyFont="1" applyBorder="1" applyAlignment="1">
      <alignment vertical="top" wrapText="1"/>
    </xf>
    <xf numFmtId="0" fontId="9" fillId="0" borderId="0" xfId="0" applyFont="1" applyAlignment="1">
      <alignment vertical="top"/>
    </xf>
    <xf numFmtId="0" fontId="19" fillId="0" borderId="1" xfId="0" applyFont="1" applyFill="1" applyBorder="1" applyAlignment="1">
      <alignment horizontal="center" vertical="top" wrapText="1"/>
    </xf>
    <xf numFmtId="0" fontId="19" fillId="0" borderId="1" xfId="0" applyFont="1" applyFill="1" applyBorder="1" applyAlignment="1">
      <alignment vertical="top" wrapText="1"/>
    </xf>
    <xf numFmtId="168" fontId="2" fillId="0" borderId="0" xfId="0" applyNumberFormat="1" applyFont="1" applyAlignment="1">
      <alignment vertical="top"/>
    </xf>
    <xf numFmtId="0" fontId="4" fillId="0" borderId="1" xfId="0" applyFont="1" applyFill="1" applyBorder="1" applyAlignment="1">
      <alignment horizontal="center" vertical="top" wrapText="1"/>
    </xf>
    <xf numFmtId="0" fontId="4" fillId="0" borderId="1" xfId="0" applyFont="1" applyFill="1" applyBorder="1" applyAlignment="1">
      <alignment vertical="top" wrapText="1"/>
    </xf>
    <xf numFmtId="4" fontId="6" fillId="0" borderId="1" xfId="0" applyNumberFormat="1" applyFont="1" applyFill="1" applyBorder="1" applyAlignment="1">
      <alignment vertical="center" wrapText="1"/>
    </xf>
    <xf numFmtId="4" fontId="6" fillId="0" borderId="0" xfId="0" applyNumberFormat="1" applyFont="1" applyFill="1" applyBorder="1" applyAlignment="1">
      <alignment vertical="center" wrapText="1"/>
    </xf>
    <xf numFmtId="0" fontId="9" fillId="0" borderId="0" xfId="0" applyFont="1" applyAlignment="1">
      <alignment vertical="center"/>
    </xf>
    <xf numFmtId="4" fontId="2" fillId="0" borderId="0" xfId="0" applyNumberFormat="1" applyFont="1" applyAlignment="1">
      <alignment vertical="top"/>
    </xf>
    <xf numFmtId="49" fontId="1" fillId="0" borderId="0" xfId="0" applyNumberFormat="1" applyFont="1" applyFill="1" applyBorder="1" applyAlignment="1">
      <alignment vertical="top" wrapText="1"/>
    </xf>
  </cellXfs>
  <cellStyles count="3">
    <cellStyle name="Гиперссылка" xfId="2" builtinId="8"/>
    <cellStyle name="Обычный" xfId="0" builtinId="0"/>
    <cellStyle name="Обычный_method_2_1" xfId="1"/>
  </cellStyles>
  <dxfs count="0"/>
  <tableStyles count="0" defaultTableStyle="TableStyleMedium2" defaultPivotStyle="PivotStyleMedium9"/>
  <colors>
    <mruColors>
      <color rgb="FF0033CC"/>
      <color rgb="FFFFCCFF"/>
      <color rgb="FF99FFCC"/>
      <color rgb="FF66FF99"/>
      <color rgb="FFCCECFF"/>
      <color rgb="FFCC0099"/>
      <color rgb="FFFF5050"/>
      <color rgb="FFCCFFFF"/>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0</xdr:colOff>
      <xdr:row>1</xdr:row>
      <xdr:rowOff>0</xdr:rowOff>
    </xdr:to>
    <xdr:sp macro="" textlink="">
      <xdr:nvSpPr>
        <xdr:cNvPr id="2" name="AutoShape 5"/>
        <xdr:cNvSpPr>
          <a:spLocks noChangeArrowheads="1"/>
        </xdr:cNvSpPr>
      </xdr:nvSpPr>
      <xdr:spPr bwMode="auto">
        <a:xfrm>
          <a:off x="7848600" y="142875"/>
          <a:ext cx="0" cy="0"/>
        </a:xfrm>
        <a:prstGeom prst="wedgeRoundRectCallout">
          <a:avLst>
            <a:gd name="adj1" fmla="val 16838"/>
            <a:gd name="adj2" fmla="val 105384"/>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3</xdr:col>
      <xdr:colOff>0</xdr:colOff>
      <xdr:row>8</xdr:row>
      <xdr:rowOff>0</xdr:rowOff>
    </xdr:from>
    <xdr:to>
      <xdr:col>3</xdr:col>
      <xdr:colOff>0</xdr:colOff>
      <xdr:row>9</xdr:row>
      <xdr:rowOff>76200</xdr:rowOff>
    </xdr:to>
    <xdr:sp macro="" textlink="">
      <xdr:nvSpPr>
        <xdr:cNvPr id="3" name="AutoShape 7"/>
        <xdr:cNvSpPr>
          <a:spLocks noChangeArrowheads="1"/>
        </xdr:cNvSpPr>
      </xdr:nvSpPr>
      <xdr:spPr bwMode="auto">
        <a:xfrm>
          <a:off x="7848600" y="4038600"/>
          <a:ext cx="0" cy="590550"/>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3</xdr:col>
      <xdr:colOff>0</xdr:colOff>
      <xdr:row>1</xdr:row>
      <xdr:rowOff>0</xdr:rowOff>
    </xdr:from>
    <xdr:to>
      <xdr:col>3</xdr:col>
      <xdr:colOff>0</xdr:colOff>
      <xdr:row>1</xdr:row>
      <xdr:rowOff>0</xdr:rowOff>
    </xdr:to>
    <xdr:sp macro="" textlink="">
      <xdr:nvSpPr>
        <xdr:cNvPr id="4" name="AutoShape 14"/>
        <xdr:cNvSpPr>
          <a:spLocks noChangeArrowheads="1"/>
        </xdr:cNvSpPr>
      </xdr:nvSpPr>
      <xdr:spPr bwMode="auto">
        <a:xfrm>
          <a:off x="7848600" y="142875"/>
          <a:ext cx="0" cy="0"/>
        </a:xfrm>
        <a:prstGeom prst="wedgeRoundRectCallout">
          <a:avLst>
            <a:gd name="adj1" fmla="val 8491"/>
            <a:gd name="adj2" fmla="val 3316667"/>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3</xdr:col>
      <xdr:colOff>0</xdr:colOff>
      <xdr:row>8</xdr:row>
      <xdr:rowOff>0</xdr:rowOff>
    </xdr:from>
    <xdr:to>
      <xdr:col>3</xdr:col>
      <xdr:colOff>0</xdr:colOff>
      <xdr:row>9</xdr:row>
      <xdr:rowOff>76200</xdr:rowOff>
    </xdr:to>
    <xdr:sp macro="" textlink="">
      <xdr:nvSpPr>
        <xdr:cNvPr id="5" name="AutoShape 21"/>
        <xdr:cNvSpPr>
          <a:spLocks noChangeArrowheads="1"/>
        </xdr:cNvSpPr>
      </xdr:nvSpPr>
      <xdr:spPr bwMode="auto">
        <a:xfrm>
          <a:off x="7848600" y="4038600"/>
          <a:ext cx="0" cy="590550"/>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3</xdr:col>
      <xdr:colOff>0</xdr:colOff>
      <xdr:row>8</xdr:row>
      <xdr:rowOff>0</xdr:rowOff>
    </xdr:from>
    <xdr:to>
      <xdr:col>3</xdr:col>
      <xdr:colOff>0</xdr:colOff>
      <xdr:row>9</xdr:row>
      <xdr:rowOff>123825</xdr:rowOff>
    </xdr:to>
    <xdr:sp macro="" textlink="">
      <xdr:nvSpPr>
        <xdr:cNvPr id="6" name="AutoShape 22"/>
        <xdr:cNvSpPr>
          <a:spLocks noChangeArrowheads="1"/>
        </xdr:cNvSpPr>
      </xdr:nvSpPr>
      <xdr:spPr bwMode="auto">
        <a:xfrm>
          <a:off x="7848600" y="4038600"/>
          <a:ext cx="0" cy="638175"/>
        </a:xfrm>
        <a:prstGeom prst="wedgeRoundRectCallout">
          <a:avLst>
            <a:gd name="adj1" fmla="val -29593"/>
            <a:gd name="adj2" fmla="val -120588"/>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3</xdr:col>
      <xdr:colOff>0</xdr:colOff>
      <xdr:row>1</xdr:row>
      <xdr:rowOff>0</xdr:rowOff>
    </xdr:from>
    <xdr:to>
      <xdr:col>3</xdr:col>
      <xdr:colOff>0</xdr:colOff>
      <xdr:row>1</xdr:row>
      <xdr:rowOff>0</xdr:rowOff>
    </xdr:to>
    <xdr:sp macro="" textlink="">
      <xdr:nvSpPr>
        <xdr:cNvPr id="10" name="AutoShape 5"/>
        <xdr:cNvSpPr>
          <a:spLocks noChangeArrowheads="1"/>
        </xdr:cNvSpPr>
      </xdr:nvSpPr>
      <xdr:spPr bwMode="auto">
        <a:xfrm>
          <a:off x="7848600" y="142875"/>
          <a:ext cx="0" cy="0"/>
        </a:xfrm>
        <a:prstGeom prst="wedgeRoundRectCallout">
          <a:avLst>
            <a:gd name="adj1" fmla="val 16838"/>
            <a:gd name="adj2" fmla="val 105384"/>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3</xdr:col>
      <xdr:colOff>0</xdr:colOff>
      <xdr:row>8</xdr:row>
      <xdr:rowOff>0</xdr:rowOff>
    </xdr:from>
    <xdr:to>
      <xdr:col>3</xdr:col>
      <xdr:colOff>0</xdr:colOff>
      <xdr:row>9</xdr:row>
      <xdr:rowOff>76200</xdr:rowOff>
    </xdr:to>
    <xdr:sp macro="" textlink="">
      <xdr:nvSpPr>
        <xdr:cNvPr id="11" name="AutoShape 7"/>
        <xdr:cNvSpPr>
          <a:spLocks noChangeArrowheads="1"/>
        </xdr:cNvSpPr>
      </xdr:nvSpPr>
      <xdr:spPr bwMode="auto">
        <a:xfrm>
          <a:off x="7848600" y="4038600"/>
          <a:ext cx="0" cy="590550"/>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3</xdr:col>
      <xdr:colOff>0</xdr:colOff>
      <xdr:row>8</xdr:row>
      <xdr:rowOff>0</xdr:rowOff>
    </xdr:from>
    <xdr:to>
      <xdr:col>3</xdr:col>
      <xdr:colOff>0</xdr:colOff>
      <xdr:row>9</xdr:row>
      <xdr:rowOff>123825</xdr:rowOff>
    </xdr:to>
    <xdr:sp macro="" textlink="">
      <xdr:nvSpPr>
        <xdr:cNvPr id="12" name="AutoShape 8"/>
        <xdr:cNvSpPr>
          <a:spLocks noChangeArrowheads="1"/>
        </xdr:cNvSpPr>
      </xdr:nvSpPr>
      <xdr:spPr bwMode="auto">
        <a:xfrm>
          <a:off x="7848600" y="4038600"/>
          <a:ext cx="0" cy="638175"/>
        </a:xfrm>
        <a:prstGeom prst="wedgeRoundRectCallout">
          <a:avLst>
            <a:gd name="adj1" fmla="val -29593"/>
            <a:gd name="adj2" fmla="val -120588"/>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3</xdr:col>
      <xdr:colOff>0</xdr:colOff>
      <xdr:row>1</xdr:row>
      <xdr:rowOff>0</xdr:rowOff>
    </xdr:from>
    <xdr:to>
      <xdr:col>3</xdr:col>
      <xdr:colOff>0</xdr:colOff>
      <xdr:row>1</xdr:row>
      <xdr:rowOff>0</xdr:rowOff>
    </xdr:to>
    <xdr:sp macro="" textlink="">
      <xdr:nvSpPr>
        <xdr:cNvPr id="13" name="AutoShape 14"/>
        <xdr:cNvSpPr>
          <a:spLocks noChangeArrowheads="1"/>
        </xdr:cNvSpPr>
      </xdr:nvSpPr>
      <xdr:spPr bwMode="auto">
        <a:xfrm>
          <a:off x="7848600" y="142875"/>
          <a:ext cx="0" cy="0"/>
        </a:xfrm>
        <a:prstGeom prst="wedgeRoundRectCallout">
          <a:avLst>
            <a:gd name="adj1" fmla="val 8491"/>
            <a:gd name="adj2" fmla="val 3316667"/>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3</xdr:col>
      <xdr:colOff>0</xdr:colOff>
      <xdr:row>8</xdr:row>
      <xdr:rowOff>0</xdr:rowOff>
    </xdr:from>
    <xdr:to>
      <xdr:col>3</xdr:col>
      <xdr:colOff>0</xdr:colOff>
      <xdr:row>9</xdr:row>
      <xdr:rowOff>76200</xdr:rowOff>
    </xdr:to>
    <xdr:sp macro="" textlink="">
      <xdr:nvSpPr>
        <xdr:cNvPr id="14" name="AutoShape 21"/>
        <xdr:cNvSpPr>
          <a:spLocks noChangeArrowheads="1"/>
        </xdr:cNvSpPr>
      </xdr:nvSpPr>
      <xdr:spPr bwMode="auto">
        <a:xfrm>
          <a:off x="7848600" y="4038600"/>
          <a:ext cx="0" cy="590550"/>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3</xdr:col>
      <xdr:colOff>0</xdr:colOff>
      <xdr:row>8</xdr:row>
      <xdr:rowOff>0</xdr:rowOff>
    </xdr:from>
    <xdr:to>
      <xdr:col>3</xdr:col>
      <xdr:colOff>0</xdr:colOff>
      <xdr:row>9</xdr:row>
      <xdr:rowOff>123825</xdr:rowOff>
    </xdr:to>
    <xdr:sp macro="" textlink="">
      <xdr:nvSpPr>
        <xdr:cNvPr id="15" name="AutoShape 22"/>
        <xdr:cNvSpPr>
          <a:spLocks noChangeArrowheads="1"/>
        </xdr:cNvSpPr>
      </xdr:nvSpPr>
      <xdr:spPr bwMode="auto">
        <a:xfrm>
          <a:off x="7848600" y="4038600"/>
          <a:ext cx="0" cy="638175"/>
        </a:xfrm>
        <a:prstGeom prst="wedgeRoundRectCallout">
          <a:avLst>
            <a:gd name="adj1" fmla="val -29593"/>
            <a:gd name="adj2" fmla="val -120588"/>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2</xdr:col>
      <xdr:colOff>0</xdr:colOff>
      <xdr:row>5</xdr:row>
      <xdr:rowOff>0</xdr:rowOff>
    </xdr:from>
    <xdr:to>
      <xdr:col>2</xdr:col>
      <xdr:colOff>0</xdr:colOff>
      <xdr:row>5</xdr:row>
      <xdr:rowOff>0</xdr:rowOff>
    </xdr:to>
    <xdr:sp macro="" textlink="">
      <xdr:nvSpPr>
        <xdr:cNvPr id="20" name="AutoShape 4"/>
        <xdr:cNvSpPr>
          <a:spLocks noChangeArrowheads="1"/>
        </xdr:cNvSpPr>
      </xdr:nvSpPr>
      <xdr:spPr bwMode="auto">
        <a:xfrm>
          <a:off x="4581525" y="2943225"/>
          <a:ext cx="0" cy="0"/>
        </a:xfrm>
        <a:prstGeom prst="wedgeRoundRectCallout">
          <a:avLst>
            <a:gd name="adj1" fmla="val 16838"/>
            <a:gd name="adj2" fmla="val 105384"/>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2</xdr:col>
      <xdr:colOff>0</xdr:colOff>
      <xdr:row>5</xdr:row>
      <xdr:rowOff>0</xdr:rowOff>
    </xdr:from>
    <xdr:to>
      <xdr:col>2</xdr:col>
      <xdr:colOff>0</xdr:colOff>
      <xdr:row>5</xdr:row>
      <xdr:rowOff>0</xdr:rowOff>
    </xdr:to>
    <xdr:sp macro="" textlink="">
      <xdr:nvSpPr>
        <xdr:cNvPr id="21" name="AutoShape 9"/>
        <xdr:cNvSpPr>
          <a:spLocks noChangeArrowheads="1"/>
        </xdr:cNvSpPr>
      </xdr:nvSpPr>
      <xdr:spPr bwMode="auto">
        <a:xfrm>
          <a:off x="4581525" y="2943225"/>
          <a:ext cx="0" cy="0"/>
        </a:xfrm>
        <a:prstGeom prst="wedgeRoundRectCallout">
          <a:avLst>
            <a:gd name="adj1" fmla="val 8491"/>
            <a:gd name="adj2" fmla="val 3316667"/>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2</xdr:col>
      <xdr:colOff>0</xdr:colOff>
      <xdr:row>5</xdr:row>
      <xdr:rowOff>0</xdr:rowOff>
    </xdr:from>
    <xdr:to>
      <xdr:col>2</xdr:col>
      <xdr:colOff>0</xdr:colOff>
      <xdr:row>5</xdr:row>
      <xdr:rowOff>0</xdr:rowOff>
    </xdr:to>
    <xdr:sp macro="" textlink="">
      <xdr:nvSpPr>
        <xdr:cNvPr id="22" name="AutoShape 4"/>
        <xdr:cNvSpPr>
          <a:spLocks noChangeArrowheads="1"/>
        </xdr:cNvSpPr>
      </xdr:nvSpPr>
      <xdr:spPr bwMode="auto">
        <a:xfrm>
          <a:off x="4581525" y="2943225"/>
          <a:ext cx="0" cy="0"/>
        </a:xfrm>
        <a:prstGeom prst="wedgeRoundRectCallout">
          <a:avLst>
            <a:gd name="adj1" fmla="val 16838"/>
            <a:gd name="adj2" fmla="val 105384"/>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2</xdr:col>
      <xdr:colOff>0</xdr:colOff>
      <xdr:row>5</xdr:row>
      <xdr:rowOff>0</xdr:rowOff>
    </xdr:from>
    <xdr:to>
      <xdr:col>2</xdr:col>
      <xdr:colOff>0</xdr:colOff>
      <xdr:row>5</xdr:row>
      <xdr:rowOff>0</xdr:rowOff>
    </xdr:to>
    <xdr:sp macro="" textlink="">
      <xdr:nvSpPr>
        <xdr:cNvPr id="23" name="AutoShape 9"/>
        <xdr:cNvSpPr>
          <a:spLocks noChangeArrowheads="1"/>
        </xdr:cNvSpPr>
      </xdr:nvSpPr>
      <xdr:spPr bwMode="auto">
        <a:xfrm>
          <a:off x="4581525" y="2943225"/>
          <a:ext cx="0" cy="0"/>
        </a:xfrm>
        <a:prstGeom prst="wedgeRoundRectCallout">
          <a:avLst>
            <a:gd name="adj1" fmla="val 8491"/>
            <a:gd name="adj2" fmla="val 3316667"/>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1</xdr:row>
      <xdr:rowOff>0</xdr:rowOff>
    </xdr:from>
    <xdr:to>
      <xdr:col>5</xdr:col>
      <xdr:colOff>0</xdr:colOff>
      <xdr:row>1</xdr:row>
      <xdr:rowOff>0</xdr:rowOff>
    </xdr:to>
    <xdr:sp macro="" textlink="">
      <xdr:nvSpPr>
        <xdr:cNvPr id="2" name="AutoShape 5"/>
        <xdr:cNvSpPr>
          <a:spLocks noChangeArrowheads="1"/>
        </xdr:cNvSpPr>
      </xdr:nvSpPr>
      <xdr:spPr bwMode="auto">
        <a:xfrm>
          <a:off x="7848600" y="142875"/>
          <a:ext cx="0" cy="0"/>
        </a:xfrm>
        <a:prstGeom prst="wedgeRoundRectCallout">
          <a:avLst>
            <a:gd name="adj1" fmla="val 16838"/>
            <a:gd name="adj2" fmla="val 105384"/>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5</xdr:col>
      <xdr:colOff>0</xdr:colOff>
      <xdr:row>7</xdr:row>
      <xdr:rowOff>0</xdr:rowOff>
    </xdr:from>
    <xdr:to>
      <xdr:col>5</xdr:col>
      <xdr:colOff>0</xdr:colOff>
      <xdr:row>8</xdr:row>
      <xdr:rowOff>76200</xdr:rowOff>
    </xdr:to>
    <xdr:sp macro="" textlink="">
      <xdr:nvSpPr>
        <xdr:cNvPr id="3" name="AutoShape 7"/>
        <xdr:cNvSpPr>
          <a:spLocks noChangeArrowheads="1"/>
        </xdr:cNvSpPr>
      </xdr:nvSpPr>
      <xdr:spPr bwMode="auto">
        <a:xfrm>
          <a:off x="7848600" y="3552825"/>
          <a:ext cx="0" cy="466725"/>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5</xdr:col>
      <xdr:colOff>0</xdr:colOff>
      <xdr:row>1</xdr:row>
      <xdr:rowOff>0</xdr:rowOff>
    </xdr:from>
    <xdr:to>
      <xdr:col>5</xdr:col>
      <xdr:colOff>0</xdr:colOff>
      <xdr:row>1</xdr:row>
      <xdr:rowOff>0</xdr:rowOff>
    </xdr:to>
    <xdr:sp macro="" textlink="">
      <xdr:nvSpPr>
        <xdr:cNvPr id="4" name="AutoShape 14"/>
        <xdr:cNvSpPr>
          <a:spLocks noChangeArrowheads="1"/>
        </xdr:cNvSpPr>
      </xdr:nvSpPr>
      <xdr:spPr bwMode="auto">
        <a:xfrm>
          <a:off x="7848600" y="142875"/>
          <a:ext cx="0" cy="0"/>
        </a:xfrm>
        <a:prstGeom prst="wedgeRoundRectCallout">
          <a:avLst>
            <a:gd name="adj1" fmla="val 8491"/>
            <a:gd name="adj2" fmla="val 3316667"/>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5</xdr:col>
      <xdr:colOff>0</xdr:colOff>
      <xdr:row>7</xdr:row>
      <xdr:rowOff>0</xdr:rowOff>
    </xdr:from>
    <xdr:to>
      <xdr:col>5</xdr:col>
      <xdr:colOff>0</xdr:colOff>
      <xdr:row>8</xdr:row>
      <xdr:rowOff>76200</xdr:rowOff>
    </xdr:to>
    <xdr:sp macro="" textlink="">
      <xdr:nvSpPr>
        <xdr:cNvPr id="5" name="AutoShape 21"/>
        <xdr:cNvSpPr>
          <a:spLocks noChangeArrowheads="1"/>
        </xdr:cNvSpPr>
      </xdr:nvSpPr>
      <xdr:spPr bwMode="auto">
        <a:xfrm>
          <a:off x="7848600" y="3552825"/>
          <a:ext cx="0" cy="466725"/>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5</xdr:col>
      <xdr:colOff>0</xdr:colOff>
      <xdr:row>7</xdr:row>
      <xdr:rowOff>0</xdr:rowOff>
    </xdr:from>
    <xdr:to>
      <xdr:col>5</xdr:col>
      <xdr:colOff>0</xdr:colOff>
      <xdr:row>8</xdr:row>
      <xdr:rowOff>123825</xdr:rowOff>
    </xdr:to>
    <xdr:sp macro="" textlink="">
      <xdr:nvSpPr>
        <xdr:cNvPr id="6" name="AutoShape 22"/>
        <xdr:cNvSpPr>
          <a:spLocks noChangeArrowheads="1"/>
        </xdr:cNvSpPr>
      </xdr:nvSpPr>
      <xdr:spPr bwMode="auto">
        <a:xfrm>
          <a:off x="7848600" y="3552825"/>
          <a:ext cx="0" cy="514350"/>
        </a:xfrm>
        <a:prstGeom prst="wedgeRoundRectCallout">
          <a:avLst>
            <a:gd name="adj1" fmla="val -29593"/>
            <a:gd name="adj2" fmla="val -120588"/>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5</xdr:col>
      <xdr:colOff>0</xdr:colOff>
      <xdr:row>1</xdr:row>
      <xdr:rowOff>0</xdr:rowOff>
    </xdr:from>
    <xdr:to>
      <xdr:col>5</xdr:col>
      <xdr:colOff>0</xdr:colOff>
      <xdr:row>1</xdr:row>
      <xdr:rowOff>0</xdr:rowOff>
    </xdr:to>
    <xdr:sp macro="" textlink="">
      <xdr:nvSpPr>
        <xdr:cNvPr id="10" name="AutoShape 5"/>
        <xdr:cNvSpPr>
          <a:spLocks noChangeArrowheads="1"/>
        </xdr:cNvSpPr>
      </xdr:nvSpPr>
      <xdr:spPr bwMode="auto">
        <a:xfrm>
          <a:off x="7848600" y="142875"/>
          <a:ext cx="0" cy="0"/>
        </a:xfrm>
        <a:prstGeom prst="wedgeRoundRectCallout">
          <a:avLst>
            <a:gd name="adj1" fmla="val 16838"/>
            <a:gd name="adj2" fmla="val 105384"/>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5</xdr:col>
      <xdr:colOff>0</xdr:colOff>
      <xdr:row>7</xdr:row>
      <xdr:rowOff>0</xdr:rowOff>
    </xdr:from>
    <xdr:to>
      <xdr:col>5</xdr:col>
      <xdr:colOff>0</xdr:colOff>
      <xdr:row>8</xdr:row>
      <xdr:rowOff>76200</xdr:rowOff>
    </xdr:to>
    <xdr:sp macro="" textlink="">
      <xdr:nvSpPr>
        <xdr:cNvPr id="11" name="AutoShape 7"/>
        <xdr:cNvSpPr>
          <a:spLocks noChangeArrowheads="1"/>
        </xdr:cNvSpPr>
      </xdr:nvSpPr>
      <xdr:spPr bwMode="auto">
        <a:xfrm>
          <a:off x="7848600" y="3552825"/>
          <a:ext cx="0" cy="466725"/>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5</xdr:col>
      <xdr:colOff>0</xdr:colOff>
      <xdr:row>7</xdr:row>
      <xdr:rowOff>0</xdr:rowOff>
    </xdr:from>
    <xdr:to>
      <xdr:col>5</xdr:col>
      <xdr:colOff>0</xdr:colOff>
      <xdr:row>8</xdr:row>
      <xdr:rowOff>123825</xdr:rowOff>
    </xdr:to>
    <xdr:sp macro="" textlink="">
      <xdr:nvSpPr>
        <xdr:cNvPr id="12" name="AutoShape 8"/>
        <xdr:cNvSpPr>
          <a:spLocks noChangeArrowheads="1"/>
        </xdr:cNvSpPr>
      </xdr:nvSpPr>
      <xdr:spPr bwMode="auto">
        <a:xfrm>
          <a:off x="7848600" y="3552825"/>
          <a:ext cx="0" cy="514350"/>
        </a:xfrm>
        <a:prstGeom prst="wedgeRoundRectCallout">
          <a:avLst>
            <a:gd name="adj1" fmla="val -29593"/>
            <a:gd name="adj2" fmla="val -120588"/>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5</xdr:col>
      <xdr:colOff>0</xdr:colOff>
      <xdr:row>1</xdr:row>
      <xdr:rowOff>0</xdr:rowOff>
    </xdr:from>
    <xdr:to>
      <xdr:col>5</xdr:col>
      <xdr:colOff>0</xdr:colOff>
      <xdr:row>1</xdr:row>
      <xdr:rowOff>0</xdr:rowOff>
    </xdr:to>
    <xdr:sp macro="" textlink="">
      <xdr:nvSpPr>
        <xdr:cNvPr id="13" name="AutoShape 14"/>
        <xdr:cNvSpPr>
          <a:spLocks noChangeArrowheads="1"/>
        </xdr:cNvSpPr>
      </xdr:nvSpPr>
      <xdr:spPr bwMode="auto">
        <a:xfrm>
          <a:off x="7848600" y="142875"/>
          <a:ext cx="0" cy="0"/>
        </a:xfrm>
        <a:prstGeom prst="wedgeRoundRectCallout">
          <a:avLst>
            <a:gd name="adj1" fmla="val 8491"/>
            <a:gd name="adj2" fmla="val 3316667"/>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5</xdr:col>
      <xdr:colOff>0</xdr:colOff>
      <xdr:row>7</xdr:row>
      <xdr:rowOff>0</xdr:rowOff>
    </xdr:from>
    <xdr:to>
      <xdr:col>5</xdr:col>
      <xdr:colOff>0</xdr:colOff>
      <xdr:row>8</xdr:row>
      <xdr:rowOff>76200</xdr:rowOff>
    </xdr:to>
    <xdr:sp macro="" textlink="">
      <xdr:nvSpPr>
        <xdr:cNvPr id="14" name="AutoShape 21"/>
        <xdr:cNvSpPr>
          <a:spLocks noChangeArrowheads="1"/>
        </xdr:cNvSpPr>
      </xdr:nvSpPr>
      <xdr:spPr bwMode="auto">
        <a:xfrm>
          <a:off x="7848600" y="3552825"/>
          <a:ext cx="0" cy="466725"/>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5</xdr:col>
      <xdr:colOff>0</xdr:colOff>
      <xdr:row>7</xdr:row>
      <xdr:rowOff>0</xdr:rowOff>
    </xdr:from>
    <xdr:to>
      <xdr:col>5</xdr:col>
      <xdr:colOff>0</xdr:colOff>
      <xdr:row>8</xdr:row>
      <xdr:rowOff>123825</xdr:rowOff>
    </xdr:to>
    <xdr:sp macro="" textlink="">
      <xdr:nvSpPr>
        <xdr:cNvPr id="15" name="AutoShape 22"/>
        <xdr:cNvSpPr>
          <a:spLocks noChangeArrowheads="1"/>
        </xdr:cNvSpPr>
      </xdr:nvSpPr>
      <xdr:spPr bwMode="auto">
        <a:xfrm>
          <a:off x="7848600" y="3552825"/>
          <a:ext cx="0" cy="514350"/>
        </a:xfrm>
        <a:prstGeom prst="wedgeRoundRectCallout">
          <a:avLst>
            <a:gd name="adj1" fmla="val -29593"/>
            <a:gd name="adj2" fmla="val -120588"/>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2</xdr:col>
      <xdr:colOff>0</xdr:colOff>
      <xdr:row>4</xdr:row>
      <xdr:rowOff>0</xdr:rowOff>
    </xdr:from>
    <xdr:to>
      <xdr:col>2</xdr:col>
      <xdr:colOff>0</xdr:colOff>
      <xdr:row>4</xdr:row>
      <xdr:rowOff>0</xdr:rowOff>
    </xdr:to>
    <xdr:sp macro="" textlink="">
      <xdr:nvSpPr>
        <xdr:cNvPr id="20" name="AutoShape 4"/>
        <xdr:cNvSpPr>
          <a:spLocks noChangeArrowheads="1"/>
        </xdr:cNvSpPr>
      </xdr:nvSpPr>
      <xdr:spPr bwMode="auto">
        <a:xfrm>
          <a:off x="4581525" y="2638425"/>
          <a:ext cx="0" cy="0"/>
        </a:xfrm>
        <a:prstGeom prst="wedgeRoundRectCallout">
          <a:avLst>
            <a:gd name="adj1" fmla="val 16838"/>
            <a:gd name="adj2" fmla="val 105384"/>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2</xdr:col>
      <xdr:colOff>0</xdr:colOff>
      <xdr:row>4</xdr:row>
      <xdr:rowOff>0</xdr:rowOff>
    </xdr:from>
    <xdr:to>
      <xdr:col>2</xdr:col>
      <xdr:colOff>0</xdr:colOff>
      <xdr:row>4</xdr:row>
      <xdr:rowOff>0</xdr:rowOff>
    </xdr:to>
    <xdr:sp macro="" textlink="">
      <xdr:nvSpPr>
        <xdr:cNvPr id="21" name="AutoShape 9"/>
        <xdr:cNvSpPr>
          <a:spLocks noChangeArrowheads="1"/>
        </xdr:cNvSpPr>
      </xdr:nvSpPr>
      <xdr:spPr bwMode="auto">
        <a:xfrm>
          <a:off x="4581525" y="2638425"/>
          <a:ext cx="0" cy="0"/>
        </a:xfrm>
        <a:prstGeom prst="wedgeRoundRectCallout">
          <a:avLst>
            <a:gd name="adj1" fmla="val 8491"/>
            <a:gd name="adj2" fmla="val 3316667"/>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2</xdr:col>
      <xdr:colOff>0</xdr:colOff>
      <xdr:row>4</xdr:row>
      <xdr:rowOff>0</xdr:rowOff>
    </xdr:from>
    <xdr:to>
      <xdr:col>2</xdr:col>
      <xdr:colOff>0</xdr:colOff>
      <xdr:row>4</xdr:row>
      <xdr:rowOff>0</xdr:rowOff>
    </xdr:to>
    <xdr:sp macro="" textlink="">
      <xdr:nvSpPr>
        <xdr:cNvPr id="22" name="AutoShape 4"/>
        <xdr:cNvSpPr>
          <a:spLocks noChangeArrowheads="1"/>
        </xdr:cNvSpPr>
      </xdr:nvSpPr>
      <xdr:spPr bwMode="auto">
        <a:xfrm>
          <a:off x="4581525" y="2638425"/>
          <a:ext cx="0" cy="0"/>
        </a:xfrm>
        <a:prstGeom prst="wedgeRoundRectCallout">
          <a:avLst>
            <a:gd name="adj1" fmla="val 16838"/>
            <a:gd name="adj2" fmla="val 105384"/>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2</xdr:col>
      <xdr:colOff>0</xdr:colOff>
      <xdr:row>4</xdr:row>
      <xdr:rowOff>0</xdr:rowOff>
    </xdr:from>
    <xdr:to>
      <xdr:col>2</xdr:col>
      <xdr:colOff>0</xdr:colOff>
      <xdr:row>4</xdr:row>
      <xdr:rowOff>0</xdr:rowOff>
    </xdr:to>
    <xdr:sp macro="" textlink="">
      <xdr:nvSpPr>
        <xdr:cNvPr id="23" name="AutoShape 9"/>
        <xdr:cNvSpPr>
          <a:spLocks noChangeArrowheads="1"/>
        </xdr:cNvSpPr>
      </xdr:nvSpPr>
      <xdr:spPr bwMode="auto">
        <a:xfrm>
          <a:off x="4581525" y="2638425"/>
          <a:ext cx="0" cy="0"/>
        </a:xfrm>
        <a:prstGeom prst="wedgeRoundRectCallout">
          <a:avLst>
            <a:gd name="adj1" fmla="val 8491"/>
            <a:gd name="adj2" fmla="val 3316667"/>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48;&#1079;&#1084;.&#1088;&#1077;&#1096;&#1077;&#1085;&#1080;&#1081;%202015%20&#1075;&#1086;&#1076;/&#1048;&#1079;&#1084;&#1077;&#1085;&#1077;&#1085;&#1080;&#1103;/&#1055;&#1088;&#1080;&#1083;&#1086;&#1078;&#1077;&#1085;&#1080;&#1103;%202015-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статки"/>
      <sheetName val="Лист2"/>
      <sheetName val="Публ"/>
      <sheetName val="От пос"/>
      <sheetName val="Пос-м"/>
      <sheetName val=" Дох.15"/>
      <sheetName val="1 Норм"/>
      <sheetName val="2 Адм.дох"/>
      <sheetName val="3 Ист.дох"/>
      <sheetName val="4 Адм.ОГВ"/>
      <sheetName val="5.Адм.ист."/>
      <sheetName val="0801"/>
      <sheetName val="Функц."/>
      <sheetName val="6 Вед15"/>
      <sheetName val="8 МП15"/>
      <sheetName val="7 Вед.15-16"/>
      <sheetName val="9 МП15-16"/>
      <sheetName val="10.1 Выр.15"/>
      <sheetName val="10.2 Сб 15"/>
      <sheetName val="10.3 Ком.15"/>
      <sheetName val="10.4 В.уч15"/>
      <sheetName val="10.5 Прот.15"/>
      <sheetName val="10.6 Дороги"/>
      <sheetName val="10.7 Сб.МР"/>
      <sheetName val="10.8 Жилф"/>
      <sheetName val="10.9 Газ"/>
      <sheetName val="11.1 Выр.16-17"/>
      <sheetName val="11.2 СБ.16-17"/>
      <sheetName val="11.3 Ком.16-17"/>
      <sheetName val="11.4 В.уч.16-17"/>
      <sheetName val="11.5 Прот.16-17"/>
      <sheetName val="12 Ист.15"/>
      <sheetName val="13 Ист.15-16"/>
      <sheetName val="14.1 дороги"/>
      <sheetName val="Расчет жилье"/>
      <sheetName val="Лист1"/>
    </sheetNames>
    <sheetDataSet>
      <sheetData sheetId="0"/>
      <sheetData sheetId="1"/>
      <sheetData sheetId="2"/>
      <sheetData sheetId="3">
        <row r="11">
          <cell r="D11">
            <v>12112800</v>
          </cell>
        </row>
      </sheetData>
      <sheetData sheetId="4"/>
      <sheetData sheetId="5"/>
      <sheetData sheetId="6"/>
      <sheetData sheetId="7"/>
      <sheetData sheetId="8"/>
      <sheetData sheetId="9"/>
      <sheetData sheetId="10"/>
      <sheetData sheetId="11"/>
      <sheetData sheetId="12"/>
      <sheetData sheetId="13">
        <row r="68">
          <cell r="J68">
            <v>428902</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consultantplus://offline/ref=E88F0C8B57259A8E16544F9DC27CADC22B5729ED2611768BD70DA245F7B40A830CAE0EEB7020B4B475BE71c8fBK" TargetMode="External"/><Relationship Id="rId2" Type="http://schemas.openxmlformats.org/officeDocument/2006/relationships/hyperlink" Target="consultantplus://offline/ref=E88F0C8B57259A8E16544F9DC27CADC22B5729ED2611768BD70DA245F7B40A830CAE0EEB7020B4B475BE71c8fBK" TargetMode="External"/><Relationship Id="rId1" Type="http://schemas.openxmlformats.org/officeDocument/2006/relationships/hyperlink" Target="consultantplus://offline/ref=E88F0C8B57259A8E16544F9DC27CADC22B5729ED2611768BD70DA245F7B40A830CAE0EEB7020B4B475BE71c8fBK" TargetMode="External"/><Relationship Id="rId4"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7"/>
  <sheetViews>
    <sheetView tabSelected="1" topLeftCell="A85" workbookViewId="0">
      <selection activeCell="A9" sqref="A9:XFD70"/>
    </sheetView>
  </sheetViews>
  <sheetFormatPr defaultRowHeight="12" x14ac:dyDescent="0.25"/>
  <cols>
    <col min="1" max="1" width="22.85546875" style="564" customWidth="1"/>
    <col min="2" max="2" width="60.28515625" style="564" customWidth="1"/>
    <col min="3" max="3" width="15.28515625" style="564" hidden="1" customWidth="1"/>
    <col min="4" max="5" width="14" style="564" hidden="1" customWidth="1"/>
    <col min="6" max="6" width="16.28515625" style="564" hidden="1" customWidth="1"/>
    <col min="7" max="7" width="14.140625" style="66" hidden="1" customWidth="1"/>
    <col min="8" max="8" width="13" style="564" hidden="1" customWidth="1"/>
    <col min="9" max="9" width="13.5703125" style="66" hidden="1" customWidth="1"/>
    <col min="10" max="10" width="13" style="564" hidden="1" customWidth="1"/>
    <col min="11" max="11" width="13.5703125" style="66" hidden="1" customWidth="1"/>
    <col min="12" max="12" width="13" style="564" hidden="1" customWidth="1"/>
    <col min="13" max="13" width="15.7109375" style="66" customWidth="1"/>
    <col min="14" max="15" width="13.5703125" style="66" hidden="1" customWidth="1"/>
    <col min="16" max="17" width="2.5703125" style="564" hidden="1" customWidth="1"/>
    <col min="18" max="18" width="14" style="564" hidden="1" customWidth="1"/>
    <col min="19" max="19" width="13" style="564" hidden="1" customWidth="1"/>
    <col min="20" max="20" width="15.7109375" style="564" customWidth="1"/>
    <col min="21" max="22" width="14" style="564" hidden="1" customWidth="1"/>
    <col min="23" max="23" width="15.7109375" style="564" customWidth="1"/>
    <col min="24" max="197" width="9.140625" style="564"/>
    <col min="198" max="198" width="25.42578125" style="564" customWidth="1"/>
    <col min="199" max="199" width="56.28515625" style="564" customWidth="1"/>
    <col min="200" max="200" width="14" style="564" customWidth="1"/>
    <col min="201" max="202" width="14.5703125" style="564" customWidth="1"/>
    <col min="203" max="203" width="14.140625" style="564" customWidth="1"/>
    <col min="204" max="204" width="15.140625" style="564" customWidth="1"/>
    <col min="205" max="205" width="13.85546875" style="564" customWidth="1"/>
    <col min="206" max="207" width="14.7109375" style="564" customWidth="1"/>
    <col min="208" max="208" width="12.85546875" style="564" customWidth="1"/>
    <col min="209" max="209" width="13.5703125" style="564" customWidth="1"/>
    <col min="210" max="210" width="12.7109375" style="564" customWidth="1"/>
    <col min="211" max="211" width="13.42578125" style="564" customWidth="1"/>
    <col min="212" max="212" width="13.140625" style="564" customWidth="1"/>
    <col min="213" max="213" width="14.7109375" style="564" customWidth="1"/>
    <col min="214" max="214" width="14.5703125" style="564" customWidth="1"/>
    <col min="215" max="215" width="13" style="564" customWidth="1"/>
    <col min="216" max="216" width="15" style="564" customWidth="1"/>
    <col min="217" max="218" width="12.140625" style="564" customWidth="1"/>
    <col min="219" max="219" width="12" style="564" customWidth="1"/>
    <col min="220" max="220" width="13.5703125" style="564" customWidth="1"/>
    <col min="221" max="221" width="14" style="564" customWidth="1"/>
    <col min="222" max="222" width="12.28515625" style="564" customWidth="1"/>
    <col min="223" max="223" width="14.140625" style="564" customWidth="1"/>
    <col min="224" max="224" width="13" style="564" customWidth="1"/>
    <col min="225" max="225" width="13.5703125" style="564" customWidth="1"/>
    <col min="226" max="226" width="12.42578125" style="564" customWidth="1"/>
    <col min="227" max="227" width="12.5703125" style="564" customWidth="1"/>
    <col min="228" max="228" width="11.7109375" style="564" customWidth="1"/>
    <col min="229" max="229" width="13.7109375" style="564" customWidth="1"/>
    <col min="230" max="230" width="13.28515625" style="564" customWidth="1"/>
    <col min="231" max="231" width="13.140625" style="564" customWidth="1"/>
    <col min="232" max="232" width="12" style="564" customWidth="1"/>
    <col min="233" max="233" width="12.140625" style="564" customWidth="1"/>
    <col min="234" max="234" width="12.28515625" style="564" customWidth="1"/>
    <col min="235" max="235" width="12.140625" style="564" customWidth="1"/>
    <col min="236" max="236" width="12.5703125" style="564" customWidth="1"/>
    <col min="237" max="453" width="9.140625" style="564"/>
    <col min="454" max="454" width="25.42578125" style="564" customWidth="1"/>
    <col min="455" max="455" width="56.28515625" style="564" customWidth="1"/>
    <col min="456" max="456" width="14" style="564" customWidth="1"/>
    <col min="457" max="458" width="14.5703125" style="564" customWidth="1"/>
    <col min="459" max="459" width="14.140625" style="564" customWidth="1"/>
    <col min="460" max="460" width="15.140625" style="564" customWidth="1"/>
    <col min="461" max="461" width="13.85546875" style="564" customWidth="1"/>
    <col min="462" max="463" width="14.7109375" style="564" customWidth="1"/>
    <col min="464" max="464" width="12.85546875" style="564" customWidth="1"/>
    <col min="465" max="465" width="13.5703125" style="564" customWidth="1"/>
    <col min="466" max="466" width="12.7109375" style="564" customWidth="1"/>
    <col min="467" max="467" width="13.42578125" style="564" customWidth="1"/>
    <col min="468" max="468" width="13.140625" style="564" customWidth="1"/>
    <col min="469" max="469" width="14.7109375" style="564" customWidth="1"/>
    <col min="470" max="470" width="14.5703125" style="564" customWidth="1"/>
    <col min="471" max="471" width="13" style="564" customWidth="1"/>
    <col min="472" max="472" width="15" style="564" customWidth="1"/>
    <col min="473" max="474" width="12.140625" style="564" customWidth="1"/>
    <col min="475" max="475" width="12" style="564" customWidth="1"/>
    <col min="476" max="476" width="13.5703125" style="564" customWidth="1"/>
    <col min="477" max="477" width="14" style="564" customWidth="1"/>
    <col min="478" max="478" width="12.28515625" style="564" customWidth="1"/>
    <col min="479" max="479" width="14.140625" style="564" customWidth="1"/>
    <col min="480" max="480" width="13" style="564" customWidth="1"/>
    <col min="481" max="481" width="13.5703125" style="564" customWidth="1"/>
    <col min="482" max="482" width="12.42578125" style="564" customWidth="1"/>
    <col min="483" max="483" width="12.5703125" style="564" customWidth="1"/>
    <col min="484" max="484" width="11.7109375" style="564" customWidth="1"/>
    <col min="485" max="485" width="13.7109375" style="564" customWidth="1"/>
    <col min="486" max="486" width="13.28515625" style="564" customWidth="1"/>
    <col min="487" max="487" width="13.140625" style="564" customWidth="1"/>
    <col min="488" max="488" width="12" style="564" customWidth="1"/>
    <col min="489" max="489" width="12.140625" style="564" customWidth="1"/>
    <col min="490" max="490" width="12.28515625" style="564" customWidth="1"/>
    <col min="491" max="491" width="12.140625" style="564" customWidth="1"/>
    <col min="492" max="492" width="12.5703125" style="564" customWidth="1"/>
    <col min="493" max="709" width="9.140625" style="564"/>
    <col min="710" max="710" width="25.42578125" style="564" customWidth="1"/>
    <col min="711" max="711" width="56.28515625" style="564" customWidth="1"/>
    <col min="712" max="712" width="14" style="564" customWidth="1"/>
    <col min="713" max="714" width="14.5703125" style="564" customWidth="1"/>
    <col min="715" max="715" width="14.140625" style="564" customWidth="1"/>
    <col min="716" max="716" width="15.140625" style="564" customWidth="1"/>
    <col min="717" max="717" width="13.85546875" style="564" customWidth="1"/>
    <col min="718" max="719" width="14.7109375" style="564" customWidth="1"/>
    <col min="720" max="720" width="12.85546875" style="564" customWidth="1"/>
    <col min="721" max="721" width="13.5703125" style="564" customWidth="1"/>
    <col min="722" max="722" width="12.7109375" style="564" customWidth="1"/>
    <col min="723" max="723" width="13.42578125" style="564" customWidth="1"/>
    <col min="724" max="724" width="13.140625" style="564" customWidth="1"/>
    <col min="725" max="725" width="14.7109375" style="564" customWidth="1"/>
    <col min="726" max="726" width="14.5703125" style="564" customWidth="1"/>
    <col min="727" max="727" width="13" style="564" customWidth="1"/>
    <col min="728" max="728" width="15" style="564" customWidth="1"/>
    <col min="729" max="730" width="12.140625" style="564" customWidth="1"/>
    <col min="731" max="731" width="12" style="564" customWidth="1"/>
    <col min="732" max="732" width="13.5703125" style="564" customWidth="1"/>
    <col min="733" max="733" width="14" style="564" customWidth="1"/>
    <col min="734" max="734" width="12.28515625" style="564" customWidth="1"/>
    <col min="735" max="735" width="14.140625" style="564" customWidth="1"/>
    <col min="736" max="736" width="13" style="564" customWidth="1"/>
    <col min="737" max="737" width="13.5703125" style="564" customWidth="1"/>
    <col min="738" max="738" width="12.42578125" style="564" customWidth="1"/>
    <col min="739" max="739" width="12.5703125" style="564" customWidth="1"/>
    <col min="740" max="740" width="11.7109375" style="564" customWidth="1"/>
    <col min="741" max="741" width="13.7109375" style="564" customWidth="1"/>
    <col min="742" max="742" width="13.28515625" style="564" customWidth="1"/>
    <col min="743" max="743" width="13.140625" style="564" customWidth="1"/>
    <col min="744" max="744" width="12" style="564" customWidth="1"/>
    <col min="745" max="745" width="12.140625" style="564" customWidth="1"/>
    <col min="746" max="746" width="12.28515625" style="564" customWidth="1"/>
    <col min="747" max="747" width="12.140625" style="564" customWidth="1"/>
    <col min="748" max="748" width="12.5703125" style="564" customWidth="1"/>
    <col min="749" max="965" width="9.140625" style="564"/>
    <col min="966" max="966" width="25.42578125" style="564" customWidth="1"/>
    <col min="967" max="967" width="56.28515625" style="564" customWidth="1"/>
    <col min="968" max="968" width="14" style="564" customWidth="1"/>
    <col min="969" max="970" width="14.5703125" style="564" customWidth="1"/>
    <col min="971" max="971" width="14.140625" style="564" customWidth="1"/>
    <col min="972" max="972" width="15.140625" style="564" customWidth="1"/>
    <col min="973" max="973" width="13.85546875" style="564" customWidth="1"/>
    <col min="974" max="975" width="14.7109375" style="564" customWidth="1"/>
    <col min="976" max="976" width="12.85546875" style="564" customWidth="1"/>
    <col min="977" max="977" width="13.5703125" style="564" customWidth="1"/>
    <col min="978" max="978" width="12.7109375" style="564" customWidth="1"/>
    <col min="979" max="979" width="13.42578125" style="564" customWidth="1"/>
    <col min="980" max="980" width="13.140625" style="564" customWidth="1"/>
    <col min="981" max="981" width="14.7109375" style="564" customWidth="1"/>
    <col min="982" max="982" width="14.5703125" style="564" customWidth="1"/>
    <col min="983" max="983" width="13" style="564" customWidth="1"/>
    <col min="984" max="984" width="15" style="564" customWidth="1"/>
    <col min="985" max="986" width="12.140625" style="564" customWidth="1"/>
    <col min="987" max="987" width="12" style="564" customWidth="1"/>
    <col min="988" max="988" width="13.5703125" style="564" customWidth="1"/>
    <col min="989" max="989" width="14" style="564" customWidth="1"/>
    <col min="990" max="990" width="12.28515625" style="564" customWidth="1"/>
    <col min="991" max="991" width="14.140625" style="564" customWidth="1"/>
    <col min="992" max="992" width="13" style="564" customWidth="1"/>
    <col min="993" max="993" width="13.5703125" style="564" customWidth="1"/>
    <col min="994" max="994" width="12.42578125" style="564" customWidth="1"/>
    <col min="995" max="995" width="12.5703125" style="564" customWidth="1"/>
    <col min="996" max="996" width="11.7109375" style="564" customWidth="1"/>
    <col min="997" max="997" width="13.7109375" style="564" customWidth="1"/>
    <col min="998" max="998" width="13.28515625" style="564" customWidth="1"/>
    <col min="999" max="999" width="13.140625" style="564" customWidth="1"/>
    <col min="1000" max="1000" width="12" style="564" customWidth="1"/>
    <col min="1001" max="1001" width="12.140625" style="564" customWidth="1"/>
    <col min="1002" max="1002" width="12.28515625" style="564" customWidth="1"/>
    <col min="1003" max="1003" width="12.140625" style="564" customWidth="1"/>
    <col min="1004" max="1004" width="12.5703125" style="564" customWidth="1"/>
    <col min="1005" max="1221" width="9.140625" style="564"/>
    <col min="1222" max="1222" width="25.42578125" style="564" customWidth="1"/>
    <col min="1223" max="1223" width="56.28515625" style="564" customWidth="1"/>
    <col min="1224" max="1224" width="14" style="564" customWidth="1"/>
    <col min="1225" max="1226" width="14.5703125" style="564" customWidth="1"/>
    <col min="1227" max="1227" width="14.140625" style="564" customWidth="1"/>
    <col min="1228" max="1228" width="15.140625" style="564" customWidth="1"/>
    <col min="1229" max="1229" width="13.85546875" style="564" customWidth="1"/>
    <col min="1230" max="1231" width="14.7109375" style="564" customWidth="1"/>
    <col min="1232" max="1232" width="12.85546875" style="564" customWidth="1"/>
    <col min="1233" max="1233" width="13.5703125" style="564" customWidth="1"/>
    <col min="1234" max="1234" width="12.7109375" style="564" customWidth="1"/>
    <col min="1235" max="1235" width="13.42578125" style="564" customWidth="1"/>
    <col min="1236" max="1236" width="13.140625" style="564" customWidth="1"/>
    <col min="1237" max="1237" width="14.7109375" style="564" customWidth="1"/>
    <col min="1238" max="1238" width="14.5703125" style="564" customWidth="1"/>
    <col min="1239" max="1239" width="13" style="564" customWidth="1"/>
    <col min="1240" max="1240" width="15" style="564" customWidth="1"/>
    <col min="1241" max="1242" width="12.140625" style="564" customWidth="1"/>
    <col min="1243" max="1243" width="12" style="564" customWidth="1"/>
    <col min="1244" max="1244" width="13.5703125" style="564" customWidth="1"/>
    <col min="1245" max="1245" width="14" style="564" customWidth="1"/>
    <col min="1246" max="1246" width="12.28515625" style="564" customWidth="1"/>
    <col min="1247" max="1247" width="14.140625" style="564" customWidth="1"/>
    <col min="1248" max="1248" width="13" style="564" customWidth="1"/>
    <col min="1249" max="1249" width="13.5703125" style="564" customWidth="1"/>
    <col min="1250" max="1250" width="12.42578125" style="564" customWidth="1"/>
    <col min="1251" max="1251" width="12.5703125" style="564" customWidth="1"/>
    <col min="1252" max="1252" width="11.7109375" style="564" customWidth="1"/>
    <col min="1253" max="1253" width="13.7109375" style="564" customWidth="1"/>
    <col min="1254" max="1254" width="13.28515625" style="564" customWidth="1"/>
    <col min="1255" max="1255" width="13.140625" style="564" customWidth="1"/>
    <col min="1256" max="1256" width="12" style="564" customWidth="1"/>
    <col min="1257" max="1257" width="12.140625" style="564" customWidth="1"/>
    <col min="1258" max="1258" width="12.28515625" style="564" customWidth="1"/>
    <col min="1259" max="1259" width="12.140625" style="564" customWidth="1"/>
    <col min="1260" max="1260" width="12.5703125" style="564" customWidth="1"/>
    <col min="1261" max="1477" width="9.140625" style="564"/>
    <col min="1478" max="1478" width="25.42578125" style="564" customWidth="1"/>
    <col min="1479" max="1479" width="56.28515625" style="564" customWidth="1"/>
    <col min="1480" max="1480" width="14" style="564" customWidth="1"/>
    <col min="1481" max="1482" width="14.5703125" style="564" customWidth="1"/>
    <col min="1483" max="1483" width="14.140625" style="564" customWidth="1"/>
    <col min="1484" max="1484" width="15.140625" style="564" customWidth="1"/>
    <col min="1485" max="1485" width="13.85546875" style="564" customWidth="1"/>
    <col min="1486" max="1487" width="14.7109375" style="564" customWidth="1"/>
    <col min="1488" max="1488" width="12.85546875" style="564" customWidth="1"/>
    <col min="1489" max="1489" width="13.5703125" style="564" customWidth="1"/>
    <col min="1490" max="1490" width="12.7109375" style="564" customWidth="1"/>
    <col min="1491" max="1491" width="13.42578125" style="564" customWidth="1"/>
    <col min="1492" max="1492" width="13.140625" style="564" customWidth="1"/>
    <col min="1493" max="1493" width="14.7109375" style="564" customWidth="1"/>
    <col min="1494" max="1494" width="14.5703125" style="564" customWidth="1"/>
    <col min="1495" max="1495" width="13" style="564" customWidth="1"/>
    <col min="1496" max="1496" width="15" style="564" customWidth="1"/>
    <col min="1497" max="1498" width="12.140625" style="564" customWidth="1"/>
    <col min="1499" max="1499" width="12" style="564" customWidth="1"/>
    <col min="1500" max="1500" width="13.5703125" style="564" customWidth="1"/>
    <col min="1501" max="1501" width="14" style="564" customWidth="1"/>
    <col min="1502" max="1502" width="12.28515625" style="564" customWidth="1"/>
    <col min="1503" max="1503" width="14.140625" style="564" customWidth="1"/>
    <col min="1504" max="1504" width="13" style="564" customWidth="1"/>
    <col min="1505" max="1505" width="13.5703125" style="564" customWidth="1"/>
    <col min="1506" max="1506" width="12.42578125" style="564" customWidth="1"/>
    <col min="1507" max="1507" width="12.5703125" style="564" customWidth="1"/>
    <col min="1508" max="1508" width="11.7109375" style="564" customWidth="1"/>
    <col min="1509" max="1509" width="13.7109375" style="564" customWidth="1"/>
    <col min="1510" max="1510" width="13.28515625" style="564" customWidth="1"/>
    <col min="1511" max="1511" width="13.140625" style="564" customWidth="1"/>
    <col min="1512" max="1512" width="12" style="564" customWidth="1"/>
    <col min="1513" max="1513" width="12.140625" style="564" customWidth="1"/>
    <col min="1514" max="1514" width="12.28515625" style="564" customWidth="1"/>
    <col min="1515" max="1515" width="12.140625" style="564" customWidth="1"/>
    <col min="1516" max="1516" width="12.5703125" style="564" customWidth="1"/>
    <col min="1517" max="1733" width="9.140625" style="564"/>
    <col min="1734" max="1734" width="25.42578125" style="564" customWidth="1"/>
    <col min="1735" max="1735" width="56.28515625" style="564" customWidth="1"/>
    <col min="1736" max="1736" width="14" style="564" customWidth="1"/>
    <col min="1737" max="1738" width="14.5703125" style="564" customWidth="1"/>
    <col min="1739" max="1739" width="14.140625" style="564" customWidth="1"/>
    <col min="1740" max="1740" width="15.140625" style="564" customWidth="1"/>
    <col min="1741" max="1741" width="13.85546875" style="564" customWidth="1"/>
    <col min="1742" max="1743" width="14.7109375" style="564" customWidth="1"/>
    <col min="1744" max="1744" width="12.85546875" style="564" customWidth="1"/>
    <col min="1745" max="1745" width="13.5703125" style="564" customWidth="1"/>
    <col min="1746" max="1746" width="12.7109375" style="564" customWidth="1"/>
    <col min="1747" max="1747" width="13.42578125" style="564" customWidth="1"/>
    <col min="1748" max="1748" width="13.140625" style="564" customWidth="1"/>
    <col min="1749" max="1749" width="14.7109375" style="564" customWidth="1"/>
    <col min="1750" max="1750" width="14.5703125" style="564" customWidth="1"/>
    <col min="1751" max="1751" width="13" style="564" customWidth="1"/>
    <col min="1752" max="1752" width="15" style="564" customWidth="1"/>
    <col min="1753" max="1754" width="12.140625" style="564" customWidth="1"/>
    <col min="1755" max="1755" width="12" style="564" customWidth="1"/>
    <col min="1756" max="1756" width="13.5703125" style="564" customWidth="1"/>
    <col min="1757" max="1757" width="14" style="564" customWidth="1"/>
    <col min="1758" max="1758" width="12.28515625" style="564" customWidth="1"/>
    <col min="1759" max="1759" width="14.140625" style="564" customWidth="1"/>
    <col min="1760" max="1760" width="13" style="564" customWidth="1"/>
    <col min="1761" max="1761" width="13.5703125" style="564" customWidth="1"/>
    <col min="1762" max="1762" width="12.42578125" style="564" customWidth="1"/>
    <col min="1763" max="1763" width="12.5703125" style="564" customWidth="1"/>
    <col min="1764" max="1764" width="11.7109375" style="564" customWidth="1"/>
    <col min="1765" max="1765" width="13.7109375" style="564" customWidth="1"/>
    <col min="1766" max="1766" width="13.28515625" style="564" customWidth="1"/>
    <col min="1767" max="1767" width="13.140625" style="564" customWidth="1"/>
    <col min="1768" max="1768" width="12" style="564" customWidth="1"/>
    <col min="1769" max="1769" width="12.140625" style="564" customWidth="1"/>
    <col min="1770" max="1770" width="12.28515625" style="564" customWidth="1"/>
    <col min="1771" max="1771" width="12.140625" style="564" customWidth="1"/>
    <col min="1772" max="1772" width="12.5703125" style="564" customWidth="1"/>
    <col min="1773" max="1989" width="9.140625" style="564"/>
    <col min="1990" max="1990" width="25.42578125" style="564" customWidth="1"/>
    <col min="1991" max="1991" width="56.28515625" style="564" customWidth="1"/>
    <col min="1992" max="1992" width="14" style="564" customWidth="1"/>
    <col min="1993" max="1994" width="14.5703125" style="564" customWidth="1"/>
    <col min="1995" max="1995" width="14.140625" style="564" customWidth="1"/>
    <col min="1996" max="1996" width="15.140625" style="564" customWidth="1"/>
    <col min="1997" max="1997" width="13.85546875" style="564" customWidth="1"/>
    <col min="1998" max="1999" width="14.7109375" style="564" customWidth="1"/>
    <col min="2000" max="2000" width="12.85546875" style="564" customWidth="1"/>
    <col min="2001" max="2001" width="13.5703125" style="564" customWidth="1"/>
    <col min="2002" max="2002" width="12.7109375" style="564" customWidth="1"/>
    <col min="2003" max="2003" width="13.42578125" style="564" customWidth="1"/>
    <col min="2004" max="2004" width="13.140625" style="564" customWidth="1"/>
    <col min="2005" max="2005" width="14.7109375" style="564" customWidth="1"/>
    <col min="2006" max="2006" width="14.5703125" style="564" customWidth="1"/>
    <col min="2007" max="2007" width="13" style="564" customWidth="1"/>
    <col min="2008" max="2008" width="15" style="564" customWidth="1"/>
    <col min="2009" max="2010" width="12.140625" style="564" customWidth="1"/>
    <col min="2011" max="2011" width="12" style="564" customWidth="1"/>
    <col min="2012" max="2012" width="13.5703125" style="564" customWidth="1"/>
    <col min="2013" max="2013" width="14" style="564" customWidth="1"/>
    <col min="2014" max="2014" width="12.28515625" style="564" customWidth="1"/>
    <col min="2015" max="2015" width="14.140625" style="564" customWidth="1"/>
    <col min="2016" max="2016" width="13" style="564" customWidth="1"/>
    <col min="2017" max="2017" width="13.5703125" style="564" customWidth="1"/>
    <col min="2018" max="2018" width="12.42578125" style="564" customWidth="1"/>
    <col min="2019" max="2019" width="12.5703125" style="564" customWidth="1"/>
    <col min="2020" max="2020" width="11.7109375" style="564" customWidth="1"/>
    <col min="2021" max="2021" width="13.7109375" style="564" customWidth="1"/>
    <col min="2022" max="2022" width="13.28515625" style="564" customWidth="1"/>
    <col min="2023" max="2023" width="13.140625" style="564" customWidth="1"/>
    <col min="2024" max="2024" width="12" style="564" customWidth="1"/>
    <col min="2025" max="2025" width="12.140625" style="564" customWidth="1"/>
    <col min="2026" max="2026" width="12.28515625" style="564" customWidth="1"/>
    <col min="2027" max="2027" width="12.140625" style="564" customWidth="1"/>
    <col min="2028" max="2028" width="12.5703125" style="564" customWidth="1"/>
    <col min="2029" max="2245" width="9.140625" style="564"/>
    <col min="2246" max="2246" width="25.42578125" style="564" customWidth="1"/>
    <col min="2247" max="2247" width="56.28515625" style="564" customWidth="1"/>
    <col min="2248" max="2248" width="14" style="564" customWidth="1"/>
    <col min="2249" max="2250" width="14.5703125" style="564" customWidth="1"/>
    <col min="2251" max="2251" width="14.140625" style="564" customWidth="1"/>
    <col min="2252" max="2252" width="15.140625" style="564" customWidth="1"/>
    <col min="2253" max="2253" width="13.85546875" style="564" customWidth="1"/>
    <col min="2254" max="2255" width="14.7109375" style="564" customWidth="1"/>
    <col min="2256" max="2256" width="12.85546875" style="564" customWidth="1"/>
    <col min="2257" max="2257" width="13.5703125" style="564" customWidth="1"/>
    <col min="2258" max="2258" width="12.7109375" style="564" customWidth="1"/>
    <col min="2259" max="2259" width="13.42578125" style="564" customWidth="1"/>
    <col min="2260" max="2260" width="13.140625" style="564" customWidth="1"/>
    <col min="2261" max="2261" width="14.7109375" style="564" customWidth="1"/>
    <col min="2262" max="2262" width="14.5703125" style="564" customWidth="1"/>
    <col min="2263" max="2263" width="13" style="564" customWidth="1"/>
    <col min="2264" max="2264" width="15" style="564" customWidth="1"/>
    <col min="2265" max="2266" width="12.140625" style="564" customWidth="1"/>
    <col min="2267" max="2267" width="12" style="564" customWidth="1"/>
    <col min="2268" max="2268" width="13.5703125" style="564" customWidth="1"/>
    <col min="2269" max="2269" width="14" style="564" customWidth="1"/>
    <col min="2270" max="2270" width="12.28515625" style="564" customWidth="1"/>
    <col min="2271" max="2271" width="14.140625" style="564" customWidth="1"/>
    <col min="2272" max="2272" width="13" style="564" customWidth="1"/>
    <col min="2273" max="2273" width="13.5703125" style="564" customWidth="1"/>
    <col min="2274" max="2274" width="12.42578125" style="564" customWidth="1"/>
    <col min="2275" max="2275" width="12.5703125" style="564" customWidth="1"/>
    <col min="2276" max="2276" width="11.7109375" style="564" customWidth="1"/>
    <col min="2277" max="2277" width="13.7109375" style="564" customWidth="1"/>
    <col min="2278" max="2278" width="13.28515625" style="564" customWidth="1"/>
    <col min="2279" max="2279" width="13.140625" style="564" customWidth="1"/>
    <col min="2280" max="2280" width="12" style="564" customWidth="1"/>
    <col min="2281" max="2281" width="12.140625" style="564" customWidth="1"/>
    <col min="2282" max="2282" width="12.28515625" style="564" customWidth="1"/>
    <col min="2283" max="2283" width="12.140625" style="564" customWidth="1"/>
    <col min="2284" max="2284" width="12.5703125" style="564" customWidth="1"/>
    <col min="2285" max="2501" width="9.140625" style="564"/>
    <col min="2502" max="2502" width="25.42578125" style="564" customWidth="1"/>
    <col min="2503" max="2503" width="56.28515625" style="564" customWidth="1"/>
    <col min="2504" max="2504" width="14" style="564" customWidth="1"/>
    <col min="2505" max="2506" width="14.5703125" style="564" customWidth="1"/>
    <col min="2507" max="2507" width="14.140625" style="564" customWidth="1"/>
    <col min="2508" max="2508" width="15.140625" style="564" customWidth="1"/>
    <col min="2509" max="2509" width="13.85546875" style="564" customWidth="1"/>
    <col min="2510" max="2511" width="14.7109375" style="564" customWidth="1"/>
    <col min="2512" max="2512" width="12.85546875" style="564" customWidth="1"/>
    <col min="2513" max="2513" width="13.5703125" style="564" customWidth="1"/>
    <col min="2514" max="2514" width="12.7109375" style="564" customWidth="1"/>
    <col min="2515" max="2515" width="13.42578125" style="564" customWidth="1"/>
    <col min="2516" max="2516" width="13.140625" style="564" customWidth="1"/>
    <col min="2517" max="2517" width="14.7109375" style="564" customWidth="1"/>
    <col min="2518" max="2518" width="14.5703125" style="564" customWidth="1"/>
    <col min="2519" max="2519" width="13" style="564" customWidth="1"/>
    <col min="2520" max="2520" width="15" style="564" customWidth="1"/>
    <col min="2521" max="2522" width="12.140625" style="564" customWidth="1"/>
    <col min="2523" max="2523" width="12" style="564" customWidth="1"/>
    <col min="2524" max="2524" width="13.5703125" style="564" customWidth="1"/>
    <col min="2525" max="2525" width="14" style="564" customWidth="1"/>
    <col min="2526" max="2526" width="12.28515625" style="564" customWidth="1"/>
    <col min="2527" max="2527" width="14.140625" style="564" customWidth="1"/>
    <col min="2528" max="2528" width="13" style="564" customWidth="1"/>
    <col min="2529" max="2529" width="13.5703125" style="564" customWidth="1"/>
    <col min="2530" max="2530" width="12.42578125" style="564" customWidth="1"/>
    <col min="2531" max="2531" width="12.5703125" style="564" customWidth="1"/>
    <col min="2532" max="2532" width="11.7109375" style="564" customWidth="1"/>
    <col min="2533" max="2533" width="13.7109375" style="564" customWidth="1"/>
    <col min="2534" max="2534" width="13.28515625" style="564" customWidth="1"/>
    <col min="2535" max="2535" width="13.140625" style="564" customWidth="1"/>
    <col min="2536" max="2536" width="12" style="564" customWidth="1"/>
    <col min="2537" max="2537" width="12.140625" style="564" customWidth="1"/>
    <col min="2538" max="2538" width="12.28515625" style="564" customWidth="1"/>
    <col min="2539" max="2539" width="12.140625" style="564" customWidth="1"/>
    <col min="2540" max="2540" width="12.5703125" style="564" customWidth="1"/>
    <col min="2541" max="2757" width="9.140625" style="564"/>
    <col min="2758" max="2758" width="25.42578125" style="564" customWidth="1"/>
    <col min="2759" max="2759" width="56.28515625" style="564" customWidth="1"/>
    <col min="2760" max="2760" width="14" style="564" customWidth="1"/>
    <col min="2761" max="2762" width="14.5703125" style="564" customWidth="1"/>
    <col min="2763" max="2763" width="14.140625" style="564" customWidth="1"/>
    <col min="2764" max="2764" width="15.140625" style="564" customWidth="1"/>
    <col min="2765" max="2765" width="13.85546875" style="564" customWidth="1"/>
    <col min="2766" max="2767" width="14.7109375" style="564" customWidth="1"/>
    <col min="2768" max="2768" width="12.85546875" style="564" customWidth="1"/>
    <col min="2769" max="2769" width="13.5703125" style="564" customWidth="1"/>
    <col min="2770" max="2770" width="12.7109375" style="564" customWidth="1"/>
    <col min="2771" max="2771" width="13.42578125" style="564" customWidth="1"/>
    <col min="2772" max="2772" width="13.140625" style="564" customWidth="1"/>
    <col min="2773" max="2773" width="14.7109375" style="564" customWidth="1"/>
    <col min="2774" max="2774" width="14.5703125" style="564" customWidth="1"/>
    <col min="2775" max="2775" width="13" style="564" customWidth="1"/>
    <col min="2776" max="2776" width="15" style="564" customWidth="1"/>
    <col min="2777" max="2778" width="12.140625" style="564" customWidth="1"/>
    <col min="2779" max="2779" width="12" style="564" customWidth="1"/>
    <col min="2780" max="2780" width="13.5703125" style="564" customWidth="1"/>
    <col min="2781" max="2781" width="14" style="564" customWidth="1"/>
    <col min="2782" max="2782" width="12.28515625" style="564" customWidth="1"/>
    <col min="2783" max="2783" width="14.140625" style="564" customWidth="1"/>
    <col min="2784" max="2784" width="13" style="564" customWidth="1"/>
    <col min="2785" max="2785" width="13.5703125" style="564" customWidth="1"/>
    <col min="2786" max="2786" width="12.42578125" style="564" customWidth="1"/>
    <col min="2787" max="2787" width="12.5703125" style="564" customWidth="1"/>
    <col min="2788" max="2788" width="11.7109375" style="564" customWidth="1"/>
    <col min="2789" max="2789" width="13.7109375" style="564" customWidth="1"/>
    <col min="2790" max="2790" width="13.28515625" style="564" customWidth="1"/>
    <col min="2791" max="2791" width="13.140625" style="564" customWidth="1"/>
    <col min="2792" max="2792" width="12" style="564" customWidth="1"/>
    <col min="2793" max="2793" width="12.140625" style="564" customWidth="1"/>
    <col min="2794" max="2794" width="12.28515625" style="564" customWidth="1"/>
    <col min="2795" max="2795" width="12.140625" style="564" customWidth="1"/>
    <col min="2796" max="2796" width="12.5703125" style="564" customWidth="1"/>
    <col min="2797" max="3013" width="9.140625" style="564"/>
    <col min="3014" max="3014" width="25.42578125" style="564" customWidth="1"/>
    <col min="3015" max="3015" width="56.28515625" style="564" customWidth="1"/>
    <col min="3016" max="3016" width="14" style="564" customWidth="1"/>
    <col min="3017" max="3018" width="14.5703125" style="564" customWidth="1"/>
    <col min="3019" max="3019" width="14.140625" style="564" customWidth="1"/>
    <col min="3020" max="3020" width="15.140625" style="564" customWidth="1"/>
    <col min="3021" max="3021" width="13.85546875" style="564" customWidth="1"/>
    <col min="3022" max="3023" width="14.7109375" style="564" customWidth="1"/>
    <col min="3024" max="3024" width="12.85546875" style="564" customWidth="1"/>
    <col min="3025" max="3025" width="13.5703125" style="564" customWidth="1"/>
    <col min="3026" max="3026" width="12.7109375" style="564" customWidth="1"/>
    <col min="3027" max="3027" width="13.42578125" style="564" customWidth="1"/>
    <col min="3028" max="3028" width="13.140625" style="564" customWidth="1"/>
    <col min="3029" max="3029" width="14.7109375" style="564" customWidth="1"/>
    <col min="3030" max="3030" width="14.5703125" style="564" customWidth="1"/>
    <col min="3031" max="3031" width="13" style="564" customWidth="1"/>
    <col min="3032" max="3032" width="15" style="564" customWidth="1"/>
    <col min="3033" max="3034" width="12.140625" style="564" customWidth="1"/>
    <col min="3035" max="3035" width="12" style="564" customWidth="1"/>
    <col min="3036" max="3036" width="13.5703125" style="564" customWidth="1"/>
    <col min="3037" max="3037" width="14" style="564" customWidth="1"/>
    <col min="3038" max="3038" width="12.28515625" style="564" customWidth="1"/>
    <col min="3039" max="3039" width="14.140625" style="564" customWidth="1"/>
    <col min="3040" max="3040" width="13" style="564" customWidth="1"/>
    <col min="3041" max="3041" width="13.5703125" style="564" customWidth="1"/>
    <col min="3042" max="3042" width="12.42578125" style="564" customWidth="1"/>
    <col min="3043" max="3043" width="12.5703125" style="564" customWidth="1"/>
    <col min="3044" max="3044" width="11.7109375" style="564" customWidth="1"/>
    <col min="3045" max="3045" width="13.7109375" style="564" customWidth="1"/>
    <col min="3046" max="3046" width="13.28515625" style="564" customWidth="1"/>
    <col min="3047" max="3047" width="13.140625" style="564" customWidth="1"/>
    <col min="3048" max="3048" width="12" style="564" customWidth="1"/>
    <col min="3049" max="3049" width="12.140625" style="564" customWidth="1"/>
    <col min="3050" max="3050" width="12.28515625" style="564" customWidth="1"/>
    <col min="3051" max="3051" width="12.140625" style="564" customWidth="1"/>
    <col min="3052" max="3052" width="12.5703125" style="564" customWidth="1"/>
    <col min="3053" max="3269" width="9.140625" style="564"/>
    <col min="3270" max="3270" width="25.42578125" style="564" customWidth="1"/>
    <col min="3271" max="3271" width="56.28515625" style="564" customWidth="1"/>
    <col min="3272" max="3272" width="14" style="564" customWidth="1"/>
    <col min="3273" max="3274" width="14.5703125" style="564" customWidth="1"/>
    <col min="3275" max="3275" width="14.140625" style="564" customWidth="1"/>
    <col min="3276" max="3276" width="15.140625" style="564" customWidth="1"/>
    <col min="3277" max="3277" width="13.85546875" style="564" customWidth="1"/>
    <col min="3278" max="3279" width="14.7109375" style="564" customWidth="1"/>
    <col min="3280" max="3280" width="12.85546875" style="564" customWidth="1"/>
    <col min="3281" max="3281" width="13.5703125" style="564" customWidth="1"/>
    <col min="3282" max="3282" width="12.7109375" style="564" customWidth="1"/>
    <col min="3283" max="3283" width="13.42578125" style="564" customWidth="1"/>
    <col min="3284" max="3284" width="13.140625" style="564" customWidth="1"/>
    <col min="3285" max="3285" width="14.7109375" style="564" customWidth="1"/>
    <col min="3286" max="3286" width="14.5703125" style="564" customWidth="1"/>
    <col min="3287" max="3287" width="13" style="564" customWidth="1"/>
    <col min="3288" max="3288" width="15" style="564" customWidth="1"/>
    <col min="3289" max="3290" width="12.140625" style="564" customWidth="1"/>
    <col min="3291" max="3291" width="12" style="564" customWidth="1"/>
    <col min="3292" max="3292" width="13.5703125" style="564" customWidth="1"/>
    <col min="3293" max="3293" width="14" style="564" customWidth="1"/>
    <col min="3294" max="3294" width="12.28515625" style="564" customWidth="1"/>
    <col min="3295" max="3295" width="14.140625" style="564" customWidth="1"/>
    <col min="3296" max="3296" width="13" style="564" customWidth="1"/>
    <col min="3297" max="3297" width="13.5703125" style="564" customWidth="1"/>
    <col min="3298" max="3298" width="12.42578125" style="564" customWidth="1"/>
    <col min="3299" max="3299" width="12.5703125" style="564" customWidth="1"/>
    <col min="3300" max="3300" width="11.7109375" style="564" customWidth="1"/>
    <col min="3301" max="3301" width="13.7109375" style="564" customWidth="1"/>
    <col min="3302" max="3302" width="13.28515625" style="564" customWidth="1"/>
    <col min="3303" max="3303" width="13.140625" style="564" customWidth="1"/>
    <col min="3304" max="3304" width="12" style="564" customWidth="1"/>
    <col min="3305" max="3305" width="12.140625" style="564" customWidth="1"/>
    <col min="3306" max="3306" width="12.28515625" style="564" customWidth="1"/>
    <col min="3307" max="3307" width="12.140625" style="564" customWidth="1"/>
    <col min="3308" max="3308" width="12.5703125" style="564" customWidth="1"/>
    <col min="3309" max="3525" width="9.140625" style="564"/>
    <col min="3526" max="3526" width="25.42578125" style="564" customWidth="1"/>
    <col min="3527" max="3527" width="56.28515625" style="564" customWidth="1"/>
    <col min="3528" max="3528" width="14" style="564" customWidth="1"/>
    <col min="3529" max="3530" width="14.5703125" style="564" customWidth="1"/>
    <col min="3531" max="3531" width="14.140625" style="564" customWidth="1"/>
    <col min="3532" max="3532" width="15.140625" style="564" customWidth="1"/>
    <col min="3533" max="3533" width="13.85546875" style="564" customWidth="1"/>
    <col min="3534" max="3535" width="14.7109375" style="564" customWidth="1"/>
    <col min="3536" max="3536" width="12.85546875" style="564" customWidth="1"/>
    <col min="3537" max="3537" width="13.5703125" style="564" customWidth="1"/>
    <col min="3538" max="3538" width="12.7109375" style="564" customWidth="1"/>
    <col min="3539" max="3539" width="13.42578125" style="564" customWidth="1"/>
    <col min="3540" max="3540" width="13.140625" style="564" customWidth="1"/>
    <col min="3541" max="3541" width="14.7109375" style="564" customWidth="1"/>
    <col min="3542" max="3542" width="14.5703125" style="564" customWidth="1"/>
    <col min="3543" max="3543" width="13" style="564" customWidth="1"/>
    <col min="3544" max="3544" width="15" style="564" customWidth="1"/>
    <col min="3545" max="3546" width="12.140625" style="564" customWidth="1"/>
    <col min="3547" max="3547" width="12" style="564" customWidth="1"/>
    <col min="3548" max="3548" width="13.5703125" style="564" customWidth="1"/>
    <col min="3549" max="3549" width="14" style="564" customWidth="1"/>
    <col min="3550" max="3550" width="12.28515625" style="564" customWidth="1"/>
    <col min="3551" max="3551" width="14.140625" style="564" customWidth="1"/>
    <col min="3552" max="3552" width="13" style="564" customWidth="1"/>
    <col min="3553" max="3553" width="13.5703125" style="564" customWidth="1"/>
    <col min="3554" max="3554" width="12.42578125" style="564" customWidth="1"/>
    <col min="3555" max="3555" width="12.5703125" style="564" customWidth="1"/>
    <col min="3556" max="3556" width="11.7109375" style="564" customWidth="1"/>
    <col min="3557" max="3557" width="13.7109375" style="564" customWidth="1"/>
    <col min="3558" max="3558" width="13.28515625" style="564" customWidth="1"/>
    <col min="3559" max="3559" width="13.140625" style="564" customWidth="1"/>
    <col min="3560" max="3560" width="12" style="564" customWidth="1"/>
    <col min="3561" max="3561" width="12.140625" style="564" customWidth="1"/>
    <col min="3562" max="3562" width="12.28515625" style="564" customWidth="1"/>
    <col min="3563" max="3563" width="12.140625" style="564" customWidth="1"/>
    <col min="3564" max="3564" width="12.5703125" style="564" customWidth="1"/>
    <col min="3565" max="3781" width="9.140625" style="564"/>
    <col min="3782" max="3782" width="25.42578125" style="564" customWidth="1"/>
    <col min="3783" max="3783" width="56.28515625" style="564" customWidth="1"/>
    <col min="3784" max="3784" width="14" style="564" customWidth="1"/>
    <col min="3785" max="3786" width="14.5703125" style="564" customWidth="1"/>
    <col min="3787" max="3787" width="14.140625" style="564" customWidth="1"/>
    <col min="3788" max="3788" width="15.140625" style="564" customWidth="1"/>
    <col min="3789" max="3789" width="13.85546875" style="564" customWidth="1"/>
    <col min="3790" max="3791" width="14.7109375" style="564" customWidth="1"/>
    <col min="3792" max="3792" width="12.85546875" style="564" customWidth="1"/>
    <col min="3793" max="3793" width="13.5703125" style="564" customWidth="1"/>
    <col min="3794" max="3794" width="12.7109375" style="564" customWidth="1"/>
    <col min="3795" max="3795" width="13.42578125" style="564" customWidth="1"/>
    <col min="3796" max="3796" width="13.140625" style="564" customWidth="1"/>
    <col min="3797" max="3797" width="14.7109375" style="564" customWidth="1"/>
    <col min="3798" max="3798" width="14.5703125" style="564" customWidth="1"/>
    <col min="3799" max="3799" width="13" style="564" customWidth="1"/>
    <col min="3800" max="3800" width="15" style="564" customWidth="1"/>
    <col min="3801" max="3802" width="12.140625" style="564" customWidth="1"/>
    <col min="3803" max="3803" width="12" style="564" customWidth="1"/>
    <col min="3804" max="3804" width="13.5703125" style="564" customWidth="1"/>
    <col min="3805" max="3805" width="14" style="564" customWidth="1"/>
    <col min="3806" max="3806" width="12.28515625" style="564" customWidth="1"/>
    <col min="3807" max="3807" width="14.140625" style="564" customWidth="1"/>
    <col min="3808" max="3808" width="13" style="564" customWidth="1"/>
    <col min="3809" max="3809" width="13.5703125" style="564" customWidth="1"/>
    <col min="3810" max="3810" width="12.42578125" style="564" customWidth="1"/>
    <col min="3811" max="3811" width="12.5703125" style="564" customWidth="1"/>
    <col min="3812" max="3812" width="11.7109375" style="564" customWidth="1"/>
    <col min="3813" max="3813" width="13.7109375" style="564" customWidth="1"/>
    <col min="3814" max="3814" width="13.28515625" style="564" customWidth="1"/>
    <col min="3815" max="3815" width="13.140625" style="564" customWidth="1"/>
    <col min="3816" max="3816" width="12" style="564" customWidth="1"/>
    <col min="3817" max="3817" width="12.140625" style="564" customWidth="1"/>
    <col min="3818" max="3818" width="12.28515625" style="564" customWidth="1"/>
    <col min="3819" max="3819" width="12.140625" style="564" customWidth="1"/>
    <col min="3820" max="3820" width="12.5703125" style="564" customWidth="1"/>
    <col min="3821" max="4037" width="9.140625" style="564"/>
    <col min="4038" max="4038" width="25.42578125" style="564" customWidth="1"/>
    <col min="4039" max="4039" width="56.28515625" style="564" customWidth="1"/>
    <col min="4040" max="4040" width="14" style="564" customWidth="1"/>
    <col min="4041" max="4042" width="14.5703125" style="564" customWidth="1"/>
    <col min="4043" max="4043" width="14.140625" style="564" customWidth="1"/>
    <col min="4044" max="4044" width="15.140625" style="564" customWidth="1"/>
    <col min="4045" max="4045" width="13.85546875" style="564" customWidth="1"/>
    <col min="4046" max="4047" width="14.7109375" style="564" customWidth="1"/>
    <col min="4048" max="4048" width="12.85546875" style="564" customWidth="1"/>
    <col min="4049" max="4049" width="13.5703125" style="564" customWidth="1"/>
    <col min="4050" max="4050" width="12.7109375" style="564" customWidth="1"/>
    <col min="4051" max="4051" width="13.42578125" style="564" customWidth="1"/>
    <col min="4052" max="4052" width="13.140625" style="564" customWidth="1"/>
    <col min="4053" max="4053" width="14.7109375" style="564" customWidth="1"/>
    <col min="4054" max="4054" width="14.5703125" style="564" customWidth="1"/>
    <col min="4055" max="4055" width="13" style="564" customWidth="1"/>
    <col min="4056" max="4056" width="15" style="564" customWidth="1"/>
    <col min="4057" max="4058" width="12.140625" style="564" customWidth="1"/>
    <col min="4059" max="4059" width="12" style="564" customWidth="1"/>
    <col min="4060" max="4060" width="13.5703125" style="564" customWidth="1"/>
    <col min="4061" max="4061" width="14" style="564" customWidth="1"/>
    <col min="4062" max="4062" width="12.28515625" style="564" customWidth="1"/>
    <col min="4063" max="4063" width="14.140625" style="564" customWidth="1"/>
    <col min="4064" max="4064" width="13" style="564" customWidth="1"/>
    <col min="4065" max="4065" width="13.5703125" style="564" customWidth="1"/>
    <col min="4066" max="4066" width="12.42578125" style="564" customWidth="1"/>
    <col min="4067" max="4067" width="12.5703125" style="564" customWidth="1"/>
    <col min="4068" max="4068" width="11.7109375" style="564" customWidth="1"/>
    <col min="4069" max="4069" width="13.7109375" style="564" customWidth="1"/>
    <col min="4070" max="4070" width="13.28515625" style="564" customWidth="1"/>
    <col min="4071" max="4071" width="13.140625" style="564" customWidth="1"/>
    <col min="4072" max="4072" width="12" style="564" customWidth="1"/>
    <col min="4073" max="4073" width="12.140625" style="564" customWidth="1"/>
    <col min="4074" max="4074" width="12.28515625" style="564" customWidth="1"/>
    <col min="4075" max="4075" width="12.140625" style="564" customWidth="1"/>
    <col min="4076" max="4076" width="12.5703125" style="564" customWidth="1"/>
    <col min="4077" max="4293" width="9.140625" style="564"/>
    <col min="4294" max="4294" width="25.42578125" style="564" customWidth="1"/>
    <col min="4295" max="4295" width="56.28515625" style="564" customWidth="1"/>
    <col min="4296" max="4296" width="14" style="564" customWidth="1"/>
    <col min="4297" max="4298" width="14.5703125" style="564" customWidth="1"/>
    <col min="4299" max="4299" width="14.140625" style="564" customWidth="1"/>
    <col min="4300" max="4300" width="15.140625" style="564" customWidth="1"/>
    <col min="4301" max="4301" width="13.85546875" style="564" customWidth="1"/>
    <col min="4302" max="4303" width="14.7109375" style="564" customWidth="1"/>
    <col min="4304" max="4304" width="12.85546875" style="564" customWidth="1"/>
    <col min="4305" max="4305" width="13.5703125" style="564" customWidth="1"/>
    <col min="4306" max="4306" width="12.7109375" style="564" customWidth="1"/>
    <col min="4307" max="4307" width="13.42578125" style="564" customWidth="1"/>
    <col min="4308" max="4308" width="13.140625" style="564" customWidth="1"/>
    <col min="4309" max="4309" width="14.7109375" style="564" customWidth="1"/>
    <col min="4310" max="4310" width="14.5703125" style="564" customWidth="1"/>
    <col min="4311" max="4311" width="13" style="564" customWidth="1"/>
    <col min="4312" max="4312" width="15" style="564" customWidth="1"/>
    <col min="4313" max="4314" width="12.140625" style="564" customWidth="1"/>
    <col min="4315" max="4315" width="12" style="564" customWidth="1"/>
    <col min="4316" max="4316" width="13.5703125" style="564" customWidth="1"/>
    <col min="4317" max="4317" width="14" style="564" customWidth="1"/>
    <col min="4318" max="4318" width="12.28515625" style="564" customWidth="1"/>
    <col min="4319" max="4319" width="14.140625" style="564" customWidth="1"/>
    <col min="4320" max="4320" width="13" style="564" customWidth="1"/>
    <col min="4321" max="4321" width="13.5703125" style="564" customWidth="1"/>
    <col min="4322" max="4322" width="12.42578125" style="564" customWidth="1"/>
    <col min="4323" max="4323" width="12.5703125" style="564" customWidth="1"/>
    <col min="4324" max="4324" width="11.7109375" style="564" customWidth="1"/>
    <col min="4325" max="4325" width="13.7109375" style="564" customWidth="1"/>
    <col min="4326" max="4326" width="13.28515625" style="564" customWidth="1"/>
    <col min="4327" max="4327" width="13.140625" style="564" customWidth="1"/>
    <col min="4328" max="4328" width="12" style="564" customWidth="1"/>
    <col min="4329" max="4329" width="12.140625" style="564" customWidth="1"/>
    <col min="4330" max="4330" width="12.28515625" style="564" customWidth="1"/>
    <col min="4331" max="4331" width="12.140625" style="564" customWidth="1"/>
    <col min="4332" max="4332" width="12.5703125" style="564" customWidth="1"/>
    <col min="4333" max="4549" width="9.140625" style="564"/>
    <col min="4550" max="4550" width="25.42578125" style="564" customWidth="1"/>
    <col min="4551" max="4551" width="56.28515625" style="564" customWidth="1"/>
    <col min="4552" max="4552" width="14" style="564" customWidth="1"/>
    <col min="4553" max="4554" width="14.5703125" style="564" customWidth="1"/>
    <col min="4555" max="4555" width="14.140625" style="564" customWidth="1"/>
    <col min="4556" max="4556" width="15.140625" style="564" customWidth="1"/>
    <col min="4557" max="4557" width="13.85546875" style="564" customWidth="1"/>
    <col min="4558" max="4559" width="14.7109375" style="564" customWidth="1"/>
    <col min="4560" max="4560" width="12.85546875" style="564" customWidth="1"/>
    <col min="4561" max="4561" width="13.5703125" style="564" customWidth="1"/>
    <col min="4562" max="4562" width="12.7109375" style="564" customWidth="1"/>
    <col min="4563" max="4563" width="13.42578125" style="564" customWidth="1"/>
    <col min="4564" max="4564" width="13.140625" style="564" customWidth="1"/>
    <col min="4565" max="4565" width="14.7109375" style="564" customWidth="1"/>
    <col min="4566" max="4566" width="14.5703125" style="564" customWidth="1"/>
    <col min="4567" max="4567" width="13" style="564" customWidth="1"/>
    <col min="4568" max="4568" width="15" style="564" customWidth="1"/>
    <col min="4569" max="4570" width="12.140625" style="564" customWidth="1"/>
    <col min="4571" max="4571" width="12" style="564" customWidth="1"/>
    <col min="4572" max="4572" width="13.5703125" style="564" customWidth="1"/>
    <col min="4573" max="4573" width="14" style="564" customWidth="1"/>
    <col min="4574" max="4574" width="12.28515625" style="564" customWidth="1"/>
    <col min="4575" max="4575" width="14.140625" style="564" customWidth="1"/>
    <col min="4576" max="4576" width="13" style="564" customWidth="1"/>
    <col min="4577" max="4577" width="13.5703125" style="564" customWidth="1"/>
    <col min="4578" max="4578" width="12.42578125" style="564" customWidth="1"/>
    <col min="4579" max="4579" width="12.5703125" style="564" customWidth="1"/>
    <col min="4580" max="4580" width="11.7109375" style="564" customWidth="1"/>
    <col min="4581" max="4581" width="13.7109375" style="564" customWidth="1"/>
    <col min="4582" max="4582" width="13.28515625" style="564" customWidth="1"/>
    <col min="4583" max="4583" width="13.140625" style="564" customWidth="1"/>
    <col min="4584" max="4584" width="12" style="564" customWidth="1"/>
    <col min="4585" max="4585" width="12.140625" style="564" customWidth="1"/>
    <col min="4586" max="4586" width="12.28515625" style="564" customWidth="1"/>
    <col min="4587" max="4587" width="12.140625" style="564" customWidth="1"/>
    <col min="4588" max="4588" width="12.5703125" style="564" customWidth="1"/>
    <col min="4589" max="4805" width="9.140625" style="564"/>
    <col min="4806" max="4806" width="25.42578125" style="564" customWidth="1"/>
    <col min="4807" max="4807" width="56.28515625" style="564" customWidth="1"/>
    <col min="4808" max="4808" width="14" style="564" customWidth="1"/>
    <col min="4809" max="4810" width="14.5703125" style="564" customWidth="1"/>
    <col min="4811" max="4811" width="14.140625" style="564" customWidth="1"/>
    <col min="4812" max="4812" width="15.140625" style="564" customWidth="1"/>
    <col min="4813" max="4813" width="13.85546875" style="564" customWidth="1"/>
    <col min="4814" max="4815" width="14.7109375" style="564" customWidth="1"/>
    <col min="4816" max="4816" width="12.85546875" style="564" customWidth="1"/>
    <col min="4817" max="4817" width="13.5703125" style="564" customWidth="1"/>
    <col min="4818" max="4818" width="12.7109375" style="564" customWidth="1"/>
    <col min="4819" max="4819" width="13.42578125" style="564" customWidth="1"/>
    <col min="4820" max="4820" width="13.140625" style="564" customWidth="1"/>
    <col min="4821" max="4821" width="14.7109375" style="564" customWidth="1"/>
    <col min="4822" max="4822" width="14.5703125" style="564" customWidth="1"/>
    <col min="4823" max="4823" width="13" style="564" customWidth="1"/>
    <col min="4824" max="4824" width="15" style="564" customWidth="1"/>
    <col min="4825" max="4826" width="12.140625" style="564" customWidth="1"/>
    <col min="4827" max="4827" width="12" style="564" customWidth="1"/>
    <col min="4828" max="4828" width="13.5703125" style="564" customWidth="1"/>
    <col min="4829" max="4829" width="14" style="564" customWidth="1"/>
    <col min="4830" max="4830" width="12.28515625" style="564" customWidth="1"/>
    <col min="4831" max="4831" width="14.140625" style="564" customWidth="1"/>
    <col min="4832" max="4832" width="13" style="564" customWidth="1"/>
    <col min="4833" max="4833" width="13.5703125" style="564" customWidth="1"/>
    <col min="4834" max="4834" width="12.42578125" style="564" customWidth="1"/>
    <col min="4835" max="4835" width="12.5703125" style="564" customWidth="1"/>
    <col min="4836" max="4836" width="11.7109375" style="564" customWidth="1"/>
    <col min="4837" max="4837" width="13.7109375" style="564" customWidth="1"/>
    <col min="4838" max="4838" width="13.28515625" style="564" customWidth="1"/>
    <col min="4839" max="4839" width="13.140625" style="564" customWidth="1"/>
    <col min="4840" max="4840" width="12" style="564" customWidth="1"/>
    <col min="4841" max="4841" width="12.140625" style="564" customWidth="1"/>
    <col min="4842" max="4842" width="12.28515625" style="564" customWidth="1"/>
    <col min="4843" max="4843" width="12.140625" style="564" customWidth="1"/>
    <col min="4844" max="4844" width="12.5703125" style="564" customWidth="1"/>
    <col min="4845" max="5061" width="9.140625" style="564"/>
    <col min="5062" max="5062" width="25.42578125" style="564" customWidth="1"/>
    <col min="5063" max="5063" width="56.28515625" style="564" customWidth="1"/>
    <col min="5064" max="5064" width="14" style="564" customWidth="1"/>
    <col min="5065" max="5066" width="14.5703125" style="564" customWidth="1"/>
    <col min="5067" max="5067" width="14.140625" style="564" customWidth="1"/>
    <col min="5068" max="5068" width="15.140625" style="564" customWidth="1"/>
    <col min="5069" max="5069" width="13.85546875" style="564" customWidth="1"/>
    <col min="5070" max="5071" width="14.7109375" style="564" customWidth="1"/>
    <col min="5072" max="5072" width="12.85546875" style="564" customWidth="1"/>
    <col min="5073" max="5073" width="13.5703125" style="564" customWidth="1"/>
    <col min="5074" max="5074" width="12.7109375" style="564" customWidth="1"/>
    <col min="5075" max="5075" width="13.42578125" style="564" customWidth="1"/>
    <col min="5076" max="5076" width="13.140625" style="564" customWidth="1"/>
    <col min="5077" max="5077" width="14.7109375" style="564" customWidth="1"/>
    <col min="5078" max="5078" width="14.5703125" style="564" customWidth="1"/>
    <col min="5079" max="5079" width="13" style="564" customWidth="1"/>
    <col min="5080" max="5080" width="15" style="564" customWidth="1"/>
    <col min="5081" max="5082" width="12.140625" style="564" customWidth="1"/>
    <col min="5083" max="5083" width="12" style="564" customWidth="1"/>
    <col min="5084" max="5084" width="13.5703125" style="564" customWidth="1"/>
    <col min="5085" max="5085" width="14" style="564" customWidth="1"/>
    <col min="5086" max="5086" width="12.28515625" style="564" customWidth="1"/>
    <col min="5087" max="5087" width="14.140625" style="564" customWidth="1"/>
    <col min="5088" max="5088" width="13" style="564" customWidth="1"/>
    <col min="5089" max="5089" width="13.5703125" style="564" customWidth="1"/>
    <col min="5090" max="5090" width="12.42578125" style="564" customWidth="1"/>
    <col min="5091" max="5091" width="12.5703125" style="564" customWidth="1"/>
    <col min="5092" max="5092" width="11.7109375" style="564" customWidth="1"/>
    <col min="5093" max="5093" width="13.7109375" style="564" customWidth="1"/>
    <col min="5094" max="5094" width="13.28515625" style="564" customWidth="1"/>
    <col min="5095" max="5095" width="13.140625" style="564" customWidth="1"/>
    <col min="5096" max="5096" width="12" style="564" customWidth="1"/>
    <col min="5097" max="5097" width="12.140625" style="564" customWidth="1"/>
    <col min="5098" max="5098" width="12.28515625" style="564" customWidth="1"/>
    <col min="5099" max="5099" width="12.140625" style="564" customWidth="1"/>
    <col min="5100" max="5100" width="12.5703125" style="564" customWidth="1"/>
    <col min="5101" max="5317" width="9.140625" style="564"/>
    <col min="5318" max="5318" width="25.42578125" style="564" customWidth="1"/>
    <col min="5319" max="5319" width="56.28515625" style="564" customWidth="1"/>
    <col min="5320" max="5320" width="14" style="564" customWidth="1"/>
    <col min="5321" max="5322" width="14.5703125" style="564" customWidth="1"/>
    <col min="5323" max="5323" width="14.140625" style="564" customWidth="1"/>
    <col min="5324" max="5324" width="15.140625" style="564" customWidth="1"/>
    <col min="5325" max="5325" width="13.85546875" style="564" customWidth="1"/>
    <col min="5326" max="5327" width="14.7109375" style="564" customWidth="1"/>
    <col min="5328" max="5328" width="12.85546875" style="564" customWidth="1"/>
    <col min="5329" max="5329" width="13.5703125" style="564" customWidth="1"/>
    <col min="5330" max="5330" width="12.7109375" style="564" customWidth="1"/>
    <col min="5331" max="5331" width="13.42578125" style="564" customWidth="1"/>
    <col min="5332" max="5332" width="13.140625" style="564" customWidth="1"/>
    <col min="5333" max="5333" width="14.7109375" style="564" customWidth="1"/>
    <col min="5334" max="5334" width="14.5703125" style="564" customWidth="1"/>
    <col min="5335" max="5335" width="13" style="564" customWidth="1"/>
    <col min="5336" max="5336" width="15" style="564" customWidth="1"/>
    <col min="5337" max="5338" width="12.140625" style="564" customWidth="1"/>
    <col min="5339" max="5339" width="12" style="564" customWidth="1"/>
    <col min="5340" max="5340" width="13.5703125" style="564" customWidth="1"/>
    <col min="5341" max="5341" width="14" style="564" customWidth="1"/>
    <col min="5342" max="5342" width="12.28515625" style="564" customWidth="1"/>
    <col min="5343" max="5343" width="14.140625" style="564" customWidth="1"/>
    <col min="5344" max="5344" width="13" style="564" customWidth="1"/>
    <col min="5345" max="5345" width="13.5703125" style="564" customWidth="1"/>
    <col min="5346" max="5346" width="12.42578125" style="564" customWidth="1"/>
    <col min="5347" max="5347" width="12.5703125" style="564" customWidth="1"/>
    <col min="5348" max="5348" width="11.7109375" style="564" customWidth="1"/>
    <col min="5349" max="5349" width="13.7109375" style="564" customWidth="1"/>
    <col min="5350" max="5350" width="13.28515625" style="564" customWidth="1"/>
    <col min="5351" max="5351" width="13.140625" style="564" customWidth="1"/>
    <col min="5352" max="5352" width="12" style="564" customWidth="1"/>
    <col min="5353" max="5353" width="12.140625" style="564" customWidth="1"/>
    <col min="5354" max="5354" width="12.28515625" style="564" customWidth="1"/>
    <col min="5355" max="5355" width="12.140625" style="564" customWidth="1"/>
    <col min="5356" max="5356" width="12.5703125" style="564" customWidth="1"/>
    <col min="5357" max="5573" width="9.140625" style="564"/>
    <col min="5574" max="5574" width="25.42578125" style="564" customWidth="1"/>
    <col min="5575" max="5575" width="56.28515625" style="564" customWidth="1"/>
    <col min="5576" max="5576" width="14" style="564" customWidth="1"/>
    <col min="5577" max="5578" width="14.5703125" style="564" customWidth="1"/>
    <col min="5579" max="5579" width="14.140625" style="564" customWidth="1"/>
    <col min="5580" max="5580" width="15.140625" style="564" customWidth="1"/>
    <col min="5581" max="5581" width="13.85546875" style="564" customWidth="1"/>
    <col min="5582" max="5583" width="14.7109375" style="564" customWidth="1"/>
    <col min="5584" max="5584" width="12.85546875" style="564" customWidth="1"/>
    <col min="5585" max="5585" width="13.5703125" style="564" customWidth="1"/>
    <col min="5586" max="5586" width="12.7109375" style="564" customWidth="1"/>
    <col min="5587" max="5587" width="13.42578125" style="564" customWidth="1"/>
    <col min="5588" max="5588" width="13.140625" style="564" customWidth="1"/>
    <col min="5589" max="5589" width="14.7109375" style="564" customWidth="1"/>
    <col min="5590" max="5590" width="14.5703125" style="564" customWidth="1"/>
    <col min="5591" max="5591" width="13" style="564" customWidth="1"/>
    <col min="5592" max="5592" width="15" style="564" customWidth="1"/>
    <col min="5593" max="5594" width="12.140625" style="564" customWidth="1"/>
    <col min="5595" max="5595" width="12" style="564" customWidth="1"/>
    <col min="5596" max="5596" width="13.5703125" style="564" customWidth="1"/>
    <col min="5597" max="5597" width="14" style="564" customWidth="1"/>
    <col min="5598" max="5598" width="12.28515625" style="564" customWidth="1"/>
    <col min="5599" max="5599" width="14.140625" style="564" customWidth="1"/>
    <col min="5600" max="5600" width="13" style="564" customWidth="1"/>
    <col min="5601" max="5601" width="13.5703125" style="564" customWidth="1"/>
    <col min="5602" max="5602" width="12.42578125" style="564" customWidth="1"/>
    <col min="5603" max="5603" width="12.5703125" style="564" customWidth="1"/>
    <col min="5604" max="5604" width="11.7109375" style="564" customWidth="1"/>
    <col min="5605" max="5605" width="13.7109375" style="564" customWidth="1"/>
    <col min="5606" max="5606" width="13.28515625" style="564" customWidth="1"/>
    <col min="5607" max="5607" width="13.140625" style="564" customWidth="1"/>
    <col min="5608" max="5608" width="12" style="564" customWidth="1"/>
    <col min="5609" max="5609" width="12.140625" style="564" customWidth="1"/>
    <col min="5610" max="5610" width="12.28515625" style="564" customWidth="1"/>
    <col min="5611" max="5611" width="12.140625" style="564" customWidth="1"/>
    <col min="5612" max="5612" width="12.5703125" style="564" customWidth="1"/>
    <col min="5613" max="5829" width="9.140625" style="564"/>
    <col min="5830" max="5830" width="25.42578125" style="564" customWidth="1"/>
    <col min="5831" max="5831" width="56.28515625" style="564" customWidth="1"/>
    <col min="5832" max="5832" width="14" style="564" customWidth="1"/>
    <col min="5833" max="5834" width="14.5703125" style="564" customWidth="1"/>
    <col min="5835" max="5835" width="14.140625" style="564" customWidth="1"/>
    <col min="5836" max="5836" width="15.140625" style="564" customWidth="1"/>
    <col min="5837" max="5837" width="13.85546875" style="564" customWidth="1"/>
    <col min="5838" max="5839" width="14.7109375" style="564" customWidth="1"/>
    <col min="5840" max="5840" width="12.85546875" style="564" customWidth="1"/>
    <col min="5841" max="5841" width="13.5703125" style="564" customWidth="1"/>
    <col min="5842" max="5842" width="12.7109375" style="564" customWidth="1"/>
    <col min="5843" max="5843" width="13.42578125" style="564" customWidth="1"/>
    <col min="5844" max="5844" width="13.140625" style="564" customWidth="1"/>
    <col min="5845" max="5845" width="14.7109375" style="564" customWidth="1"/>
    <col min="5846" max="5846" width="14.5703125" style="564" customWidth="1"/>
    <col min="5847" max="5847" width="13" style="564" customWidth="1"/>
    <col min="5848" max="5848" width="15" style="564" customWidth="1"/>
    <col min="5849" max="5850" width="12.140625" style="564" customWidth="1"/>
    <col min="5851" max="5851" width="12" style="564" customWidth="1"/>
    <col min="5852" max="5852" width="13.5703125" style="564" customWidth="1"/>
    <col min="5853" max="5853" width="14" style="564" customWidth="1"/>
    <col min="5854" max="5854" width="12.28515625" style="564" customWidth="1"/>
    <col min="5855" max="5855" width="14.140625" style="564" customWidth="1"/>
    <col min="5856" max="5856" width="13" style="564" customWidth="1"/>
    <col min="5857" max="5857" width="13.5703125" style="564" customWidth="1"/>
    <col min="5858" max="5858" width="12.42578125" style="564" customWidth="1"/>
    <col min="5859" max="5859" width="12.5703125" style="564" customWidth="1"/>
    <col min="5860" max="5860" width="11.7109375" style="564" customWidth="1"/>
    <col min="5861" max="5861" width="13.7109375" style="564" customWidth="1"/>
    <col min="5862" max="5862" width="13.28515625" style="564" customWidth="1"/>
    <col min="5863" max="5863" width="13.140625" style="564" customWidth="1"/>
    <col min="5864" max="5864" width="12" style="564" customWidth="1"/>
    <col min="5865" max="5865" width="12.140625" style="564" customWidth="1"/>
    <col min="5866" max="5866" width="12.28515625" style="564" customWidth="1"/>
    <col min="5867" max="5867" width="12.140625" style="564" customWidth="1"/>
    <col min="5868" max="5868" width="12.5703125" style="564" customWidth="1"/>
    <col min="5869" max="6085" width="9.140625" style="564"/>
    <col min="6086" max="6086" width="25.42578125" style="564" customWidth="1"/>
    <col min="6087" max="6087" width="56.28515625" style="564" customWidth="1"/>
    <col min="6088" max="6088" width="14" style="564" customWidth="1"/>
    <col min="6089" max="6090" width="14.5703125" style="564" customWidth="1"/>
    <col min="6091" max="6091" width="14.140625" style="564" customWidth="1"/>
    <col min="6092" max="6092" width="15.140625" style="564" customWidth="1"/>
    <col min="6093" max="6093" width="13.85546875" style="564" customWidth="1"/>
    <col min="6094" max="6095" width="14.7109375" style="564" customWidth="1"/>
    <col min="6096" max="6096" width="12.85546875" style="564" customWidth="1"/>
    <col min="6097" max="6097" width="13.5703125" style="564" customWidth="1"/>
    <col min="6098" max="6098" width="12.7109375" style="564" customWidth="1"/>
    <col min="6099" max="6099" width="13.42578125" style="564" customWidth="1"/>
    <col min="6100" max="6100" width="13.140625" style="564" customWidth="1"/>
    <col min="6101" max="6101" width="14.7109375" style="564" customWidth="1"/>
    <col min="6102" max="6102" width="14.5703125" style="564" customWidth="1"/>
    <col min="6103" max="6103" width="13" style="564" customWidth="1"/>
    <col min="6104" max="6104" width="15" style="564" customWidth="1"/>
    <col min="6105" max="6106" width="12.140625" style="564" customWidth="1"/>
    <col min="6107" max="6107" width="12" style="564" customWidth="1"/>
    <col min="6108" max="6108" width="13.5703125" style="564" customWidth="1"/>
    <col min="6109" max="6109" width="14" style="564" customWidth="1"/>
    <col min="6110" max="6110" width="12.28515625" style="564" customWidth="1"/>
    <col min="6111" max="6111" width="14.140625" style="564" customWidth="1"/>
    <col min="6112" max="6112" width="13" style="564" customWidth="1"/>
    <col min="6113" max="6113" width="13.5703125" style="564" customWidth="1"/>
    <col min="6114" max="6114" width="12.42578125" style="564" customWidth="1"/>
    <col min="6115" max="6115" width="12.5703125" style="564" customWidth="1"/>
    <col min="6116" max="6116" width="11.7109375" style="564" customWidth="1"/>
    <col min="6117" max="6117" width="13.7109375" style="564" customWidth="1"/>
    <col min="6118" max="6118" width="13.28515625" style="564" customWidth="1"/>
    <col min="6119" max="6119" width="13.140625" style="564" customWidth="1"/>
    <col min="6120" max="6120" width="12" style="564" customWidth="1"/>
    <col min="6121" max="6121" width="12.140625" style="564" customWidth="1"/>
    <col min="6122" max="6122" width="12.28515625" style="564" customWidth="1"/>
    <col min="6123" max="6123" width="12.140625" style="564" customWidth="1"/>
    <col min="6124" max="6124" width="12.5703125" style="564" customWidth="1"/>
    <col min="6125" max="6341" width="9.140625" style="564"/>
    <col min="6342" max="6342" width="25.42578125" style="564" customWidth="1"/>
    <col min="6343" max="6343" width="56.28515625" style="564" customWidth="1"/>
    <col min="6344" max="6344" width="14" style="564" customWidth="1"/>
    <col min="6345" max="6346" width="14.5703125" style="564" customWidth="1"/>
    <col min="6347" max="6347" width="14.140625" style="564" customWidth="1"/>
    <col min="6348" max="6348" width="15.140625" style="564" customWidth="1"/>
    <col min="6349" max="6349" width="13.85546875" style="564" customWidth="1"/>
    <col min="6350" max="6351" width="14.7109375" style="564" customWidth="1"/>
    <col min="6352" max="6352" width="12.85546875" style="564" customWidth="1"/>
    <col min="6353" max="6353" width="13.5703125" style="564" customWidth="1"/>
    <col min="6354" max="6354" width="12.7109375" style="564" customWidth="1"/>
    <col min="6355" max="6355" width="13.42578125" style="564" customWidth="1"/>
    <col min="6356" max="6356" width="13.140625" style="564" customWidth="1"/>
    <col min="6357" max="6357" width="14.7109375" style="564" customWidth="1"/>
    <col min="6358" max="6358" width="14.5703125" style="564" customWidth="1"/>
    <col min="6359" max="6359" width="13" style="564" customWidth="1"/>
    <col min="6360" max="6360" width="15" style="564" customWidth="1"/>
    <col min="6361" max="6362" width="12.140625" style="564" customWidth="1"/>
    <col min="6363" max="6363" width="12" style="564" customWidth="1"/>
    <col min="6364" max="6364" width="13.5703125" style="564" customWidth="1"/>
    <col min="6365" max="6365" width="14" style="564" customWidth="1"/>
    <col min="6366" max="6366" width="12.28515625" style="564" customWidth="1"/>
    <col min="6367" max="6367" width="14.140625" style="564" customWidth="1"/>
    <col min="6368" max="6368" width="13" style="564" customWidth="1"/>
    <col min="6369" max="6369" width="13.5703125" style="564" customWidth="1"/>
    <col min="6370" max="6370" width="12.42578125" style="564" customWidth="1"/>
    <col min="6371" max="6371" width="12.5703125" style="564" customWidth="1"/>
    <col min="6372" max="6372" width="11.7109375" style="564" customWidth="1"/>
    <col min="6373" max="6373" width="13.7109375" style="564" customWidth="1"/>
    <col min="6374" max="6374" width="13.28515625" style="564" customWidth="1"/>
    <col min="6375" max="6375" width="13.140625" style="564" customWidth="1"/>
    <col min="6376" max="6376" width="12" style="564" customWidth="1"/>
    <col min="6377" max="6377" width="12.140625" style="564" customWidth="1"/>
    <col min="6378" max="6378" width="12.28515625" style="564" customWidth="1"/>
    <col min="6379" max="6379" width="12.140625" style="564" customWidth="1"/>
    <col min="6380" max="6380" width="12.5703125" style="564" customWidth="1"/>
    <col min="6381" max="6597" width="9.140625" style="564"/>
    <col min="6598" max="6598" width="25.42578125" style="564" customWidth="1"/>
    <col min="6599" max="6599" width="56.28515625" style="564" customWidth="1"/>
    <col min="6600" max="6600" width="14" style="564" customWidth="1"/>
    <col min="6601" max="6602" width="14.5703125" style="564" customWidth="1"/>
    <col min="6603" max="6603" width="14.140625" style="564" customWidth="1"/>
    <col min="6604" max="6604" width="15.140625" style="564" customWidth="1"/>
    <col min="6605" max="6605" width="13.85546875" style="564" customWidth="1"/>
    <col min="6606" max="6607" width="14.7109375" style="564" customWidth="1"/>
    <col min="6608" max="6608" width="12.85546875" style="564" customWidth="1"/>
    <col min="6609" max="6609" width="13.5703125" style="564" customWidth="1"/>
    <col min="6610" max="6610" width="12.7109375" style="564" customWidth="1"/>
    <col min="6611" max="6611" width="13.42578125" style="564" customWidth="1"/>
    <col min="6612" max="6612" width="13.140625" style="564" customWidth="1"/>
    <col min="6613" max="6613" width="14.7109375" style="564" customWidth="1"/>
    <col min="6614" max="6614" width="14.5703125" style="564" customWidth="1"/>
    <col min="6615" max="6615" width="13" style="564" customWidth="1"/>
    <col min="6616" max="6616" width="15" style="564" customWidth="1"/>
    <col min="6617" max="6618" width="12.140625" style="564" customWidth="1"/>
    <col min="6619" max="6619" width="12" style="564" customWidth="1"/>
    <col min="6620" max="6620" width="13.5703125" style="564" customWidth="1"/>
    <col min="6621" max="6621" width="14" style="564" customWidth="1"/>
    <col min="6622" max="6622" width="12.28515625" style="564" customWidth="1"/>
    <col min="6623" max="6623" width="14.140625" style="564" customWidth="1"/>
    <col min="6624" max="6624" width="13" style="564" customWidth="1"/>
    <col min="6625" max="6625" width="13.5703125" style="564" customWidth="1"/>
    <col min="6626" max="6626" width="12.42578125" style="564" customWidth="1"/>
    <col min="6627" max="6627" width="12.5703125" style="564" customWidth="1"/>
    <col min="6628" max="6628" width="11.7109375" style="564" customWidth="1"/>
    <col min="6629" max="6629" width="13.7109375" style="564" customWidth="1"/>
    <col min="6630" max="6630" width="13.28515625" style="564" customWidth="1"/>
    <col min="6631" max="6631" width="13.140625" style="564" customWidth="1"/>
    <col min="6632" max="6632" width="12" style="564" customWidth="1"/>
    <col min="6633" max="6633" width="12.140625" style="564" customWidth="1"/>
    <col min="6634" max="6634" width="12.28515625" style="564" customWidth="1"/>
    <col min="6635" max="6635" width="12.140625" style="564" customWidth="1"/>
    <col min="6636" max="6636" width="12.5703125" style="564" customWidth="1"/>
    <col min="6637" max="6853" width="9.140625" style="564"/>
    <col min="6854" max="6854" width="25.42578125" style="564" customWidth="1"/>
    <col min="6855" max="6855" width="56.28515625" style="564" customWidth="1"/>
    <col min="6856" max="6856" width="14" style="564" customWidth="1"/>
    <col min="6857" max="6858" width="14.5703125" style="564" customWidth="1"/>
    <col min="6859" max="6859" width="14.140625" style="564" customWidth="1"/>
    <col min="6860" max="6860" width="15.140625" style="564" customWidth="1"/>
    <col min="6861" max="6861" width="13.85546875" style="564" customWidth="1"/>
    <col min="6862" max="6863" width="14.7109375" style="564" customWidth="1"/>
    <col min="6864" max="6864" width="12.85546875" style="564" customWidth="1"/>
    <col min="6865" max="6865" width="13.5703125" style="564" customWidth="1"/>
    <col min="6866" max="6866" width="12.7109375" style="564" customWidth="1"/>
    <col min="6867" max="6867" width="13.42578125" style="564" customWidth="1"/>
    <col min="6868" max="6868" width="13.140625" style="564" customWidth="1"/>
    <col min="6869" max="6869" width="14.7109375" style="564" customWidth="1"/>
    <col min="6870" max="6870" width="14.5703125" style="564" customWidth="1"/>
    <col min="6871" max="6871" width="13" style="564" customWidth="1"/>
    <col min="6872" max="6872" width="15" style="564" customWidth="1"/>
    <col min="6873" max="6874" width="12.140625" style="564" customWidth="1"/>
    <col min="6875" max="6875" width="12" style="564" customWidth="1"/>
    <col min="6876" max="6876" width="13.5703125" style="564" customWidth="1"/>
    <col min="6877" max="6877" width="14" style="564" customWidth="1"/>
    <col min="6878" max="6878" width="12.28515625" style="564" customWidth="1"/>
    <col min="6879" max="6879" width="14.140625" style="564" customWidth="1"/>
    <col min="6880" max="6880" width="13" style="564" customWidth="1"/>
    <col min="6881" max="6881" width="13.5703125" style="564" customWidth="1"/>
    <col min="6882" max="6882" width="12.42578125" style="564" customWidth="1"/>
    <col min="6883" max="6883" width="12.5703125" style="564" customWidth="1"/>
    <col min="6884" max="6884" width="11.7109375" style="564" customWidth="1"/>
    <col min="6885" max="6885" width="13.7109375" style="564" customWidth="1"/>
    <col min="6886" max="6886" width="13.28515625" style="564" customWidth="1"/>
    <col min="6887" max="6887" width="13.140625" style="564" customWidth="1"/>
    <col min="6888" max="6888" width="12" style="564" customWidth="1"/>
    <col min="6889" max="6889" width="12.140625" style="564" customWidth="1"/>
    <col min="6890" max="6890" width="12.28515625" style="564" customWidth="1"/>
    <col min="6891" max="6891" width="12.140625" style="564" customWidth="1"/>
    <col min="6892" max="6892" width="12.5703125" style="564" customWidth="1"/>
    <col min="6893" max="7109" width="9.140625" style="564"/>
    <col min="7110" max="7110" width="25.42578125" style="564" customWidth="1"/>
    <col min="7111" max="7111" width="56.28515625" style="564" customWidth="1"/>
    <col min="7112" max="7112" width="14" style="564" customWidth="1"/>
    <col min="7113" max="7114" width="14.5703125" style="564" customWidth="1"/>
    <col min="7115" max="7115" width="14.140625" style="564" customWidth="1"/>
    <col min="7116" max="7116" width="15.140625" style="564" customWidth="1"/>
    <col min="7117" max="7117" width="13.85546875" style="564" customWidth="1"/>
    <col min="7118" max="7119" width="14.7109375" style="564" customWidth="1"/>
    <col min="7120" max="7120" width="12.85546875" style="564" customWidth="1"/>
    <col min="7121" max="7121" width="13.5703125" style="564" customWidth="1"/>
    <col min="7122" max="7122" width="12.7109375" style="564" customWidth="1"/>
    <col min="7123" max="7123" width="13.42578125" style="564" customWidth="1"/>
    <col min="7124" max="7124" width="13.140625" style="564" customWidth="1"/>
    <col min="7125" max="7125" width="14.7109375" style="564" customWidth="1"/>
    <col min="7126" max="7126" width="14.5703125" style="564" customWidth="1"/>
    <col min="7127" max="7127" width="13" style="564" customWidth="1"/>
    <col min="7128" max="7128" width="15" style="564" customWidth="1"/>
    <col min="7129" max="7130" width="12.140625" style="564" customWidth="1"/>
    <col min="7131" max="7131" width="12" style="564" customWidth="1"/>
    <col min="7132" max="7132" width="13.5703125" style="564" customWidth="1"/>
    <col min="7133" max="7133" width="14" style="564" customWidth="1"/>
    <col min="7134" max="7134" width="12.28515625" style="564" customWidth="1"/>
    <col min="7135" max="7135" width="14.140625" style="564" customWidth="1"/>
    <col min="7136" max="7136" width="13" style="564" customWidth="1"/>
    <col min="7137" max="7137" width="13.5703125" style="564" customWidth="1"/>
    <col min="7138" max="7138" width="12.42578125" style="564" customWidth="1"/>
    <col min="7139" max="7139" width="12.5703125" style="564" customWidth="1"/>
    <col min="7140" max="7140" width="11.7109375" style="564" customWidth="1"/>
    <col min="7141" max="7141" width="13.7109375" style="564" customWidth="1"/>
    <col min="7142" max="7142" width="13.28515625" style="564" customWidth="1"/>
    <col min="7143" max="7143" width="13.140625" style="564" customWidth="1"/>
    <col min="7144" max="7144" width="12" style="564" customWidth="1"/>
    <col min="7145" max="7145" width="12.140625" style="564" customWidth="1"/>
    <col min="7146" max="7146" width="12.28515625" style="564" customWidth="1"/>
    <col min="7147" max="7147" width="12.140625" style="564" customWidth="1"/>
    <col min="7148" max="7148" width="12.5703125" style="564" customWidth="1"/>
    <col min="7149" max="7365" width="9.140625" style="564"/>
    <col min="7366" max="7366" width="25.42578125" style="564" customWidth="1"/>
    <col min="7367" max="7367" width="56.28515625" style="564" customWidth="1"/>
    <col min="7368" max="7368" width="14" style="564" customWidth="1"/>
    <col min="7369" max="7370" width="14.5703125" style="564" customWidth="1"/>
    <col min="7371" max="7371" width="14.140625" style="564" customWidth="1"/>
    <col min="7372" max="7372" width="15.140625" style="564" customWidth="1"/>
    <col min="7373" max="7373" width="13.85546875" style="564" customWidth="1"/>
    <col min="7374" max="7375" width="14.7109375" style="564" customWidth="1"/>
    <col min="7376" max="7376" width="12.85546875" style="564" customWidth="1"/>
    <col min="7377" max="7377" width="13.5703125" style="564" customWidth="1"/>
    <col min="7378" max="7378" width="12.7109375" style="564" customWidth="1"/>
    <col min="7379" max="7379" width="13.42578125" style="564" customWidth="1"/>
    <col min="7380" max="7380" width="13.140625" style="564" customWidth="1"/>
    <col min="7381" max="7381" width="14.7109375" style="564" customWidth="1"/>
    <col min="7382" max="7382" width="14.5703125" style="564" customWidth="1"/>
    <col min="7383" max="7383" width="13" style="564" customWidth="1"/>
    <col min="7384" max="7384" width="15" style="564" customWidth="1"/>
    <col min="7385" max="7386" width="12.140625" style="564" customWidth="1"/>
    <col min="7387" max="7387" width="12" style="564" customWidth="1"/>
    <col min="7388" max="7388" width="13.5703125" style="564" customWidth="1"/>
    <col min="7389" max="7389" width="14" style="564" customWidth="1"/>
    <col min="7390" max="7390" width="12.28515625" style="564" customWidth="1"/>
    <col min="7391" max="7391" width="14.140625" style="564" customWidth="1"/>
    <col min="7392" max="7392" width="13" style="564" customWidth="1"/>
    <col min="7393" max="7393" width="13.5703125" style="564" customWidth="1"/>
    <col min="7394" max="7394" width="12.42578125" style="564" customWidth="1"/>
    <col min="7395" max="7395" width="12.5703125" style="564" customWidth="1"/>
    <col min="7396" max="7396" width="11.7109375" style="564" customWidth="1"/>
    <col min="7397" max="7397" width="13.7109375" style="564" customWidth="1"/>
    <col min="7398" max="7398" width="13.28515625" style="564" customWidth="1"/>
    <col min="7399" max="7399" width="13.140625" style="564" customWidth="1"/>
    <col min="7400" max="7400" width="12" style="564" customWidth="1"/>
    <col min="7401" max="7401" width="12.140625" style="564" customWidth="1"/>
    <col min="7402" max="7402" width="12.28515625" style="564" customWidth="1"/>
    <col min="7403" max="7403" width="12.140625" style="564" customWidth="1"/>
    <col min="7404" max="7404" width="12.5703125" style="564" customWidth="1"/>
    <col min="7405" max="7621" width="9.140625" style="564"/>
    <col min="7622" max="7622" width="25.42578125" style="564" customWidth="1"/>
    <col min="7623" max="7623" width="56.28515625" style="564" customWidth="1"/>
    <col min="7624" max="7624" width="14" style="564" customWidth="1"/>
    <col min="7625" max="7626" width="14.5703125" style="564" customWidth="1"/>
    <col min="7627" max="7627" width="14.140625" style="564" customWidth="1"/>
    <col min="7628" max="7628" width="15.140625" style="564" customWidth="1"/>
    <col min="7629" max="7629" width="13.85546875" style="564" customWidth="1"/>
    <col min="7630" max="7631" width="14.7109375" style="564" customWidth="1"/>
    <col min="7632" max="7632" width="12.85546875" style="564" customWidth="1"/>
    <col min="7633" max="7633" width="13.5703125" style="564" customWidth="1"/>
    <col min="7634" max="7634" width="12.7109375" style="564" customWidth="1"/>
    <col min="7635" max="7635" width="13.42578125" style="564" customWidth="1"/>
    <col min="7636" max="7636" width="13.140625" style="564" customWidth="1"/>
    <col min="7637" max="7637" width="14.7109375" style="564" customWidth="1"/>
    <col min="7638" max="7638" width="14.5703125" style="564" customWidth="1"/>
    <col min="7639" max="7639" width="13" style="564" customWidth="1"/>
    <col min="7640" max="7640" width="15" style="564" customWidth="1"/>
    <col min="7641" max="7642" width="12.140625" style="564" customWidth="1"/>
    <col min="7643" max="7643" width="12" style="564" customWidth="1"/>
    <col min="7644" max="7644" width="13.5703125" style="564" customWidth="1"/>
    <col min="7645" max="7645" width="14" style="564" customWidth="1"/>
    <col min="7646" max="7646" width="12.28515625" style="564" customWidth="1"/>
    <col min="7647" max="7647" width="14.140625" style="564" customWidth="1"/>
    <col min="7648" max="7648" width="13" style="564" customWidth="1"/>
    <col min="7649" max="7649" width="13.5703125" style="564" customWidth="1"/>
    <col min="7650" max="7650" width="12.42578125" style="564" customWidth="1"/>
    <col min="7651" max="7651" width="12.5703125" style="564" customWidth="1"/>
    <col min="7652" max="7652" width="11.7109375" style="564" customWidth="1"/>
    <col min="7653" max="7653" width="13.7109375" style="564" customWidth="1"/>
    <col min="7654" max="7654" width="13.28515625" style="564" customWidth="1"/>
    <col min="7655" max="7655" width="13.140625" style="564" customWidth="1"/>
    <col min="7656" max="7656" width="12" style="564" customWidth="1"/>
    <col min="7657" max="7657" width="12.140625" style="564" customWidth="1"/>
    <col min="7658" max="7658" width="12.28515625" style="564" customWidth="1"/>
    <col min="7659" max="7659" width="12.140625" style="564" customWidth="1"/>
    <col min="7660" max="7660" width="12.5703125" style="564" customWidth="1"/>
    <col min="7661" max="7877" width="9.140625" style="564"/>
    <col min="7878" max="7878" width="25.42578125" style="564" customWidth="1"/>
    <col min="7879" max="7879" width="56.28515625" style="564" customWidth="1"/>
    <col min="7880" max="7880" width="14" style="564" customWidth="1"/>
    <col min="7881" max="7882" width="14.5703125" style="564" customWidth="1"/>
    <col min="7883" max="7883" width="14.140625" style="564" customWidth="1"/>
    <col min="7884" max="7884" width="15.140625" style="564" customWidth="1"/>
    <col min="7885" max="7885" width="13.85546875" style="564" customWidth="1"/>
    <col min="7886" max="7887" width="14.7109375" style="564" customWidth="1"/>
    <col min="7888" max="7888" width="12.85546875" style="564" customWidth="1"/>
    <col min="7889" max="7889" width="13.5703125" style="564" customWidth="1"/>
    <col min="7890" max="7890" width="12.7109375" style="564" customWidth="1"/>
    <col min="7891" max="7891" width="13.42578125" style="564" customWidth="1"/>
    <col min="7892" max="7892" width="13.140625" style="564" customWidth="1"/>
    <col min="7893" max="7893" width="14.7109375" style="564" customWidth="1"/>
    <col min="7894" max="7894" width="14.5703125" style="564" customWidth="1"/>
    <col min="7895" max="7895" width="13" style="564" customWidth="1"/>
    <col min="7896" max="7896" width="15" style="564" customWidth="1"/>
    <col min="7897" max="7898" width="12.140625" style="564" customWidth="1"/>
    <col min="7899" max="7899" width="12" style="564" customWidth="1"/>
    <col min="7900" max="7900" width="13.5703125" style="564" customWidth="1"/>
    <col min="7901" max="7901" width="14" style="564" customWidth="1"/>
    <col min="7902" max="7902" width="12.28515625" style="564" customWidth="1"/>
    <col min="7903" max="7903" width="14.140625" style="564" customWidth="1"/>
    <col min="7904" max="7904" width="13" style="564" customWidth="1"/>
    <col min="7905" max="7905" width="13.5703125" style="564" customWidth="1"/>
    <col min="7906" max="7906" width="12.42578125" style="564" customWidth="1"/>
    <col min="7907" max="7907" width="12.5703125" style="564" customWidth="1"/>
    <col min="7908" max="7908" width="11.7109375" style="564" customWidth="1"/>
    <col min="7909" max="7909" width="13.7109375" style="564" customWidth="1"/>
    <col min="7910" max="7910" width="13.28515625" style="564" customWidth="1"/>
    <col min="7911" max="7911" width="13.140625" style="564" customWidth="1"/>
    <col min="7912" max="7912" width="12" style="564" customWidth="1"/>
    <col min="7913" max="7913" width="12.140625" style="564" customWidth="1"/>
    <col min="7914" max="7914" width="12.28515625" style="564" customWidth="1"/>
    <col min="7915" max="7915" width="12.140625" style="564" customWidth="1"/>
    <col min="7916" max="7916" width="12.5703125" style="564" customWidth="1"/>
    <col min="7917" max="8133" width="9.140625" style="564"/>
    <col min="8134" max="8134" width="25.42578125" style="564" customWidth="1"/>
    <col min="8135" max="8135" width="56.28515625" style="564" customWidth="1"/>
    <col min="8136" max="8136" width="14" style="564" customWidth="1"/>
    <col min="8137" max="8138" width="14.5703125" style="564" customWidth="1"/>
    <col min="8139" max="8139" width="14.140625" style="564" customWidth="1"/>
    <col min="8140" max="8140" width="15.140625" style="564" customWidth="1"/>
    <col min="8141" max="8141" width="13.85546875" style="564" customWidth="1"/>
    <col min="8142" max="8143" width="14.7109375" style="564" customWidth="1"/>
    <col min="8144" max="8144" width="12.85546875" style="564" customWidth="1"/>
    <col min="8145" max="8145" width="13.5703125" style="564" customWidth="1"/>
    <col min="8146" max="8146" width="12.7109375" style="564" customWidth="1"/>
    <col min="8147" max="8147" width="13.42578125" style="564" customWidth="1"/>
    <col min="8148" max="8148" width="13.140625" style="564" customWidth="1"/>
    <col min="8149" max="8149" width="14.7109375" style="564" customWidth="1"/>
    <col min="8150" max="8150" width="14.5703125" style="564" customWidth="1"/>
    <col min="8151" max="8151" width="13" style="564" customWidth="1"/>
    <col min="8152" max="8152" width="15" style="564" customWidth="1"/>
    <col min="8153" max="8154" width="12.140625" style="564" customWidth="1"/>
    <col min="8155" max="8155" width="12" style="564" customWidth="1"/>
    <col min="8156" max="8156" width="13.5703125" style="564" customWidth="1"/>
    <col min="8157" max="8157" width="14" style="564" customWidth="1"/>
    <col min="8158" max="8158" width="12.28515625" style="564" customWidth="1"/>
    <col min="8159" max="8159" width="14.140625" style="564" customWidth="1"/>
    <col min="8160" max="8160" width="13" style="564" customWidth="1"/>
    <col min="8161" max="8161" width="13.5703125" style="564" customWidth="1"/>
    <col min="8162" max="8162" width="12.42578125" style="564" customWidth="1"/>
    <col min="8163" max="8163" width="12.5703125" style="564" customWidth="1"/>
    <col min="8164" max="8164" width="11.7109375" style="564" customWidth="1"/>
    <col min="8165" max="8165" width="13.7109375" style="564" customWidth="1"/>
    <col min="8166" max="8166" width="13.28515625" style="564" customWidth="1"/>
    <col min="8167" max="8167" width="13.140625" style="564" customWidth="1"/>
    <col min="8168" max="8168" width="12" style="564" customWidth="1"/>
    <col min="8169" max="8169" width="12.140625" style="564" customWidth="1"/>
    <col min="8170" max="8170" width="12.28515625" style="564" customWidth="1"/>
    <col min="8171" max="8171" width="12.140625" style="564" customWidth="1"/>
    <col min="8172" max="8172" width="12.5703125" style="564" customWidth="1"/>
    <col min="8173" max="8389" width="9.140625" style="564"/>
    <col min="8390" max="8390" width="25.42578125" style="564" customWidth="1"/>
    <col min="8391" max="8391" width="56.28515625" style="564" customWidth="1"/>
    <col min="8392" max="8392" width="14" style="564" customWidth="1"/>
    <col min="8393" max="8394" width="14.5703125" style="564" customWidth="1"/>
    <col min="8395" max="8395" width="14.140625" style="564" customWidth="1"/>
    <col min="8396" max="8396" width="15.140625" style="564" customWidth="1"/>
    <col min="8397" max="8397" width="13.85546875" style="564" customWidth="1"/>
    <col min="8398" max="8399" width="14.7109375" style="564" customWidth="1"/>
    <col min="8400" max="8400" width="12.85546875" style="564" customWidth="1"/>
    <col min="8401" max="8401" width="13.5703125" style="564" customWidth="1"/>
    <col min="8402" max="8402" width="12.7109375" style="564" customWidth="1"/>
    <col min="8403" max="8403" width="13.42578125" style="564" customWidth="1"/>
    <col min="8404" max="8404" width="13.140625" style="564" customWidth="1"/>
    <col min="8405" max="8405" width="14.7109375" style="564" customWidth="1"/>
    <col min="8406" max="8406" width="14.5703125" style="564" customWidth="1"/>
    <col min="8407" max="8407" width="13" style="564" customWidth="1"/>
    <col min="8408" max="8408" width="15" style="564" customWidth="1"/>
    <col min="8409" max="8410" width="12.140625" style="564" customWidth="1"/>
    <col min="8411" max="8411" width="12" style="564" customWidth="1"/>
    <col min="8412" max="8412" width="13.5703125" style="564" customWidth="1"/>
    <col min="8413" max="8413" width="14" style="564" customWidth="1"/>
    <col min="8414" max="8414" width="12.28515625" style="564" customWidth="1"/>
    <col min="8415" max="8415" width="14.140625" style="564" customWidth="1"/>
    <col min="8416" max="8416" width="13" style="564" customWidth="1"/>
    <col min="8417" max="8417" width="13.5703125" style="564" customWidth="1"/>
    <col min="8418" max="8418" width="12.42578125" style="564" customWidth="1"/>
    <col min="8419" max="8419" width="12.5703125" style="564" customWidth="1"/>
    <col min="8420" max="8420" width="11.7109375" style="564" customWidth="1"/>
    <col min="8421" max="8421" width="13.7109375" style="564" customWidth="1"/>
    <col min="8422" max="8422" width="13.28515625" style="564" customWidth="1"/>
    <col min="8423" max="8423" width="13.140625" style="564" customWidth="1"/>
    <col min="8424" max="8424" width="12" style="564" customWidth="1"/>
    <col min="8425" max="8425" width="12.140625" style="564" customWidth="1"/>
    <col min="8426" max="8426" width="12.28515625" style="564" customWidth="1"/>
    <col min="8427" max="8427" width="12.140625" style="564" customWidth="1"/>
    <col min="8428" max="8428" width="12.5703125" style="564" customWidth="1"/>
    <col min="8429" max="8645" width="9.140625" style="564"/>
    <col min="8646" max="8646" width="25.42578125" style="564" customWidth="1"/>
    <col min="8647" max="8647" width="56.28515625" style="564" customWidth="1"/>
    <col min="8648" max="8648" width="14" style="564" customWidth="1"/>
    <col min="8649" max="8650" width="14.5703125" style="564" customWidth="1"/>
    <col min="8651" max="8651" width="14.140625" style="564" customWidth="1"/>
    <col min="8652" max="8652" width="15.140625" style="564" customWidth="1"/>
    <col min="8653" max="8653" width="13.85546875" style="564" customWidth="1"/>
    <col min="8654" max="8655" width="14.7109375" style="564" customWidth="1"/>
    <col min="8656" max="8656" width="12.85546875" style="564" customWidth="1"/>
    <col min="8657" max="8657" width="13.5703125" style="564" customWidth="1"/>
    <col min="8658" max="8658" width="12.7109375" style="564" customWidth="1"/>
    <col min="8659" max="8659" width="13.42578125" style="564" customWidth="1"/>
    <col min="8660" max="8660" width="13.140625" style="564" customWidth="1"/>
    <col min="8661" max="8661" width="14.7109375" style="564" customWidth="1"/>
    <col min="8662" max="8662" width="14.5703125" style="564" customWidth="1"/>
    <col min="8663" max="8663" width="13" style="564" customWidth="1"/>
    <col min="8664" max="8664" width="15" style="564" customWidth="1"/>
    <col min="8665" max="8666" width="12.140625" style="564" customWidth="1"/>
    <col min="8667" max="8667" width="12" style="564" customWidth="1"/>
    <col min="8668" max="8668" width="13.5703125" style="564" customWidth="1"/>
    <col min="8669" max="8669" width="14" style="564" customWidth="1"/>
    <col min="8670" max="8670" width="12.28515625" style="564" customWidth="1"/>
    <col min="8671" max="8671" width="14.140625" style="564" customWidth="1"/>
    <col min="8672" max="8672" width="13" style="564" customWidth="1"/>
    <col min="8673" max="8673" width="13.5703125" style="564" customWidth="1"/>
    <col min="8674" max="8674" width="12.42578125" style="564" customWidth="1"/>
    <col min="8675" max="8675" width="12.5703125" style="564" customWidth="1"/>
    <col min="8676" max="8676" width="11.7109375" style="564" customWidth="1"/>
    <col min="8677" max="8677" width="13.7109375" style="564" customWidth="1"/>
    <col min="8678" max="8678" width="13.28515625" style="564" customWidth="1"/>
    <col min="8679" max="8679" width="13.140625" style="564" customWidth="1"/>
    <col min="8680" max="8680" width="12" style="564" customWidth="1"/>
    <col min="8681" max="8681" width="12.140625" style="564" customWidth="1"/>
    <col min="8682" max="8682" width="12.28515625" style="564" customWidth="1"/>
    <col min="8683" max="8683" width="12.140625" style="564" customWidth="1"/>
    <col min="8684" max="8684" width="12.5703125" style="564" customWidth="1"/>
    <col min="8685" max="8901" width="9.140625" style="564"/>
    <col min="8902" max="8902" width="25.42578125" style="564" customWidth="1"/>
    <col min="8903" max="8903" width="56.28515625" style="564" customWidth="1"/>
    <col min="8904" max="8904" width="14" style="564" customWidth="1"/>
    <col min="8905" max="8906" width="14.5703125" style="564" customWidth="1"/>
    <col min="8907" max="8907" width="14.140625" style="564" customWidth="1"/>
    <col min="8908" max="8908" width="15.140625" style="564" customWidth="1"/>
    <col min="8909" max="8909" width="13.85546875" style="564" customWidth="1"/>
    <col min="8910" max="8911" width="14.7109375" style="564" customWidth="1"/>
    <col min="8912" max="8912" width="12.85546875" style="564" customWidth="1"/>
    <col min="8913" max="8913" width="13.5703125" style="564" customWidth="1"/>
    <col min="8914" max="8914" width="12.7109375" style="564" customWidth="1"/>
    <col min="8915" max="8915" width="13.42578125" style="564" customWidth="1"/>
    <col min="8916" max="8916" width="13.140625" style="564" customWidth="1"/>
    <col min="8917" max="8917" width="14.7109375" style="564" customWidth="1"/>
    <col min="8918" max="8918" width="14.5703125" style="564" customWidth="1"/>
    <col min="8919" max="8919" width="13" style="564" customWidth="1"/>
    <col min="8920" max="8920" width="15" style="564" customWidth="1"/>
    <col min="8921" max="8922" width="12.140625" style="564" customWidth="1"/>
    <col min="8923" max="8923" width="12" style="564" customWidth="1"/>
    <col min="8924" max="8924" width="13.5703125" style="564" customWidth="1"/>
    <col min="8925" max="8925" width="14" style="564" customWidth="1"/>
    <col min="8926" max="8926" width="12.28515625" style="564" customWidth="1"/>
    <col min="8927" max="8927" width="14.140625" style="564" customWidth="1"/>
    <col min="8928" max="8928" width="13" style="564" customWidth="1"/>
    <col min="8929" max="8929" width="13.5703125" style="564" customWidth="1"/>
    <col min="8930" max="8930" width="12.42578125" style="564" customWidth="1"/>
    <col min="8931" max="8931" width="12.5703125" style="564" customWidth="1"/>
    <col min="8932" max="8932" width="11.7109375" style="564" customWidth="1"/>
    <col min="8933" max="8933" width="13.7109375" style="564" customWidth="1"/>
    <col min="8934" max="8934" width="13.28515625" style="564" customWidth="1"/>
    <col min="8935" max="8935" width="13.140625" style="564" customWidth="1"/>
    <col min="8936" max="8936" width="12" style="564" customWidth="1"/>
    <col min="8937" max="8937" width="12.140625" style="564" customWidth="1"/>
    <col min="8938" max="8938" width="12.28515625" style="564" customWidth="1"/>
    <col min="8939" max="8939" width="12.140625" style="564" customWidth="1"/>
    <col min="8940" max="8940" width="12.5703125" style="564" customWidth="1"/>
    <col min="8941" max="9157" width="9.140625" style="564"/>
    <col min="9158" max="9158" width="25.42578125" style="564" customWidth="1"/>
    <col min="9159" max="9159" width="56.28515625" style="564" customWidth="1"/>
    <col min="9160" max="9160" width="14" style="564" customWidth="1"/>
    <col min="9161" max="9162" width="14.5703125" style="564" customWidth="1"/>
    <col min="9163" max="9163" width="14.140625" style="564" customWidth="1"/>
    <col min="9164" max="9164" width="15.140625" style="564" customWidth="1"/>
    <col min="9165" max="9165" width="13.85546875" style="564" customWidth="1"/>
    <col min="9166" max="9167" width="14.7109375" style="564" customWidth="1"/>
    <col min="9168" max="9168" width="12.85546875" style="564" customWidth="1"/>
    <col min="9169" max="9169" width="13.5703125" style="564" customWidth="1"/>
    <col min="9170" max="9170" width="12.7109375" style="564" customWidth="1"/>
    <col min="9171" max="9171" width="13.42578125" style="564" customWidth="1"/>
    <col min="9172" max="9172" width="13.140625" style="564" customWidth="1"/>
    <col min="9173" max="9173" width="14.7109375" style="564" customWidth="1"/>
    <col min="9174" max="9174" width="14.5703125" style="564" customWidth="1"/>
    <col min="9175" max="9175" width="13" style="564" customWidth="1"/>
    <col min="9176" max="9176" width="15" style="564" customWidth="1"/>
    <col min="9177" max="9178" width="12.140625" style="564" customWidth="1"/>
    <col min="9179" max="9179" width="12" style="564" customWidth="1"/>
    <col min="9180" max="9180" width="13.5703125" style="564" customWidth="1"/>
    <col min="9181" max="9181" width="14" style="564" customWidth="1"/>
    <col min="9182" max="9182" width="12.28515625" style="564" customWidth="1"/>
    <col min="9183" max="9183" width="14.140625" style="564" customWidth="1"/>
    <col min="9184" max="9184" width="13" style="564" customWidth="1"/>
    <col min="9185" max="9185" width="13.5703125" style="564" customWidth="1"/>
    <col min="9186" max="9186" width="12.42578125" style="564" customWidth="1"/>
    <col min="9187" max="9187" width="12.5703125" style="564" customWidth="1"/>
    <col min="9188" max="9188" width="11.7109375" style="564" customWidth="1"/>
    <col min="9189" max="9189" width="13.7109375" style="564" customWidth="1"/>
    <col min="9190" max="9190" width="13.28515625" style="564" customWidth="1"/>
    <col min="9191" max="9191" width="13.140625" style="564" customWidth="1"/>
    <col min="9192" max="9192" width="12" style="564" customWidth="1"/>
    <col min="9193" max="9193" width="12.140625" style="564" customWidth="1"/>
    <col min="9194" max="9194" width="12.28515625" style="564" customWidth="1"/>
    <col min="9195" max="9195" width="12.140625" style="564" customWidth="1"/>
    <col min="9196" max="9196" width="12.5703125" style="564" customWidth="1"/>
    <col min="9197" max="9413" width="9.140625" style="564"/>
    <col min="9414" max="9414" width="25.42578125" style="564" customWidth="1"/>
    <col min="9415" max="9415" width="56.28515625" style="564" customWidth="1"/>
    <col min="9416" max="9416" width="14" style="564" customWidth="1"/>
    <col min="9417" max="9418" width="14.5703125" style="564" customWidth="1"/>
    <col min="9419" max="9419" width="14.140625" style="564" customWidth="1"/>
    <col min="9420" max="9420" width="15.140625" style="564" customWidth="1"/>
    <col min="9421" max="9421" width="13.85546875" style="564" customWidth="1"/>
    <col min="9422" max="9423" width="14.7109375" style="564" customWidth="1"/>
    <col min="9424" max="9424" width="12.85546875" style="564" customWidth="1"/>
    <col min="9425" max="9425" width="13.5703125" style="564" customWidth="1"/>
    <col min="9426" max="9426" width="12.7109375" style="564" customWidth="1"/>
    <col min="9427" max="9427" width="13.42578125" style="564" customWidth="1"/>
    <col min="9428" max="9428" width="13.140625" style="564" customWidth="1"/>
    <col min="9429" max="9429" width="14.7109375" style="564" customWidth="1"/>
    <col min="9430" max="9430" width="14.5703125" style="564" customWidth="1"/>
    <col min="9431" max="9431" width="13" style="564" customWidth="1"/>
    <col min="9432" max="9432" width="15" style="564" customWidth="1"/>
    <col min="9433" max="9434" width="12.140625" style="564" customWidth="1"/>
    <col min="9435" max="9435" width="12" style="564" customWidth="1"/>
    <col min="9436" max="9436" width="13.5703125" style="564" customWidth="1"/>
    <col min="9437" max="9437" width="14" style="564" customWidth="1"/>
    <col min="9438" max="9438" width="12.28515625" style="564" customWidth="1"/>
    <col min="9439" max="9439" width="14.140625" style="564" customWidth="1"/>
    <col min="9440" max="9440" width="13" style="564" customWidth="1"/>
    <col min="9441" max="9441" width="13.5703125" style="564" customWidth="1"/>
    <col min="9442" max="9442" width="12.42578125" style="564" customWidth="1"/>
    <col min="9443" max="9443" width="12.5703125" style="564" customWidth="1"/>
    <col min="9444" max="9444" width="11.7109375" style="564" customWidth="1"/>
    <col min="9445" max="9445" width="13.7109375" style="564" customWidth="1"/>
    <col min="9446" max="9446" width="13.28515625" style="564" customWidth="1"/>
    <col min="9447" max="9447" width="13.140625" style="564" customWidth="1"/>
    <col min="9448" max="9448" width="12" style="564" customWidth="1"/>
    <col min="9449" max="9449" width="12.140625" style="564" customWidth="1"/>
    <col min="9450" max="9450" width="12.28515625" style="564" customWidth="1"/>
    <col min="9451" max="9451" width="12.140625" style="564" customWidth="1"/>
    <col min="9452" max="9452" width="12.5703125" style="564" customWidth="1"/>
    <col min="9453" max="9669" width="9.140625" style="564"/>
    <col min="9670" max="9670" width="25.42578125" style="564" customWidth="1"/>
    <col min="9671" max="9671" width="56.28515625" style="564" customWidth="1"/>
    <col min="9672" max="9672" width="14" style="564" customWidth="1"/>
    <col min="9673" max="9674" width="14.5703125" style="564" customWidth="1"/>
    <col min="9675" max="9675" width="14.140625" style="564" customWidth="1"/>
    <col min="9676" max="9676" width="15.140625" style="564" customWidth="1"/>
    <col min="9677" max="9677" width="13.85546875" style="564" customWidth="1"/>
    <col min="9678" max="9679" width="14.7109375" style="564" customWidth="1"/>
    <col min="9680" max="9680" width="12.85546875" style="564" customWidth="1"/>
    <col min="9681" max="9681" width="13.5703125" style="564" customWidth="1"/>
    <col min="9682" max="9682" width="12.7109375" style="564" customWidth="1"/>
    <col min="9683" max="9683" width="13.42578125" style="564" customWidth="1"/>
    <col min="9684" max="9684" width="13.140625" style="564" customWidth="1"/>
    <col min="9685" max="9685" width="14.7109375" style="564" customWidth="1"/>
    <col min="9686" max="9686" width="14.5703125" style="564" customWidth="1"/>
    <col min="9687" max="9687" width="13" style="564" customWidth="1"/>
    <col min="9688" max="9688" width="15" style="564" customWidth="1"/>
    <col min="9689" max="9690" width="12.140625" style="564" customWidth="1"/>
    <col min="9691" max="9691" width="12" style="564" customWidth="1"/>
    <col min="9692" max="9692" width="13.5703125" style="564" customWidth="1"/>
    <col min="9693" max="9693" width="14" style="564" customWidth="1"/>
    <col min="9694" max="9694" width="12.28515625" style="564" customWidth="1"/>
    <col min="9695" max="9695" width="14.140625" style="564" customWidth="1"/>
    <col min="9696" max="9696" width="13" style="564" customWidth="1"/>
    <col min="9697" max="9697" width="13.5703125" style="564" customWidth="1"/>
    <col min="9698" max="9698" width="12.42578125" style="564" customWidth="1"/>
    <col min="9699" max="9699" width="12.5703125" style="564" customWidth="1"/>
    <col min="9700" max="9700" width="11.7109375" style="564" customWidth="1"/>
    <col min="9701" max="9701" width="13.7109375" style="564" customWidth="1"/>
    <col min="9702" max="9702" width="13.28515625" style="564" customWidth="1"/>
    <col min="9703" max="9703" width="13.140625" style="564" customWidth="1"/>
    <col min="9704" max="9704" width="12" style="564" customWidth="1"/>
    <col min="9705" max="9705" width="12.140625" style="564" customWidth="1"/>
    <col min="9706" max="9706" width="12.28515625" style="564" customWidth="1"/>
    <col min="9707" max="9707" width="12.140625" style="564" customWidth="1"/>
    <col min="9708" max="9708" width="12.5703125" style="564" customWidth="1"/>
    <col min="9709" max="9925" width="9.140625" style="564"/>
    <col min="9926" max="9926" width="25.42578125" style="564" customWidth="1"/>
    <col min="9927" max="9927" width="56.28515625" style="564" customWidth="1"/>
    <col min="9928" max="9928" width="14" style="564" customWidth="1"/>
    <col min="9929" max="9930" width="14.5703125" style="564" customWidth="1"/>
    <col min="9931" max="9931" width="14.140625" style="564" customWidth="1"/>
    <col min="9932" max="9932" width="15.140625" style="564" customWidth="1"/>
    <col min="9933" max="9933" width="13.85546875" style="564" customWidth="1"/>
    <col min="9934" max="9935" width="14.7109375" style="564" customWidth="1"/>
    <col min="9936" max="9936" width="12.85546875" style="564" customWidth="1"/>
    <col min="9937" max="9937" width="13.5703125" style="564" customWidth="1"/>
    <col min="9938" max="9938" width="12.7109375" style="564" customWidth="1"/>
    <col min="9939" max="9939" width="13.42578125" style="564" customWidth="1"/>
    <col min="9940" max="9940" width="13.140625" style="564" customWidth="1"/>
    <col min="9941" max="9941" width="14.7109375" style="564" customWidth="1"/>
    <col min="9942" max="9942" width="14.5703125" style="564" customWidth="1"/>
    <col min="9943" max="9943" width="13" style="564" customWidth="1"/>
    <col min="9944" max="9944" width="15" style="564" customWidth="1"/>
    <col min="9945" max="9946" width="12.140625" style="564" customWidth="1"/>
    <col min="9947" max="9947" width="12" style="564" customWidth="1"/>
    <col min="9948" max="9948" width="13.5703125" style="564" customWidth="1"/>
    <col min="9949" max="9949" width="14" style="564" customWidth="1"/>
    <col min="9950" max="9950" width="12.28515625" style="564" customWidth="1"/>
    <col min="9951" max="9951" width="14.140625" style="564" customWidth="1"/>
    <col min="9952" max="9952" width="13" style="564" customWidth="1"/>
    <col min="9953" max="9953" width="13.5703125" style="564" customWidth="1"/>
    <col min="9954" max="9954" width="12.42578125" style="564" customWidth="1"/>
    <col min="9955" max="9955" width="12.5703125" style="564" customWidth="1"/>
    <col min="9956" max="9956" width="11.7109375" style="564" customWidth="1"/>
    <col min="9957" max="9957" width="13.7109375" style="564" customWidth="1"/>
    <col min="9958" max="9958" width="13.28515625" style="564" customWidth="1"/>
    <col min="9959" max="9959" width="13.140625" style="564" customWidth="1"/>
    <col min="9960" max="9960" width="12" style="564" customWidth="1"/>
    <col min="9961" max="9961" width="12.140625" style="564" customWidth="1"/>
    <col min="9962" max="9962" width="12.28515625" style="564" customWidth="1"/>
    <col min="9963" max="9963" width="12.140625" style="564" customWidth="1"/>
    <col min="9964" max="9964" width="12.5703125" style="564" customWidth="1"/>
    <col min="9965" max="10181" width="9.140625" style="564"/>
    <col min="10182" max="10182" width="25.42578125" style="564" customWidth="1"/>
    <col min="10183" max="10183" width="56.28515625" style="564" customWidth="1"/>
    <col min="10184" max="10184" width="14" style="564" customWidth="1"/>
    <col min="10185" max="10186" width="14.5703125" style="564" customWidth="1"/>
    <col min="10187" max="10187" width="14.140625" style="564" customWidth="1"/>
    <col min="10188" max="10188" width="15.140625" style="564" customWidth="1"/>
    <col min="10189" max="10189" width="13.85546875" style="564" customWidth="1"/>
    <col min="10190" max="10191" width="14.7109375" style="564" customWidth="1"/>
    <col min="10192" max="10192" width="12.85546875" style="564" customWidth="1"/>
    <col min="10193" max="10193" width="13.5703125" style="564" customWidth="1"/>
    <col min="10194" max="10194" width="12.7109375" style="564" customWidth="1"/>
    <col min="10195" max="10195" width="13.42578125" style="564" customWidth="1"/>
    <col min="10196" max="10196" width="13.140625" style="564" customWidth="1"/>
    <col min="10197" max="10197" width="14.7109375" style="564" customWidth="1"/>
    <col min="10198" max="10198" width="14.5703125" style="564" customWidth="1"/>
    <col min="10199" max="10199" width="13" style="564" customWidth="1"/>
    <col min="10200" max="10200" width="15" style="564" customWidth="1"/>
    <col min="10201" max="10202" width="12.140625" style="564" customWidth="1"/>
    <col min="10203" max="10203" width="12" style="564" customWidth="1"/>
    <col min="10204" max="10204" width="13.5703125" style="564" customWidth="1"/>
    <col min="10205" max="10205" width="14" style="564" customWidth="1"/>
    <col min="10206" max="10206" width="12.28515625" style="564" customWidth="1"/>
    <col min="10207" max="10207" width="14.140625" style="564" customWidth="1"/>
    <col min="10208" max="10208" width="13" style="564" customWidth="1"/>
    <col min="10209" max="10209" width="13.5703125" style="564" customWidth="1"/>
    <col min="10210" max="10210" width="12.42578125" style="564" customWidth="1"/>
    <col min="10211" max="10211" width="12.5703125" style="564" customWidth="1"/>
    <col min="10212" max="10212" width="11.7109375" style="564" customWidth="1"/>
    <col min="10213" max="10213" width="13.7109375" style="564" customWidth="1"/>
    <col min="10214" max="10214" width="13.28515625" style="564" customWidth="1"/>
    <col min="10215" max="10215" width="13.140625" style="564" customWidth="1"/>
    <col min="10216" max="10216" width="12" style="564" customWidth="1"/>
    <col min="10217" max="10217" width="12.140625" style="564" customWidth="1"/>
    <col min="10218" max="10218" width="12.28515625" style="564" customWidth="1"/>
    <col min="10219" max="10219" width="12.140625" style="564" customWidth="1"/>
    <col min="10220" max="10220" width="12.5703125" style="564" customWidth="1"/>
    <col min="10221" max="10437" width="9.140625" style="564"/>
    <col min="10438" max="10438" width="25.42578125" style="564" customWidth="1"/>
    <col min="10439" max="10439" width="56.28515625" style="564" customWidth="1"/>
    <col min="10440" max="10440" width="14" style="564" customWidth="1"/>
    <col min="10441" max="10442" width="14.5703125" style="564" customWidth="1"/>
    <col min="10443" max="10443" width="14.140625" style="564" customWidth="1"/>
    <col min="10444" max="10444" width="15.140625" style="564" customWidth="1"/>
    <col min="10445" max="10445" width="13.85546875" style="564" customWidth="1"/>
    <col min="10446" max="10447" width="14.7109375" style="564" customWidth="1"/>
    <col min="10448" max="10448" width="12.85546875" style="564" customWidth="1"/>
    <col min="10449" max="10449" width="13.5703125" style="564" customWidth="1"/>
    <col min="10450" max="10450" width="12.7109375" style="564" customWidth="1"/>
    <col min="10451" max="10451" width="13.42578125" style="564" customWidth="1"/>
    <col min="10452" max="10452" width="13.140625" style="564" customWidth="1"/>
    <col min="10453" max="10453" width="14.7109375" style="564" customWidth="1"/>
    <col min="10454" max="10454" width="14.5703125" style="564" customWidth="1"/>
    <col min="10455" max="10455" width="13" style="564" customWidth="1"/>
    <col min="10456" max="10456" width="15" style="564" customWidth="1"/>
    <col min="10457" max="10458" width="12.140625" style="564" customWidth="1"/>
    <col min="10459" max="10459" width="12" style="564" customWidth="1"/>
    <col min="10460" max="10460" width="13.5703125" style="564" customWidth="1"/>
    <col min="10461" max="10461" width="14" style="564" customWidth="1"/>
    <col min="10462" max="10462" width="12.28515625" style="564" customWidth="1"/>
    <col min="10463" max="10463" width="14.140625" style="564" customWidth="1"/>
    <col min="10464" max="10464" width="13" style="564" customWidth="1"/>
    <col min="10465" max="10465" width="13.5703125" style="564" customWidth="1"/>
    <col min="10466" max="10466" width="12.42578125" style="564" customWidth="1"/>
    <col min="10467" max="10467" width="12.5703125" style="564" customWidth="1"/>
    <col min="10468" max="10468" width="11.7109375" style="564" customWidth="1"/>
    <col min="10469" max="10469" width="13.7109375" style="564" customWidth="1"/>
    <col min="10470" max="10470" width="13.28515625" style="564" customWidth="1"/>
    <col min="10471" max="10471" width="13.140625" style="564" customWidth="1"/>
    <col min="10472" max="10472" width="12" style="564" customWidth="1"/>
    <col min="10473" max="10473" width="12.140625" style="564" customWidth="1"/>
    <col min="10474" max="10474" width="12.28515625" style="564" customWidth="1"/>
    <col min="10475" max="10475" width="12.140625" style="564" customWidth="1"/>
    <col min="10476" max="10476" width="12.5703125" style="564" customWidth="1"/>
    <col min="10477" max="10693" width="9.140625" style="564"/>
    <col min="10694" max="10694" width="25.42578125" style="564" customWidth="1"/>
    <col min="10695" max="10695" width="56.28515625" style="564" customWidth="1"/>
    <col min="10696" max="10696" width="14" style="564" customWidth="1"/>
    <col min="10697" max="10698" width="14.5703125" style="564" customWidth="1"/>
    <col min="10699" max="10699" width="14.140625" style="564" customWidth="1"/>
    <col min="10700" max="10700" width="15.140625" style="564" customWidth="1"/>
    <col min="10701" max="10701" width="13.85546875" style="564" customWidth="1"/>
    <col min="10702" max="10703" width="14.7109375" style="564" customWidth="1"/>
    <col min="10704" max="10704" width="12.85546875" style="564" customWidth="1"/>
    <col min="10705" max="10705" width="13.5703125" style="564" customWidth="1"/>
    <col min="10706" max="10706" width="12.7109375" style="564" customWidth="1"/>
    <col min="10707" max="10707" width="13.42578125" style="564" customWidth="1"/>
    <col min="10708" max="10708" width="13.140625" style="564" customWidth="1"/>
    <col min="10709" max="10709" width="14.7109375" style="564" customWidth="1"/>
    <col min="10710" max="10710" width="14.5703125" style="564" customWidth="1"/>
    <col min="10711" max="10711" width="13" style="564" customWidth="1"/>
    <col min="10712" max="10712" width="15" style="564" customWidth="1"/>
    <col min="10713" max="10714" width="12.140625" style="564" customWidth="1"/>
    <col min="10715" max="10715" width="12" style="564" customWidth="1"/>
    <col min="10716" max="10716" width="13.5703125" style="564" customWidth="1"/>
    <col min="10717" max="10717" width="14" style="564" customWidth="1"/>
    <col min="10718" max="10718" width="12.28515625" style="564" customWidth="1"/>
    <col min="10719" max="10719" width="14.140625" style="564" customWidth="1"/>
    <col min="10720" max="10720" width="13" style="564" customWidth="1"/>
    <col min="10721" max="10721" width="13.5703125" style="564" customWidth="1"/>
    <col min="10722" max="10722" width="12.42578125" style="564" customWidth="1"/>
    <col min="10723" max="10723" width="12.5703125" style="564" customWidth="1"/>
    <col min="10724" max="10724" width="11.7109375" style="564" customWidth="1"/>
    <col min="10725" max="10725" width="13.7109375" style="564" customWidth="1"/>
    <col min="10726" max="10726" width="13.28515625" style="564" customWidth="1"/>
    <col min="10727" max="10727" width="13.140625" style="564" customWidth="1"/>
    <col min="10728" max="10728" width="12" style="564" customWidth="1"/>
    <col min="10729" max="10729" width="12.140625" style="564" customWidth="1"/>
    <col min="10730" max="10730" width="12.28515625" style="564" customWidth="1"/>
    <col min="10731" max="10731" width="12.140625" style="564" customWidth="1"/>
    <col min="10732" max="10732" width="12.5703125" style="564" customWidth="1"/>
    <col min="10733" max="10949" width="9.140625" style="564"/>
    <col min="10950" max="10950" width="25.42578125" style="564" customWidth="1"/>
    <col min="10951" max="10951" width="56.28515625" style="564" customWidth="1"/>
    <col min="10952" max="10952" width="14" style="564" customWidth="1"/>
    <col min="10953" max="10954" width="14.5703125" style="564" customWidth="1"/>
    <col min="10955" max="10955" width="14.140625" style="564" customWidth="1"/>
    <col min="10956" max="10956" width="15.140625" style="564" customWidth="1"/>
    <col min="10957" max="10957" width="13.85546875" style="564" customWidth="1"/>
    <col min="10958" max="10959" width="14.7109375" style="564" customWidth="1"/>
    <col min="10960" max="10960" width="12.85546875" style="564" customWidth="1"/>
    <col min="10961" max="10961" width="13.5703125" style="564" customWidth="1"/>
    <col min="10962" max="10962" width="12.7109375" style="564" customWidth="1"/>
    <col min="10963" max="10963" width="13.42578125" style="564" customWidth="1"/>
    <col min="10964" max="10964" width="13.140625" style="564" customWidth="1"/>
    <col min="10965" max="10965" width="14.7109375" style="564" customWidth="1"/>
    <col min="10966" max="10966" width="14.5703125" style="564" customWidth="1"/>
    <col min="10967" max="10967" width="13" style="564" customWidth="1"/>
    <col min="10968" max="10968" width="15" style="564" customWidth="1"/>
    <col min="10969" max="10970" width="12.140625" style="564" customWidth="1"/>
    <col min="10971" max="10971" width="12" style="564" customWidth="1"/>
    <col min="10972" max="10972" width="13.5703125" style="564" customWidth="1"/>
    <col min="10973" max="10973" width="14" style="564" customWidth="1"/>
    <col min="10974" max="10974" width="12.28515625" style="564" customWidth="1"/>
    <col min="10975" max="10975" width="14.140625" style="564" customWidth="1"/>
    <col min="10976" max="10976" width="13" style="564" customWidth="1"/>
    <col min="10977" max="10977" width="13.5703125" style="564" customWidth="1"/>
    <col min="10978" max="10978" width="12.42578125" style="564" customWidth="1"/>
    <col min="10979" max="10979" width="12.5703125" style="564" customWidth="1"/>
    <col min="10980" max="10980" width="11.7109375" style="564" customWidth="1"/>
    <col min="10981" max="10981" width="13.7109375" style="564" customWidth="1"/>
    <col min="10982" max="10982" width="13.28515625" style="564" customWidth="1"/>
    <col min="10983" max="10983" width="13.140625" style="564" customWidth="1"/>
    <col min="10984" max="10984" width="12" style="564" customWidth="1"/>
    <col min="10985" max="10985" width="12.140625" style="564" customWidth="1"/>
    <col min="10986" max="10986" width="12.28515625" style="564" customWidth="1"/>
    <col min="10987" max="10987" width="12.140625" style="564" customWidth="1"/>
    <col min="10988" max="10988" width="12.5703125" style="564" customWidth="1"/>
    <col min="10989" max="11205" width="9.140625" style="564"/>
    <col min="11206" max="11206" width="25.42578125" style="564" customWidth="1"/>
    <col min="11207" max="11207" width="56.28515625" style="564" customWidth="1"/>
    <col min="11208" max="11208" width="14" style="564" customWidth="1"/>
    <col min="11209" max="11210" width="14.5703125" style="564" customWidth="1"/>
    <col min="11211" max="11211" width="14.140625" style="564" customWidth="1"/>
    <col min="11212" max="11212" width="15.140625" style="564" customWidth="1"/>
    <col min="11213" max="11213" width="13.85546875" style="564" customWidth="1"/>
    <col min="11214" max="11215" width="14.7109375" style="564" customWidth="1"/>
    <col min="11216" max="11216" width="12.85546875" style="564" customWidth="1"/>
    <col min="11217" max="11217" width="13.5703125" style="564" customWidth="1"/>
    <col min="11218" max="11218" width="12.7109375" style="564" customWidth="1"/>
    <col min="11219" max="11219" width="13.42578125" style="564" customWidth="1"/>
    <col min="11220" max="11220" width="13.140625" style="564" customWidth="1"/>
    <col min="11221" max="11221" width="14.7109375" style="564" customWidth="1"/>
    <col min="11222" max="11222" width="14.5703125" style="564" customWidth="1"/>
    <col min="11223" max="11223" width="13" style="564" customWidth="1"/>
    <col min="11224" max="11224" width="15" style="564" customWidth="1"/>
    <col min="11225" max="11226" width="12.140625" style="564" customWidth="1"/>
    <col min="11227" max="11227" width="12" style="564" customWidth="1"/>
    <col min="11228" max="11228" width="13.5703125" style="564" customWidth="1"/>
    <col min="11229" max="11229" width="14" style="564" customWidth="1"/>
    <col min="11230" max="11230" width="12.28515625" style="564" customWidth="1"/>
    <col min="11231" max="11231" width="14.140625" style="564" customWidth="1"/>
    <col min="11232" max="11232" width="13" style="564" customWidth="1"/>
    <col min="11233" max="11233" width="13.5703125" style="564" customWidth="1"/>
    <col min="11234" max="11234" width="12.42578125" style="564" customWidth="1"/>
    <col min="11235" max="11235" width="12.5703125" style="564" customWidth="1"/>
    <col min="11236" max="11236" width="11.7109375" style="564" customWidth="1"/>
    <col min="11237" max="11237" width="13.7109375" style="564" customWidth="1"/>
    <col min="11238" max="11238" width="13.28515625" style="564" customWidth="1"/>
    <col min="11239" max="11239" width="13.140625" style="564" customWidth="1"/>
    <col min="11240" max="11240" width="12" style="564" customWidth="1"/>
    <col min="11241" max="11241" width="12.140625" style="564" customWidth="1"/>
    <col min="11242" max="11242" width="12.28515625" style="564" customWidth="1"/>
    <col min="11243" max="11243" width="12.140625" style="564" customWidth="1"/>
    <col min="11244" max="11244" width="12.5703125" style="564" customWidth="1"/>
    <col min="11245" max="11461" width="9.140625" style="564"/>
    <col min="11462" max="11462" width="25.42578125" style="564" customWidth="1"/>
    <col min="11463" max="11463" width="56.28515625" style="564" customWidth="1"/>
    <col min="11464" max="11464" width="14" style="564" customWidth="1"/>
    <col min="11465" max="11466" width="14.5703125" style="564" customWidth="1"/>
    <col min="11467" max="11467" width="14.140625" style="564" customWidth="1"/>
    <col min="11468" max="11468" width="15.140625" style="564" customWidth="1"/>
    <col min="11469" max="11469" width="13.85546875" style="564" customWidth="1"/>
    <col min="11470" max="11471" width="14.7109375" style="564" customWidth="1"/>
    <col min="11472" max="11472" width="12.85546875" style="564" customWidth="1"/>
    <col min="11473" max="11473" width="13.5703125" style="564" customWidth="1"/>
    <col min="11474" max="11474" width="12.7109375" style="564" customWidth="1"/>
    <col min="11475" max="11475" width="13.42578125" style="564" customWidth="1"/>
    <col min="11476" max="11476" width="13.140625" style="564" customWidth="1"/>
    <col min="11477" max="11477" width="14.7109375" style="564" customWidth="1"/>
    <col min="11478" max="11478" width="14.5703125" style="564" customWidth="1"/>
    <col min="11479" max="11479" width="13" style="564" customWidth="1"/>
    <col min="11480" max="11480" width="15" style="564" customWidth="1"/>
    <col min="11481" max="11482" width="12.140625" style="564" customWidth="1"/>
    <col min="11483" max="11483" width="12" style="564" customWidth="1"/>
    <col min="11484" max="11484" width="13.5703125" style="564" customWidth="1"/>
    <col min="11485" max="11485" width="14" style="564" customWidth="1"/>
    <col min="11486" max="11486" width="12.28515625" style="564" customWidth="1"/>
    <col min="11487" max="11487" width="14.140625" style="564" customWidth="1"/>
    <col min="11488" max="11488" width="13" style="564" customWidth="1"/>
    <col min="11489" max="11489" width="13.5703125" style="564" customWidth="1"/>
    <col min="11490" max="11490" width="12.42578125" style="564" customWidth="1"/>
    <col min="11491" max="11491" width="12.5703125" style="564" customWidth="1"/>
    <col min="11492" max="11492" width="11.7109375" style="564" customWidth="1"/>
    <col min="11493" max="11493" width="13.7109375" style="564" customWidth="1"/>
    <col min="11494" max="11494" width="13.28515625" style="564" customWidth="1"/>
    <col min="11495" max="11495" width="13.140625" style="564" customWidth="1"/>
    <col min="11496" max="11496" width="12" style="564" customWidth="1"/>
    <col min="11497" max="11497" width="12.140625" style="564" customWidth="1"/>
    <col min="11498" max="11498" width="12.28515625" style="564" customWidth="1"/>
    <col min="11499" max="11499" width="12.140625" style="564" customWidth="1"/>
    <col min="11500" max="11500" width="12.5703125" style="564" customWidth="1"/>
    <col min="11501" max="11717" width="9.140625" style="564"/>
    <col min="11718" max="11718" width="25.42578125" style="564" customWidth="1"/>
    <col min="11719" max="11719" width="56.28515625" style="564" customWidth="1"/>
    <col min="11720" max="11720" width="14" style="564" customWidth="1"/>
    <col min="11721" max="11722" width="14.5703125" style="564" customWidth="1"/>
    <col min="11723" max="11723" width="14.140625" style="564" customWidth="1"/>
    <col min="11724" max="11724" width="15.140625" style="564" customWidth="1"/>
    <col min="11725" max="11725" width="13.85546875" style="564" customWidth="1"/>
    <col min="11726" max="11727" width="14.7109375" style="564" customWidth="1"/>
    <col min="11728" max="11728" width="12.85546875" style="564" customWidth="1"/>
    <col min="11729" max="11729" width="13.5703125" style="564" customWidth="1"/>
    <col min="11730" max="11730" width="12.7109375" style="564" customWidth="1"/>
    <col min="11731" max="11731" width="13.42578125" style="564" customWidth="1"/>
    <col min="11732" max="11732" width="13.140625" style="564" customWidth="1"/>
    <col min="11733" max="11733" width="14.7109375" style="564" customWidth="1"/>
    <col min="11734" max="11734" width="14.5703125" style="564" customWidth="1"/>
    <col min="11735" max="11735" width="13" style="564" customWidth="1"/>
    <col min="11736" max="11736" width="15" style="564" customWidth="1"/>
    <col min="11737" max="11738" width="12.140625" style="564" customWidth="1"/>
    <col min="11739" max="11739" width="12" style="564" customWidth="1"/>
    <col min="11740" max="11740" width="13.5703125" style="564" customWidth="1"/>
    <col min="11741" max="11741" width="14" style="564" customWidth="1"/>
    <col min="11742" max="11742" width="12.28515625" style="564" customWidth="1"/>
    <col min="11743" max="11743" width="14.140625" style="564" customWidth="1"/>
    <col min="11744" max="11744" width="13" style="564" customWidth="1"/>
    <col min="11745" max="11745" width="13.5703125" style="564" customWidth="1"/>
    <col min="11746" max="11746" width="12.42578125" style="564" customWidth="1"/>
    <col min="11747" max="11747" width="12.5703125" style="564" customWidth="1"/>
    <col min="11748" max="11748" width="11.7109375" style="564" customWidth="1"/>
    <col min="11749" max="11749" width="13.7109375" style="564" customWidth="1"/>
    <col min="11750" max="11750" width="13.28515625" style="564" customWidth="1"/>
    <col min="11751" max="11751" width="13.140625" style="564" customWidth="1"/>
    <col min="11752" max="11752" width="12" style="564" customWidth="1"/>
    <col min="11753" max="11753" width="12.140625" style="564" customWidth="1"/>
    <col min="11754" max="11754" width="12.28515625" style="564" customWidth="1"/>
    <col min="11755" max="11755" width="12.140625" style="564" customWidth="1"/>
    <col min="11756" max="11756" width="12.5703125" style="564" customWidth="1"/>
    <col min="11757" max="11973" width="9.140625" style="564"/>
    <col min="11974" max="11974" width="25.42578125" style="564" customWidth="1"/>
    <col min="11975" max="11975" width="56.28515625" style="564" customWidth="1"/>
    <col min="11976" max="11976" width="14" style="564" customWidth="1"/>
    <col min="11977" max="11978" width="14.5703125" style="564" customWidth="1"/>
    <col min="11979" max="11979" width="14.140625" style="564" customWidth="1"/>
    <col min="11980" max="11980" width="15.140625" style="564" customWidth="1"/>
    <col min="11981" max="11981" width="13.85546875" style="564" customWidth="1"/>
    <col min="11982" max="11983" width="14.7109375" style="564" customWidth="1"/>
    <col min="11984" max="11984" width="12.85546875" style="564" customWidth="1"/>
    <col min="11985" max="11985" width="13.5703125" style="564" customWidth="1"/>
    <col min="11986" max="11986" width="12.7109375" style="564" customWidth="1"/>
    <col min="11987" max="11987" width="13.42578125" style="564" customWidth="1"/>
    <col min="11988" max="11988" width="13.140625" style="564" customWidth="1"/>
    <col min="11989" max="11989" width="14.7109375" style="564" customWidth="1"/>
    <col min="11990" max="11990" width="14.5703125" style="564" customWidth="1"/>
    <col min="11991" max="11991" width="13" style="564" customWidth="1"/>
    <col min="11992" max="11992" width="15" style="564" customWidth="1"/>
    <col min="11993" max="11994" width="12.140625" style="564" customWidth="1"/>
    <col min="11995" max="11995" width="12" style="564" customWidth="1"/>
    <col min="11996" max="11996" width="13.5703125" style="564" customWidth="1"/>
    <col min="11997" max="11997" width="14" style="564" customWidth="1"/>
    <col min="11998" max="11998" width="12.28515625" style="564" customWidth="1"/>
    <col min="11999" max="11999" width="14.140625" style="564" customWidth="1"/>
    <col min="12000" max="12000" width="13" style="564" customWidth="1"/>
    <col min="12001" max="12001" width="13.5703125" style="564" customWidth="1"/>
    <col min="12002" max="12002" width="12.42578125" style="564" customWidth="1"/>
    <col min="12003" max="12003" width="12.5703125" style="564" customWidth="1"/>
    <col min="12004" max="12004" width="11.7109375" style="564" customWidth="1"/>
    <col min="12005" max="12005" width="13.7109375" style="564" customWidth="1"/>
    <col min="12006" max="12006" width="13.28515625" style="564" customWidth="1"/>
    <col min="12007" max="12007" width="13.140625" style="564" customWidth="1"/>
    <col min="12008" max="12008" width="12" style="564" customWidth="1"/>
    <col min="12009" max="12009" width="12.140625" style="564" customWidth="1"/>
    <col min="12010" max="12010" width="12.28515625" style="564" customWidth="1"/>
    <col min="12011" max="12011" width="12.140625" style="564" customWidth="1"/>
    <col min="12012" max="12012" width="12.5703125" style="564" customWidth="1"/>
    <col min="12013" max="12229" width="9.140625" style="564"/>
    <col min="12230" max="12230" width="25.42578125" style="564" customWidth="1"/>
    <col min="12231" max="12231" width="56.28515625" style="564" customWidth="1"/>
    <col min="12232" max="12232" width="14" style="564" customWidth="1"/>
    <col min="12233" max="12234" width="14.5703125" style="564" customWidth="1"/>
    <col min="12235" max="12235" width="14.140625" style="564" customWidth="1"/>
    <col min="12236" max="12236" width="15.140625" style="564" customWidth="1"/>
    <col min="12237" max="12237" width="13.85546875" style="564" customWidth="1"/>
    <col min="12238" max="12239" width="14.7109375" style="564" customWidth="1"/>
    <col min="12240" max="12240" width="12.85546875" style="564" customWidth="1"/>
    <col min="12241" max="12241" width="13.5703125" style="564" customWidth="1"/>
    <col min="12242" max="12242" width="12.7109375" style="564" customWidth="1"/>
    <col min="12243" max="12243" width="13.42578125" style="564" customWidth="1"/>
    <col min="12244" max="12244" width="13.140625" style="564" customWidth="1"/>
    <col min="12245" max="12245" width="14.7109375" style="564" customWidth="1"/>
    <col min="12246" max="12246" width="14.5703125" style="564" customWidth="1"/>
    <col min="12247" max="12247" width="13" style="564" customWidth="1"/>
    <col min="12248" max="12248" width="15" style="564" customWidth="1"/>
    <col min="12249" max="12250" width="12.140625" style="564" customWidth="1"/>
    <col min="12251" max="12251" width="12" style="564" customWidth="1"/>
    <col min="12252" max="12252" width="13.5703125" style="564" customWidth="1"/>
    <col min="12253" max="12253" width="14" style="564" customWidth="1"/>
    <col min="12254" max="12254" width="12.28515625" style="564" customWidth="1"/>
    <col min="12255" max="12255" width="14.140625" style="564" customWidth="1"/>
    <col min="12256" max="12256" width="13" style="564" customWidth="1"/>
    <col min="12257" max="12257" width="13.5703125" style="564" customWidth="1"/>
    <col min="12258" max="12258" width="12.42578125" style="564" customWidth="1"/>
    <col min="12259" max="12259" width="12.5703125" style="564" customWidth="1"/>
    <col min="12260" max="12260" width="11.7109375" style="564" customWidth="1"/>
    <col min="12261" max="12261" width="13.7109375" style="564" customWidth="1"/>
    <col min="12262" max="12262" width="13.28515625" style="564" customWidth="1"/>
    <col min="12263" max="12263" width="13.140625" style="564" customWidth="1"/>
    <col min="12264" max="12264" width="12" style="564" customWidth="1"/>
    <col min="12265" max="12265" width="12.140625" style="564" customWidth="1"/>
    <col min="12266" max="12266" width="12.28515625" style="564" customWidth="1"/>
    <col min="12267" max="12267" width="12.140625" style="564" customWidth="1"/>
    <col min="12268" max="12268" width="12.5703125" style="564" customWidth="1"/>
    <col min="12269" max="12485" width="9.140625" style="564"/>
    <col min="12486" max="12486" width="25.42578125" style="564" customWidth="1"/>
    <col min="12487" max="12487" width="56.28515625" style="564" customWidth="1"/>
    <col min="12488" max="12488" width="14" style="564" customWidth="1"/>
    <col min="12489" max="12490" width="14.5703125" style="564" customWidth="1"/>
    <col min="12491" max="12491" width="14.140625" style="564" customWidth="1"/>
    <col min="12492" max="12492" width="15.140625" style="564" customWidth="1"/>
    <col min="12493" max="12493" width="13.85546875" style="564" customWidth="1"/>
    <col min="12494" max="12495" width="14.7109375" style="564" customWidth="1"/>
    <col min="12496" max="12496" width="12.85546875" style="564" customWidth="1"/>
    <col min="12497" max="12497" width="13.5703125" style="564" customWidth="1"/>
    <col min="12498" max="12498" width="12.7109375" style="564" customWidth="1"/>
    <col min="12499" max="12499" width="13.42578125" style="564" customWidth="1"/>
    <col min="12500" max="12500" width="13.140625" style="564" customWidth="1"/>
    <col min="12501" max="12501" width="14.7109375" style="564" customWidth="1"/>
    <col min="12502" max="12502" width="14.5703125" style="564" customWidth="1"/>
    <col min="12503" max="12503" width="13" style="564" customWidth="1"/>
    <col min="12504" max="12504" width="15" style="564" customWidth="1"/>
    <col min="12505" max="12506" width="12.140625" style="564" customWidth="1"/>
    <col min="12507" max="12507" width="12" style="564" customWidth="1"/>
    <col min="12508" max="12508" width="13.5703125" style="564" customWidth="1"/>
    <col min="12509" max="12509" width="14" style="564" customWidth="1"/>
    <col min="12510" max="12510" width="12.28515625" style="564" customWidth="1"/>
    <col min="12511" max="12511" width="14.140625" style="564" customWidth="1"/>
    <col min="12512" max="12512" width="13" style="564" customWidth="1"/>
    <col min="12513" max="12513" width="13.5703125" style="564" customWidth="1"/>
    <col min="12514" max="12514" width="12.42578125" style="564" customWidth="1"/>
    <col min="12515" max="12515" width="12.5703125" style="564" customWidth="1"/>
    <col min="12516" max="12516" width="11.7109375" style="564" customWidth="1"/>
    <col min="12517" max="12517" width="13.7109375" style="564" customWidth="1"/>
    <col min="12518" max="12518" width="13.28515625" style="564" customWidth="1"/>
    <col min="12519" max="12519" width="13.140625" style="564" customWidth="1"/>
    <col min="12520" max="12520" width="12" style="564" customWidth="1"/>
    <col min="12521" max="12521" width="12.140625" style="564" customWidth="1"/>
    <col min="12522" max="12522" width="12.28515625" style="564" customWidth="1"/>
    <col min="12523" max="12523" width="12.140625" style="564" customWidth="1"/>
    <col min="12524" max="12524" width="12.5703125" style="564" customWidth="1"/>
    <col min="12525" max="12741" width="9.140625" style="564"/>
    <col min="12742" max="12742" width="25.42578125" style="564" customWidth="1"/>
    <col min="12743" max="12743" width="56.28515625" style="564" customWidth="1"/>
    <col min="12744" max="12744" width="14" style="564" customWidth="1"/>
    <col min="12745" max="12746" width="14.5703125" style="564" customWidth="1"/>
    <col min="12747" max="12747" width="14.140625" style="564" customWidth="1"/>
    <col min="12748" max="12748" width="15.140625" style="564" customWidth="1"/>
    <col min="12749" max="12749" width="13.85546875" style="564" customWidth="1"/>
    <col min="12750" max="12751" width="14.7109375" style="564" customWidth="1"/>
    <col min="12752" max="12752" width="12.85546875" style="564" customWidth="1"/>
    <col min="12753" max="12753" width="13.5703125" style="564" customWidth="1"/>
    <col min="12754" max="12754" width="12.7109375" style="564" customWidth="1"/>
    <col min="12755" max="12755" width="13.42578125" style="564" customWidth="1"/>
    <col min="12756" max="12756" width="13.140625" style="564" customWidth="1"/>
    <col min="12757" max="12757" width="14.7109375" style="564" customWidth="1"/>
    <col min="12758" max="12758" width="14.5703125" style="564" customWidth="1"/>
    <col min="12759" max="12759" width="13" style="564" customWidth="1"/>
    <col min="12760" max="12760" width="15" style="564" customWidth="1"/>
    <col min="12761" max="12762" width="12.140625" style="564" customWidth="1"/>
    <col min="12763" max="12763" width="12" style="564" customWidth="1"/>
    <col min="12764" max="12764" width="13.5703125" style="564" customWidth="1"/>
    <col min="12765" max="12765" width="14" style="564" customWidth="1"/>
    <col min="12766" max="12766" width="12.28515625" style="564" customWidth="1"/>
    <col min="12767" max="12767" width="14.140625" style="564" customWidth="1"/>
    <col min="12768" max="12768" width="13" style="564" customWidth="1"/>
    <col min="12769" max="12769" width="13.5703125" style="564" customWidth="1"/>
    <col min="12770" max="12770" width="12.42578125" style="564" customWidth="1"/>
    <col min="12771" max="12771" width="12.5703125" style="564" customWidth="1"/>
    <col min="12772" max="12772" width="11.7109375" style="564" customWidth="1"/>
    <col min="12773" max="12773" width="13.7109375" style="564" customWidth="1"/>
    <col min="12774" max="12774" width="13.28515625" style="564" customWidth="1"/>
    <col min="12775" max="12775" width="13.140625" style="564" customWidth="1"/>
    <col min="12776" max="12776" width="12" style="564" customWidth="1"/>
    <col min="12777" max="12777" width="12.140625" style="564" customWidth="1"/>
    <col min="12778" max="12778" width="12.28515625" style="564" customWidth="1"/>
    <col min="12779" max="12779" width="12.140625" style="564" customWidth="1"/>
    <col min="12780" max="12780" width="12.5703125" style="564" customWidth="1"/>
    <col min="12781" max="12997" width="9.140625" style="564"/>
    <col min="12998" max="12998" width="25.42578125" style="564" customWidth="1"/>
    <col min="12999" max="12999" width="56.28515625" style="564" customWidth="1"/>
    <col min="13000" max="13000" width="14" style="564" customWidth="1"/>
    <col min="13001" max="13002" width="14.5703125" style="564" customWidth="1"/>
    <col min="13003" max="13003" width="14.140625" style="564" customWidth="1"/>
    <col min="13004" max="13004" width="15.140625" style="564" customWidth="1"/>
    <col min="13005" max="13005" width="13.85546875" style="564" customWidth="1"/>
    <col min="13006" max="13007" width="14.7109375" style="564" customWidth="1"/>
    <col min="13008" max="13008" width="12.85546875" style="564" customWidth="1"/>
    <col min="13009" max="13009" width="13.5703125" style="564" customWidth="1"/>
    <col min="13010" max="13010" width="12.7109375" style="564" customWidth="1"/>
    <col min="13011" max="13011" width="13.42578125" style="564" customWidth="1"/>
    <col min="13012" max="13012" width="13.140625" style="564" customWidth="1"/>
    <col min="13013" max="13013" width="14.7109375" style="564" customWidth="1"/>
    <col min="13014" max="13014" width="14.5703125" style="564" customWidth="1"/>
    <col min="13015" max="13015" width="13" style="564" customWidth="1"/>
    <col min="13016" max="13016" width="15" style="564" customWidth="1"/>
    <col min="13017" max="13018" width="12.140625" style="564" customWidth="1"/>
    <col min="13019" max="13019" width="12" style="564" customWidth="1"/>
    <col min="13020" max="13020" width="13.5703125" style="564" customWidth="1"/>
    <col min="13021" max="13021" width="14" style="564" customWidth="1"/>
    <col min="13022" max="13022" width="12.28515625" style="564" customWidth="1"/>
    <col min="13023" max="13023" width="14.140625" style="564" customWidth="1"/>
    <col min="13024" max="13024" width="13" style="564" customWidth="1"/>
    <col min="13025" max="13025" width="13.5703125" style="564" customWidth="1"/>
    <col min="13026" max="13026" width="12.42578125" style="564" customWidth="1"/>
    <col min="13027" max="13027" width="12.5703125" style="564" customWidth="1"/>
    <col min="13028" max="13028" width="11.7109375" style="564" customWidth="1"/>
    <col min="13029" max="13029" width="13.7109375" style="564" customWidth="1"/>
    <col min="13030" max="13030" width="13.28515625" style="564" customWidth="1"/>
    <col min="13031" max="13031" width="13.140625" style="564" customWidth="1"/>
    <col min="13032" max="13032" width="12" style="564" customWidth="1"/>
    <col min="13033" max="13033" width="12.140625" style="564" customWidth="1"/>
    <col min="13034" max="13034" width="12.28515625" style="564" customWidth="1"/>
    <col min="13035" max="13035" width="12.140625" style="564" customWidth="1"/>
    <col min="13036" max="13036" width="12.5703125" style="564" customWidth="1"/>
    <col min="13037" max="13253" width="9.140625" style="564"/>
    <col min="13254" max="13254" width="25.42578125" style="564" customWidth="1"/>
    <col min="13255" max="13255" width="56.28515625" style="564" customWidth="1"/>
    <col min="13256" max="13256" width="14" style="564" customWidth="1"/>
    <col min="13257" max="13258" width="14.5703125" style="564" customWidth="1"/>
    <col min="13259" max="13259" width="14.140625" style="564" customWidth="1"/>
    <col min="13260" max="13260" width="15.140625" style="564" customWidth="1"/>
    <col min="13261" max="13261" width="13.85546875" style="564" customWidth="1"/>
    <col min="13262" max="13263" width="14.7109375" style="564" customWidth="1"/>
    <col min="13264" max="13264" width="12.85546875" style="564" customWidth="1"/>
    <col min="13265" max="13265" width="13.5703125" style="564" customWidth="1"/>
    <col min="13266" max="13266" width="12.7109375" style="564" customWidth="1"/>
    <col min="13267" max="13267" width="13.42578125" style="564" customWidth="1"/>
    <col min="13268" max="13268" width="13.140625" style="564" customWidth="1"/>
    <col min="13269" max="13269" width="14.7109375" style="564" customWidth="1"/>
    <col min="13270" max="13270" width="14.5703125" style="564" customWidth="1"/>
    <col min="13271" max="13271" width="13" style="564" customWidth="1"/>
    <col min="13272" max="13272" width="15" style="564" customWidth="1"/>
    <col min="13273" max="13274" width="12.140625" style="564" customWidth="1"/>
    <col min="13275" max="13275" width="12" style="564" customWidth="1"/>
    <col min="13276" max="13276" width="13.5703125" style="564" customWidth="1"/>
    <col min="13277" max="13277" width="14" style="564" customWidth="1"/>
    <col min="13278" max="13278" width="12.28515625" style="564" customWidth="1"/>
    <col min="13279" max="13279" width="14.140625" style="564" customWidth="1"/>
    <col min="13280" max="13280" width="13" style="564" customWidth="1"/>
    <col min="13281" max="13281" width="13.5703125" style="564" customWidth="1"/>
    <col min="13282" max="13282" width="12.42578125" style="564" customWidth="1"/>
    <col min="13283" max="13283" width="12.5703125" style="564" customWidth="1"/>
    <col min="13284" max="13284" width="11.7109375" style="564" customWidth="1"/>
    <col min="13285" max="13285" width="13.7109375" style="564" customWidth="1"/>
    <col min="13286" max="13286" width="13.28515625" style="564" customWidth="1"/>
    <col min="13287" max="13287" width="13.140625" style="564" customWidth="1"/>
    <col min="13288" max="13288" width="12" style="564" customWidth="1"/>
    <col min="13289" max="13289" width="12.140625" style="564" customWidth="1"/>
    <col min="13290" max="13290" width="12.28515625" style="564" customWidth="1"/>
    <col min="13291" max="13291" width="12.140625" style="564" customWidth="1"/>
    <col min="13292" max="13292" width="12.5703125" style="564" customWidth="1"/>
    <col min="13293" max="13509" width="9.140625" style="564"/>
    <col min="13510" max="13510" width="25.42578125" style="564" customWidth="1"/>
    <col min="13511" max="13511" width="56.28515625" style="564" customWidth="1"/>
    <col min="13512" max="13512" width="14" style="564" customWidth="1"/>
    <col min="13513" max="13514" width="14.5703125" style="564" customWidth="1"/>
    <col min="13515" max="13515" width="14.140625" style="564" customWidth="1"/>
    <col min="13516" max="13516" width="15.140625" style="564" customWidth="1"/>
    <col min="13517" max="13517" width="13.85546875" style="564" customWidth="1"/>
    <col min="13518" max="13519" width="14.7109375" style="564" customWidth="1"/>
    <col min="13520" max="13520" width="12.85546875" style="564" customWidth="1"/>
    <col min="13521" max="13521" width="13.5703125" style="564" customWidth="1"/>
    <col min="13522" max="13522" width="12.7109375" style="564" customWidth="1"/>
    <col min="13523" max="13523" width="13.42578125" style="564" customWidth="1"/>
    <col min="13524" max="13524" width="13.140625" style="564" customWidth="1"/>
    <col min="13525" max="13525" width="14.7109375" style="564" customWidth="1"/>
    <col min="13526" max="13526" width="14.5703125" style="564" customWidth="1"/>
    <col min="13527" max="13527" width="13" style="564" customWidth="1"/>
    <col min="13528" max="13528" width="15" style="564" customWidth="1"/>
    <col min="13529" max="13530" width="12.140625" style="564" customWidth="1"/>
    <col min="13531" max="13531" width="12" style="564" customWidth="1"/>
    <col min="13532" max="13532" width="13.5703125" style="564" customWidth="1"/>
    <col min="13533" max="13533" width="14" style="564" customWidth="1"/>
    <col min="13534" max="13534" width="12.28515625" style="564" customWidth="1"/>
    <col min="13535" max="13535" width="14.140625" style="564" customWidth="1"/>
    <col min="13536" max="13536" width="13" style="564" customWidth="1"/>
    <col min="13537" max="13537" width="13.5703125" style="564" customWidth="1"/>
    <col min="13538" max="13538" width="12.42578125" style="564" customWidth="1"/>
    <col min="13539" max="13539" width="12.5703125" style="564" customWidth="1"/>
    <col min="13540" max="13540" width="11.7109375" style="564" customWidth="1"/>
    <col min="13541" max="13541" width="13.7109375" style="564" customWidth="1"/>
    <col min="13542" max="13542" width="13.28515625" style="564" customWidth="1"/>
    <col min="13543" max="13543" width="13.140625" style="564" customWidth="1"/>
    <col min="13544" max="13544" width="12" style="564" customWidth="1"/>
    <col min="13545" max="13545" width="12.140625" style="564" customWidth="1"/>
    <col min="13546" max="13546" width="12.28515625" style="564" customWidth="1"/>
    <col min="13547" max="13547" width="12.140625" style="564" customWidth="1"/>
    <col min="13548" max="13548" width="12.5703125" style="564" customWidth="1"/>
    <col min="13549" max="13765" width="9.140625" style="564"/>
    <col min="13766" max="13766" width="25.42578125" style="564" customWidth="1"/>
    <col min="13767" max="13767" width="56.28515625" style="564" customWidth="1"/>
    <col min="13768" max="13768" width="14" style="564" customWidth="1"/>
    <col min="13769" max="13770" width="14.5703125" style="564" customWidth="1"/>
    <col min="13771" max="13771" width="14.140625" style="564" customWidth="1"/>
    <col min="13772" max="13772" width="15.140625" style="564" customWidth="1"/>
    <col min="13773" max="13773" width="13.85546875" style="564" customWidth="1"/>
    <col min="13774" max="13775" width="14.7109375" style="564" customWidth="1"/>
    <col min="13776" max="13776" width="12.85546875" style="564" customWidth="1"/>
    <col min="13777" max="13777" width="13.5703125" style="564" customWidth="1"/>
    <col min="13778" max="13778" width="12.7109375" style="564" customWidth="1"/>
    <col min="13779" max="13779" width="13.42578125" style="564" customWidth="1"/>
    <col min="13780" max="13780" width="13.140625" style="564" customWidth="1"/>
    <col min="13781" max="13781" width="14.7109375" style="564" customWidth="1"/>
    <col min="13782" max="13782" width="14.5703125" style="564" customWidth="1"/>
    <col min="13783" max="13783" width="13" style="564" customWidth="1"/>
    <col min="13784" max="13784" width="15" style="564" customWidth="1"/>
    <col min="13785" max="13786" width="12.140625" style="564" customWidth="1"/>
    <col min="13787" max="13787" width="12" style="564" customWidth="1"/>
    <col min="13788" max="13788" width="13.5703125" style="564" customWidth="1"/>
    <col min="13789" max="13789" width="14" style="564" customWidth="1"/>
    <col min="13790" max="13790" width="12.28515625" style="564" customWidth="1"/>
    <col min="13791" max="13791" width="14.140625" style="564" customWidth="1"/>
    <col min="13792" max="13792" width="13" style="564" customWidth="1"/>
    <col min="13793" max="13793" width="13.5703125" style="564" customWidth="1"/>
    <col min="13794" max="13794" width="12.42578125" style="564" customWidth="1"/>
    <col min="13795" max="13795" width="12.5703125" style="564" customWidth="1"/>
    <col min="13796" max="13796" width="11.7109375" style="564" customWidth="1"/>
    <col min="13797" max="13797" width="13.7109375" style="564" customWidth="1"/>
    <col min="13798" max="13798" width="13.28515625" style="564" customWidth="1"/>
    <col min="13799" max="13799" width="13.140625" style="564" customWidth="1"/>
    <col min="13800" max="13800" width="12" style="564" customWidth="1"/>
    <col min="13801" max="13801" width="12.140625" style="564" customWidth="1"/>
    <col min="13802" max="13802" width="12.28515625" style="564" customWidth="1"/>
    <col min="13803" max="13803" width="12.140625" style="564" customWidth="1"/>
    <col min="13804" max="13804" width="12.5703125" style="564" customWidth="1"/>
    <col min="13805" max="14021" width="9.140625" style="564"/>
    <col min="14022" max="14022" width="25.42578125" style="564" customWidth="1"/>
    <col min="14023" max="14023" width="56.28515625" style="564" customWidth="1"/>
    <col min="14024" max="14024" width="14" style="564" customWidth="1"/>
    <col min="14025" max="14026" width="14.5703125" style="564" customWidth="1"/>
    <col min="14027" max="14027" width="14.140625" style="564" customWidth="1"/>
    <col min="14028" max="14028" width="15.140625" style="564" customWidth="1"/>
    <col min="14029" max="14029" width="13.85546875" style="564" customWidth="1"/>
    <col min="14030" max="14031" width="14.7109375" style="564" customWidth="1"/>
    <col min="14032" max="14032" width="12.85546875" style="564" customWidth="1"/>
    <col min="14033" max="14033" width="13.5703125" style="564" customWidth="1"/>
    <col min="14034" max="14034" width="12.7109375" style="564" customWidth="1"/>
    <col min="14035" max="14035" width="13.42578125" style="564" customWidth="1"/>
    <col min="14036" max="14036" width="13.140625" style="564" customWidth="1"/>
    <col min="14037" max="14037" width="14.7109375" style="564" customWidth="1"/>
    <col min="14038" max="14038" width="14.5703125" style="564" customWidth="1"/>
    <col min="14039" max="14039" width="13" style="564" customWidth="1"/>
    <col min="14040" max="14040" width="15" style="564" customWidth="1"/>
    <col min="14041" max="14042" width="12.140625" style="564" customWidth="1"/>
    <col min="14043" max="14043" width="12" style="564" customWidth="1"/>
    <col min="14044" max="14044" width="13.5703125" style="564" customWidth="1"/>
    <col min="14045" max="14045" width="14" style="564" customWidth="1"/>
    <col min="14046" max="14046" width="12.28515625" style="564" customWidth="1"/>
    <col min="14047" max="14047" width="14.140625" style="564" customWidth="1"/>
    <col min="14048" max="14048" width="13" style="564" customWidth="1"/>
    <col min="14049" max="14049" width="13.5703125" style="564" customWidth="1"/>
    <col min="14050" max="14050" width="12.42578125" style="564" customWidth="1"/>
    <col min="14051" max="14051" width="12.5703125" style="564" customWidth="1"/>
    <col min="14052" max="14052" width="11.7109375" style="564" customWidth="1"/>
    <col min="14053" max="14053" width="13.7109375" style="564" customWidth="1"/>
    <col min="14054" max="14054" width="13.28515625" style="564" customWidth="1"/>
    <col min="14055" max="14055" width="13.140625" style="564" customWidth="1"/>
    <col min="14056" max="14056" width="12" style="564" customWidth="1"/>
    <col min="14057" max="14057" width="12.140625" style="564" customWidth="1"/>
    <col min="14058" max="14058" width="12.28515625" style="564" customWidth="1"/>
    <col min="14059" max="14059" width="12.140625" style="564" customWidth="1"/>
    <col min="14060" max="14060" width="12.5703125" style="564" customWidth="1"/>
    <col min="14061" max="14277" width="9.140625" style="564"/>
    <col min="14278" max="14278" width="25.42578125" style="564" customWidth="1"/>
    <col min="14279" max="14279" width="56.28515625" style="564" customWidth="1"/>
    <col min="14280" max="14280" width="14" style="564" customWidth="1"/>
    <col min="14281" max="14282" width="14.5703125" style="564" customWidth="1"/>
    <col min="14283" max="14283" width="14.140625" style="564" customWidth="1"/>
    <col min="14284" max="14284" width="15.140625" style="564" customWidth="1"/>
    <col min="14285" max="14285" width="13.85546875" style="564" customWidth="1"/>
    <col min="14286" max="14287" width="14.7109375" style="564" customWidth="1"/>
    <col min="14288" max="14288" width="12.85546875" style="564" customWidth="1"/>
    <col min="14289" max="14289" width="13.5703125" style="564" customWidth="1"/>
    <col min="14290" max="14290" width="12.7109375" style="564" customWidth="1"/>
    <col min="14291" max="14291" width="13.42578125" style="564" customWidth="1"/>
    <col min="14292" max="14292" width="13.140625" style="564" customWidth="1"/>
    <col min="14293" max="14293" width="14.7109375" style="564" customWidth="1"/>
    <col min="14294" max="14294" width="14.5703125" style="564" customWidth="1"/>
    <col min="14295" max="14295" width="13" style="564" customWidth="1"/>
    <col min="14296" max="14296" width="15" style="564" customWidth="1"/>
    <col min="14297" max="14298" width="12.140625" style="564" customWidth="1"/>
    <col min="14299" max="14299" width="12" style="564" customWidth="1"/>
    <col min="14300" max="14300" width="13.5703125" style="564" customWidth="1"/>
    <col min="14301" max="14301" width="14" style="564" customWidth="1"/>
    <col min="14302" max="14302" width="12.28515625" style="564" customWidth="1"/>
    <col min="14303" max="14303" width="14.140625" style="564" customWidth="1"/>
    <col min="14304" max="14304" width="13" style="564" customWidth="1"/>
    <col min="14305" max="14305" width="13.5703125" style="564" customWidth="1"/>
    <col min="14306" max="14306" width="12.42578125" style="564" customWidth="1"/>
    <col min="14307" max="14307" width="12.5703125" style="564" customWidth="1"/>
    <col min="14308" max="14308" width="11.7109375" style="564" customWidth="1"/>
    <col min="14309" max="14309" width="13.7109375" style="564" customWidth="1"/>
    <col min="14310" max="14310" width="13.28515625" style="564" customWidth="1"/>
    <col min="14311" max="14311" width="13.140625" style="564" customWidth="1"/>
    <col min="14312" max="14312" width="12" style="564" customWidth="1"/>
    <col min="14313" max="14313" width="12.140625" style="564" customWidth="1"/>
    <col min="14314" max="14314" width="12.28515625" style="564" customWidth="1"/>
    <col min="14315" max="14315" width="12.140625" style="564" customWidth="1"/>
    <col min="14316" max="14316" width="12.5703125" style="564" customWidth="1"/>
    <col min="14317" max="14533" width="9.140625" style="564"/>
    <col min="14534" max="14534" width="25.42578125" style="564" customWidth="1"/>
    <col min="14535" max="14535" width="56.28515625" style="564" customWidth="1"/>
    <col min="14536" max="14536" width="14" style="564" customWidth="1"/>
    <col min="14537" max="14538" width="14.5703125" style="564" customWidth="1"/>
    <col min="14539" max="14539" width="14.140625" style="564" customWidth="1"/>
    <col min="14540" max="14540" width="15.140625" style="564" customWidth="1"/>
    <col min="14541" max="14541" width="13.85546875" style="564" customWidth="1"/>
    <col min="14542" max="14543" width="14.7109375" style="564" customWidth="1"/>
    <col min="14544" max="14544" width="12.85546875" style="564" customWidth="1"/>
    <col min="14545" max="14545" width="13.5703125" style="564" customWidth="1"/>
    <col min="14546" max="14546" width="12.7109375" style="564" customWidth="1"/>
    <col min="14547" max="14547" width="13.42578125" style="564" customWidth="1"/>
    <col min="14548" max="14548" width="13.140625" style="564" customWidth="1"/>
    <col min="14549" max="14549" width="14.7109375" style="564" customWidth="1"/>
    <col min="14550" max="14550" width="14.5703125" style="564" customWidth="1"/>
    <col min="14551" max="14551" width="13" style="564" customWidth="1"/>
    <col min="14552" max="14552" width="15" style="564" customWidth="1"/>
    <col min="14553" max="14554" width="12.140625" style="564" customWidth="1"/>
    <col min="14555" max="14555" width="12" style="564" customWidth="1"/>
    <col min="14556" max="14556" width="13.5703125" style="564" customWidth="1"/>
    <col min="14557" max="14557" width="14" style="564" customWidth="1"/>
    <col min="14558" max="14558" width="12.28515625" style="564" customWidth="1"/>
    <col min="14559" max="14559" width="14.140625" style="564" customWidth="1"/>
    <col min="14560" max="14560" width="13" style="564" customWidth="1"/>
    <col min="14561" max="14561" width="13.5703125" style="564" customWidth="1"/>
    <col min="14562" max="14562" width="12.42578125" style="564" customWidth="1"/>
    <col min="14563" max="14563" width="12.5703125" style="564" customWidth="1"/>
    <col min="14564" max="14564" width="11.7109375" style="564" customWidth="1"/>
    <col min="14565" max="14565" width="13.7109375" style="564" customWidth="1"/>
    <col min="14566" max="14566" width="13.28515625" style="564" customWidth="1"/>
    <col min="14567" max="14567" width="13.140625" style="564" customWidth="1"/>
    <col min="14568" max="14568" width="12" style="564" customWidth="1"/>
    <col min="14569" max="14569" width="12.140625" style="564" customWidth="1"/>
    <col min="14570" max="14570" width="12.28515625" style="564" customWidth="1"/>
    <col min="14571" max="14571" width="12.140625" style="564" customWidth="1"/>
    <col min="14572" max="14572" width="12.5703125" style="564" customWidth="1"/>
    <col min="14573" max="14789" width="9.140625" style="564"/>
    <col min="14790" max="14790" width="25.42578125" style="564" customWidth="1"/>
    <col min="14791" max="14791" width="56.28515625" style="564" customWidth="1"/>
    <col min="14792" max="14792" width="14" style="564" customWidth="1"/>
    <col min="14793" max="14794" width="14.5703125" style="564" customWidth="1"/>
    <col min="14795" max="14795" width="14.140625" style="564" customWidth="1"/>
    <col min="14796" max="14796" width="15.140625" style="564" customWidth="1"/>
    <col min="14797" max="14797" width="13.85546875" style="564" customWidth="1"/>
    <col min="14798" max="14799" width="14.7109375" style="564" customWidth="1"/>
    <col min="14800" max="14800" width="12.85546875" style="564" customWidth="1"/>
    <col min="14801" max="14801" width="13.5703125" style="564" customWidth="1"/>
    <col min="14802" max="14802" width="12.7109375" style="564" customWidth="1"/>
    <col min="14803" max="14803" width="13.42578125" style="564" customWidth="1"/>
    <col min="14804" max="14804" width="13.140625" style="564" customWidth="1"/>
    <col min="14805" max="14805" width="14.7109375" style="564" customWidth="1"/>
    <col min="14806" max="14806" width="14.5703125" style="564" customWidth="1"/>
    <col min="14807" max="14807" width="13" style="564" customWidth="1"/>
    <col min="14808" max="14808" width="15" style="564" customWidth="1"/>
    <col min="14809" max="14810" width="12.140625" style="564" customWidth="1"/>
    <col min="14811" max="14811" width="12" style="564" customWidth="1"/>
    <col min="14812" max="14812" width="13.5703125" style="564" customWidth="1"/>
    <col min="14813" max="14813" width="14" style="564" customWidth="1"/>
    <col min="14814" max="14814" width="12.28515625" style="564" customWidth="1"/>
    <col min="14815" max="14815" width="14.140625" style="564" customWidth="1"/>
    <col min="14816" max="14816" width="13" style="564" customWidth="1"/>
    <col min="14817" max="14817" width="13.5703125" style="564" customWidth="1"/>
    <col min="14818" max="14818" width="12.42578125" style="564" customWidth="1"/>
    <col min="14819" max="14819" width="12.5703125" style="564" customWidth="1"/>
    <col min="14820" max="14820" width="11.7109375" style="564" customWidth="1"/>
    <col min="14821" max="14821" width="13.7109375" style="564" customWidth="1"/>
    <col min="14822" max="14822" width="13.28515625" style="564" customWidth="1"/>
    <col min="14823" max="14823" width="13.140625" style="564" customWidth="1"/>
    <col min="14824" max="14824" width="12" style="564" customWidth="1"/>
    <col min="14825" max="14825" width="12.140625" style="564" customWidth="1"/>
    <col min="14826" max="14826" width="12.28515625" style="564" customWidth="1"/>
    <col min="14827" max="14827" width="12.140625" style="564" customWidth="1"/>
    <col min="14828" max="14828" width="12.5703125" style="564" customWidth="1"/>
    <col min="14829" max="15045" width="9.140625" style="564"/>
    <col min="15046" max="15046" width="25.42578125" style="564" customWidth="1"/>
    <col min="15047" max="15047" width="56.28515625" style="564" customWidth="1"/>
    <col min="15048" max="15048" width="14" style="564" customWidth="1"/>
    <col min="15049" max="15050" width="14.5703125" style="564" customWidth="1"/>
    <col min="15051" max="15051" width="14.140625" style="564" customWidth="1"/>
    <col min="15052" max="15052" width="15.140625" style="564" customWidth="1"/>
    <col min="15053" max="15053" width="13.85546875" style="564" customWidth="1"/>
    <col min="15054" max="15055" width="14.7109375" style="564" customWidth="1"/>
    <col min="15056" max="15056" width="12.85546875" style="564" customWidth="1"/>
    <col min="15057" max="15057" width="13.5703125" style="564" customWidth="1"/>
    <col min="15058" max="15058" width="12.7109375" style="564" customWidth="1"/>
    <col min="15059" max="15059" width="13.42578125" style="564" customWidth="1"/>
    <col min="15060" max="15060" width="13.140625" style="564" customWidth="1"/>
    <col min="15061" max="15061" width="14.7109375" style="564" customWidth="1"/>
    <col min="15062" max="15062" width="14.5703125" style="564" customWidth="1"/>
    <col min="15063" max="15063" width="13" style="564" customWidth="1"/>
    <col min="15064" max="15064" width="15" style="564" customWidth="1"/>
    <col min="15065" max="15066" width="12.140625" style="564" customWidth="1"/>
    <col min="15067" max="15067" width="12" style="564" customWidth="1"/>
    <col min="15068" max="15068" width="13.5703125" style="564" customWidth="1"/>
    <col min="15069" max="15069" width="14" style="564" customWidth="1"/>
    <col min="15070" max="15070" width="12.28515625" style="564" customWidth="1"/>
    <col min="15071" max="15071" width="14.140625" style="564" customWidth="1"/>
    <col min="15072" max="15072" width="13" style="564" customWidth="1"/>
    <col min="15073" max="15073" width="13.5703125" style="564" customWidth="1"/>
    <col min="15074" max="15074" width="12.42578125" style="564" customWidth="1"/>
    <col min="15075" max="15075" width="12.5703125" style="564" customWidth="1"/>
    <col min="15076" max="15076" width="11.7109375" style="564" customWidth="1"/>
    <col min="15077" max="15077" width="13.7109375" style="564" customWidth="1"/>
    <col min="15078" max="15078" width="13.28515625" style="564" customWidth="1"/>
    <col min="15079" max="15079" width="13.140625" style="564" customWidth="1"/>
    <col min="15080" max="15080" width="12" style="564" customWidth="1"/>
    <col min="15081" max="15081" width="12.140625" style="564" customWidth="1"/>
    <col min="15082" max="15082" width="12.28515625" style="564" customWidth="1"/>
    <col min="15083" max="15083" width="12.140625" style="564" customWidth="1"/>
    <col min="15084" max="15084" width="12.5703125" style="564" customWidth="1"/>
    <col min="15085" max="15301" width="9.140625" style="564"/>
    <col min="15302" max="15302" width="25.42578125" style="564" customWidth="1"/>
    <col min="15303" max="15303" width="56.28515625" style="564" customWidth="1"/>
    <col min="15304" max="15304" width="14" style="564" customWidth="1"/>
    <col min="15305" max="15306" width="14.5703125" style="564" customWidth="1"/>
    <col min="15307" max="15307" width="14.140625" style="564" customWidth="1"/>
    <col min="15308" max="15308" width="15.140625" style="564" customWidth="1"/>
    <col min="15309" max="15309" width="13.85546875" style="564" customWidth="1"/>
    <col min="15310" max="15311" width="14.7109375" style="564" customWidth="1"/>
    <col min="15312" max="15312" width="12.85546875" style="564" customWidth="1"/>
    <col min="15313" max="15313" width="13.5703125" style="564" customWidth="1"/>
    <col min="15314" max="15314" width="12.7109375" style="564" customWidth="1"/>
    <col min="15315" max="15315" width="13.42578125" style="564" customWidth="1"/>
    <col min="15316" max="15316" width="13.140625" style="564" customWidth="1"/>
    <col min="15317" max="15317" width="14.7109375" style="564" customWidth="1"/>
    <col min="15318" max="15318" width="14.5703125" style="564" customWidth="1"/>
    <col min="15319" max="15319" width="13" style="564" customWidth="1"/>
    <col min="15320" max="15320" width="15" style="564" customWidth="1"/>
    <col min="15321" max="15322" width="12.140625" style="564" customWidth="1"/>
    <col min="15323" max="15323" width="12" style="564" customWidth="1"/>
    <col min="15324" max="15324" width="13.5703125" style="564" customWidth="1"/>
    <col min="15325" max="15325" width="14" style="564" customWidth="1"/>
    <col min="15326" max="15326" width="12.28515625" style="564" customWidth="1"/>
    <col min="15327" max="15327" width="14.140625" style="564" customWidth="1"/>
    <col min="15328" max="15328" width="13" style="564" customWidth="1"/>
    <col min="15329" max="15329" width="13.5703125" style="564" customWidth="1"/>
    <col min="15330" max="15330" width="12.42578125" style="564" customWidth="1"/>
    <col min="15331" max="15331" width="12.5703125" style="564" customWidth="1"/>
    <col min="15332" max="15332" width="11.7109375" style="564" customWidth="1"/>
    <col min="15333" max="15333" width="13.7109375" style="564" customWidth="1"/>
    <col min="15334" max="15334" width="13.28515625" style="564" customWidth="1"/>
    <col min="15335" max="15335" width="13.140625" style="564" customWidth="1"/>
    <col min="15336" max="15336" width="12" style="564" customWidth="1"/>
    <col min="15337" max="15337" width="12.140625" style="564" customWidth="1"/>
    <col min="15338" max="15338" width="12.28515625" style="564" customWidth="1"/>
    <col min="15339" max="15339" width="12.140625" style="564" customWidth="1"/>
    <col min="15340" max="15340" width="12.5703125" style="564" customWidth="1"/>
    <col min="15341" max="15557" width="9.140625" style="564"/>
    <col min="15558" max="15558" width="25.42578125" style="564" customWidth="1"/>
    <col min="15559" max="15559" width="56.28515625" style="564" customWidth="1"/>
    <col min="15560" max="15560" width="14" style="564" customWidth="1"/>
    <col min="15561" max="15562" width="14.5703125" style="564" customWidth="1"/>
    <col min="15563" max="15563" width="14.140625" style="564" customWidth="1"/>
    <col min="15564" max="15564" width="15.140625" style="564" customWidth="1"/>
    <col min="15565" max="15565" width="13.85546875" style="564" customWidth="1"/>
    <col min="15566" max="15567" width="14.7109375" style="564" customWidth="1"/>
    <col min="15568" max="15568" width="12.85546875" style="564" customWidth="1"/>
    <col min="15569" max="15569" width="13.5703125" style="564" customWidth="1"/>
    <col min="15570" max="15570" width="12.7109375" style="564" customWidth="1"/>
    <col min="15571" max="15571" width="13.42578125" style="564" customWidth="1"/>
    <col min="15572" max="15572" width="13.140625" style="564" customWidth="1"/>
    <col min="15573" max="15573" width="14.7109375" style="564" customWidth="1"/>
    <col min="15574" max="15574" width="14.5703125" style="564" customWidth="1"/>
    <col min="15575" max="15575" width="13" style="564" customWidth="1"/>
    <col min="15576" max="15576" width="15" style="564" customWidth="1"/>
    <col min="15577" max="15578" width="12.140625" style="564" customWidth="1"/>
    <col min="15579" max="15579" width="12" style="564" customWidth="1"/>
    <col min="15580" max="15580" width="13.5703125" style="564" customWidth="1"/>
    <col min="15581" max="15581" width="14" style="564" customWidth="1"/>
    <col min="15582" max="15582" width="12.28515625" style="564" customWidth="1"/>
    <col min="15583" max="15583" width="14.140625" style="564" customWidth="1"/>
    <col min="15584" max="15584" width="13" style="564" customWidth="1"/>
    <col min="15585" max="15585" width="13.5703125" style="564" customWidth="1"/>
    <col min="15586" max="15586" width="12.42578125" style="564" customWidth="1"/>
    <col min="15587" max="15587" width="12.5703125" style="564" customWidth="1"/>
    <col min="15588" max="15588" width="11.7109375" style="564" customWidth="1"/>
    <col min="15589" max="15589" width="13.7109375" style="564" customWidth="1"/>
    <col min="15590" max="15590" width="13.28515625" style="564" customWidth="1"/>
    <col min="15591" max="15591" width="13.140625" style="564" customWidth="1"/>
    <col min="15592" max="15592" width="12" style="564" customWidth="1"/>
    <col min="15593" max="15593" width="12.140625" style="564" customWidth="1"/>
    <col min="15594" max="15594" width="12.28515625" style="564" customWidth="1"/>
    <col min="15595" max="15595" width="12.140625" style="564" customWidth="1"/>
    <col min="15596" max="15596" width="12.5703125" style="564" customWidth="1"/>
    <col min="15597" max="15813" width="9.140625" style="564"/>
    <col min="15814" max="15814" width="25.42578125" style="564" customWidth="1"/>
    <col min="15815" max="15815" width="56.28515625" style="564" customWidth="1"/>
    <col min="15816" max="15816" width="14" style="564" customWidth="1"/>
    <col min="15817" max="15818" width="14.5703125" style="564" customWidth="1"/>
    <col min="15819" max="15819" width="14.140625" style="564" customWidth="1"/>
    <col min="15820" max="15820" width="15.140625" style="564" customWidth="1"/>
    <col min="15821" max="15821" width="13.85546875" style="564" customWidth="1"/>
    <col min="15822" max="15823" width="14.7109375" style="564" customWidth="1"/>
    <col min="15824" max="15824" width="12.85546875" style="564" customWidth="1"/>
    <col min="15825" max="15825" width="13.5703125" style="564" customWidth="1"/>
    <col min="15826" max="15826" width="12.7109375" style="564" customWidth="1"/>
    <col min="15827" max="15827" width="13.42578125" style="564" customWidth="1"/>
    <col min="15828" max="15828" width="13.140625" style="564" customWidth="1"/>
    <col min="15829" max="15829" width="14.7109375" style="564" customWidth="1"/>
    <col min="15830" max="15830" width="14.5703125" style="564" customWidth="1"/>
    <col min="15831" max="15831" width="13" style="564" customWidth="1"/>
    <col min="15832" max="15832" width="15" style="564" customWidth="1"/>
    <col min="15833" max="15834" width="12.140625" style="564" customWidth="1"/>
    <col min="15835" max="15835" width="12" style="564" customWidth="1"/>
    <col min="15836" max="15836" width="13.5703125" style="564" customWidth="1"/>
    <col min="15837" max="15837" width="14" style="564" customWidth="1"/>
    <col min="15838" max="15838" width="12.28515625" style="564" customWidth="1"/>
    <col min="15839" max="15839" width="14.140625" style="564" customWidth="1"/>
    <col min="15840" max="15840" width="13" style="564" customWidth="1"/>
    <col min="15841" max="15841" width="13.5703125" style="564" customWidth="1"/>
    <col min="15842" max="15842" width="12.42578125" style="564" customWidth="1"/>
    <col min="15843" max="15843" width="12.5703125" style="564" customWidth="1"/>
    <col min="15844" max="15844" width="11.7109375" style="564" customWidth="1"/>
    <col min="15845" max="15845" width="13.7109375" style="564" customWidth="1"/>
    <col min="15846" max="15846" width="13.28515625" style="564" customWidth="1"/>
    <col min="15847" max="15847" width="13.140625" style="564" customWidth="1"/>
    <col min="15848" max="15848" width="12" style="564" customWidth="1"/>
    <col min="15849" max="15849" width="12.140625" style="564" customWidth="1"/>
    <col min="15850" max="15850" width="12.28515625" style="564" customWidth="1"/>
    <col min="15851" max="15851" width="12.140625" style="564" customWidth="1"/>
    <col min="15852" max="15852" width="12.5703125" style="564" customWidth="1"/>
    <col min="15853" max="16069" width="9.140625" style="564"/>
    <col min="16070" max="16070" width="25.42578125" style="564" customWidth="1"/>
    <col min="16071" max="16071" width="56.28515625" style="564" customWidth="1"/>
    <col min="16072" max="16072" width="14" style="564" customWidth="1"/>
    <col min="16073" max="16074" width="14.5703125" style="564" customWidth="1"/>
    <col min="16075" max="16075" width="14.140625" style="564" customWidth="1"/>
    <col min="16076" max="16076" width="15.140625" style="564" customWidth="1"/>
    <col min="16077" max="16077" width="13.85546875" style="564" customWidth="1"/>
    <col min="16078" max="16079" width="14.7109375" style="564" customWidth="1"/>
    <col min="16080" max="16080" width="12.85546875" style="564" customWidth="1"/>
    <col min="16081" max="16081" width="13.5703125" style="564" customWidth="1"/>
    <col min="16082" max="16082" width="12.7109375" style="564" customWidth="1"/>
    <col min="16083" max="16083" width="13.42578125" style="564" customWidth="1"/>
    <col min="16084" max="16084" width="13.140625" style="564" customWidth="1"/>
    <col min="16085" max="16085" width="14.7109375" style="564" customWidth="1"/>
    <col min="16086" max="16086" width="14.5703125" style="564" customWidth="1"/>
    <col min="16087" max="16087" width="13" style="564" customWidth="1"/>
    <col min="16088" max="16088" width="15" style="564" customWidth="1"/>
    <col min="16089" max="16090" width="12.140625" style="564" customWidth="1"/>
    <col min="16091" max="16091" width="12" style="564" customWidth="1"/>
    <col min="16092" max="16092" width="13.5703125" style="564" customWidth="1"/>
    <col min="16093" max="16093" width="14" style="564" customWidth="1"/>
    <col min="16094" max="16094" width="12.28515625" style="564" customWidth="1"/>
    <col min="16095" max="16095" width="14.140625" style="564" customWidth="1"/>
    <col min="16096" max="16096" width="13" style="564" customWidth="1"/>
    <col min="16097" max="16097" width="13.5703125" style="564" customWidth="1"/>
    <col min="16098" max="16098" width="12.42578125" style="564" customWidth="1"/>
    <col min="16099" max="16099" width="12.5703125" style="564" customWidth="1"/>
    <col min="16100" max="16100" width="11.7109375" style="564" customWidth="1"/>
    <col min="16101" max="16101" width="13.7109375" style="564" customWidth="1"/>
    <col min="16102" max="16102" width="13.28515625" style="564" customWidth="1"/>
    <col min="16103" max="16103" width="13.140625" style="564" customWidth="1"/>
    <col min="16104" max="16104" width="12" style="564" customWidth="1"/>
    <col min="16105" max="16105" width="12.140625" style="564" customWidth="1"/>
    <col min="16106" max="16106" width="12.28515625" style="564" customWidth="1"/>
    <col min="16107" max="16107" width="12.140625" style="564" customWidth="1"/>
    <col min="16108" max="16108" width="12.5703125" style="564" customWidth="1"/>
    <col min="16109" max="16384" width="9.140625" style="564"/>
  </cols>
  <sheetData>
    <row r="1" spans="1:23" s="6" customFormat="1" ht="12.75" customHeight="1" x14ac:dyDescent="0.25">
      <c r="A1" s="64"/>
      <c r="B1" s="558"/>
      <c r="M1" s="6" t="s">
        <v>697</v>
      </c>
    </row>
    <row r="2" spans="1:23" s="6" customFormat="1" ht="123.75" customHeight="1" x14ac:dyDescent="0.25">
      <c r="A2" s="64"/>
      <c r="D2" s="600"/>
      <c r="E2" s="600"/>
      <c r="F2" s="600"/>
      <c r="G2" s="600"/>
      <c r="M2" s="600" t="s">
        <v>698</v>
      </c>
    </row>
    <row r="3" spans="1:23" s="6" customFormat="1" ht="51" customHeight="1" x14ac:dyDescent="0.2">
      <c r="A3" s="504" t="s">
        <v>890</v>
      </c>
      <c r="B3" s="504"/>
      <c r="C3" s="504"/>
      <c r="D3" s="504"/>
      <c r="E3" s="504"/>
      <c r="F3" s="504"/>
      <c r="G3" s="504"/>
      <c r="H3" s="504"/>
      <c r="I3" s="504"/>
      <c r="J3" s="504"/>
      <c r="K3" s="504"/>
      <c r="L3" s="504"/>
      <c r="M3" s="504"/>
      <c r="N3" s="559"/>
      <c r="O3" s="559"/>
      <c r="P3" s="560"/>
      <c r="Q3" s="560"/>
      <c r="R3" s="560"/>
      <c r="S3" s="560"/>
      <c r="T3" s="560"/>
      <c r="U3" s="560"/>
      <c r="V3" s="560"/>
    </row>
    <row r="4" spans="1:23" s="95" customFormat="1" ht="10.5" hidden="1" customHeight="1" x14ac:dyDescent="0.2">
      <c r="A4" s="561" t="s">
        <v>699</v>
      </c>
      <c r="B4" s="561"/>
      <c r="C4" s="562">
        <f>C10+C16+C22+C30</f>
        <v>49231800</v>
      </c>
      <c r="D4" s="562">
        <f t="shared" ref="D4:M4" si="0">D10+D16+D22+D30</f>
        <v>0</v>
      </c>
      <c r="E4" s="562">
        <f t="shared" si="0"/>
        <v>0</v>
      </c>
      <c r="F4" s="562">
        <f t="shared" si="0"/>
        <v>0</v>
      </c>
      <c r="G4" s="562">
        <f t="shared" si="0"/>
        <v>49231800</v>
      </c>
      <c r="H4" s="562">
        <f t="shared" si="0"/>
        <v>0</v>
      </c>
      <c r="I4" s="562">
        <f t="shared" si="0"/>
        <v>49231800</v>
      </c>
      <c r="J4" s="562">
        <f t="shared" si="0"/>
        <v>0</v>
      </c>
      <c r="K4" s="562">
        <f t="shared" si="0"/>
        <v>49231800</v>
      </c>
      <c r="L4" s="562">
        <f t="shared" si="0"/>
        <v>0</v>
      </c>
      <c r="M4" s="562">
        <f t="shared" si="0"/>
        <v>49231800</v>
      </c>
      <c r="N4" s="561"/>
      <c r="O4" s="561"/>
      <c r="P4" s="563"/>
      <c r="Q4" s="563"/>
      <c r="R4" s="563"/>
      <c r="S4" s="563"/>
      <c r="T4" s="563"/>
      <c r="U4" s="563"/>
      <c r="V4" s="563"/>
    </row>
    <row r="5" spans="1:23" s="95" customFormat="1" ht="10.5" hidden="1" customHeight="1" x14ac:dyDescent="0.2">
      <c r="A5" s="561" t="s">
        <v>700</v>
      </c>
      <c r="B5" s="561"/>
      <c r="C5" s="562">
        <f>C33+C44+C50+C54+C60</f>
        <v>3538800</v>
      </c>
      <c r="D5" s="562">
        <f t="shared" ref="D5:M5" si="1">D33+D44+D50+D54+D60</f>
        <v>0</v>
      </c>
      <c r="E5" s="562">
        <f t="shared" si="1"/>
        <v>0</v>
      </c>
      <c r="F5" s="562">
        <f t="shared" si="1"/>
        <v>0</v>
      </c>
      <c r="G5" s="562">
        <f t="shared" si="1"/>
        <v>3538800</v>
      </c>
      <c r="H5" s="562">
        <f t="shared" si="1"/>
        <v>0</v>
      </c>
      <c r="I5" s="562">
        <f t="shared" si="1"/>
        <v>3538800</v>
      </c>
      <c r="J5" s="562">
        <f t="shared" si="1"/>
        <v>0</v>
      </c>
      <c r="K5" s="562">
        <f t="shared" si="1"/>
        <v>3538800</v>
      </c>
      <c r="L5" s="562">
        <f t="shared" si="1"/>
        <v>0</v>
      </c>
      <c r="M5" s="562">
        <f t="shared" si="1"/>
        <v>3538800</v>
      </c>
      <c r="N5" s="561"/>
      <c r="O5" s="561"/>
      <c r="P5" s="563"/>
      <c r="Q5" s="563"/>
      <c r="R5" s="563"/>
      <c r="S5" s="563"/>
      <c r="T5" s="563"/>
      <c r="U5" s="563"/>
      <c r="V5" s="563"/>
    </row>
    <row r="6" spans="1:23" ht="6.75" customHeight="1" x14ac:dyDescent="0.25">
      <c r="A6" s="564" t="s">
        <v>181</v>
      </c>
      <c r="B6" s="565" t="s">
        <v>181</v>
      </c>
      <c r="C6" s="565"/>
      <c r="D6" s="565"/>
      <c r="E6" s="565"/>
    </row>
    <row r="7" spans="1:23" ht="36.75" customHeight="1" x14ac:dyDescent="0.25">
      <c r="A7" s="566" t="s">
        <v>204</v>
      </c>
      <c r="B7" s="566" t="s">
        <v>701</v>
      </c>
      <c r="C7" s="566" t="s">
        <v>420</v>
      </c>
      <c r="D7" s="566"/>
      <c r="E7" s="566"/>
      <c r="F7" s="567" t="s">
        <v>702</v>
      </c>
      <c r="G7" s="219" t="s">
        <v>581</v>
      </c>
      <c r="H7" s="567" t="s">
        <v>703</v>
      </c>
      <c r="I7" s="219" t="s">
        <v>607</v>
      </c>
      <c r="J7" s="567" t="s">
        <v>704</v>
      </c>
      <c r="K7" s="219" t="s">
        <v>645</v>
      </c>
      <c r="L7" s="567" t="s">
        <v>705</v>
      </c>
      <c r="M7" s="219" t="s">
        <v>420</v>
      </c>
      <c r="N7" s="219" t="s">
        <v>420</v>
      </c>
      <c r="O7" s="219" t="s">
        <v>420</v>
      </c>
      <c r="P7" s="219" t="s">
        <v>420</v>
      </c>
      <c r="Q7" s="219" t="s">
        <v>420</v>
      </c>
      <c r="R7" s="219" t="s">
        <v>420</v>
      </c>
      <c r="S7" s="219" t="s">
        <v>420</v>
      </c>
      <c r="T7" s="219" t="s">
        <v>421</v>
      </c>
      <c r="U7" s="219" t="s">
        <v>420</v>
      </c>
      <c r="V7" s="219" t="s">
        <v>420</v>
      </c>
      <c r="W7" s="219" t="s">
        <v>706</v>
      </c>
    </row>
    <row r="8" spans="1:23" ht="12" customHeight="1" x14ac:dyDescent="0.25">
      <c r="A8" s="42" t="s">
        <v>181</v>
      </c>
      <c r="B8" s="42"/>
      <c r="C8" s="42"/>
      <c r="D8" s="42"/>
      <c r="E8" s="42"/>
      <c r="F8" s="568">
        <v>48920000</v>
      </c>
      <c r="G8" s="569">
        <v>53867200</v>
      </c>
      <c r="H8" s="568">
        <v>48920000</v>
      </c>
      <c r="I8" s="569">
        <v>53867200</v>
      </c>
      <c r="J8" s="568">
        <v>48920000</v>
      </c>
      <c r="K8" s="569">
        <v>53867200</v>
      </c>
      <c r="L8" s="568">
        <v>48920000</v>
      </c>
      <c r="M8" s="569">
        <v>53867200</v>
      </c>
      <c r="N8" s="570"/>
      <c r="O8" s="570"/>
      <c r="R8" s="571"/>
      <c r="S8" s="571"/>
      <c r="T8" s="571"/>
      <c r="U8" s="571"/>
      <c r="V8" s="571"/>
      <c r="W8" s="571"/>
    </row>
    <row r="9" spans="1:23" s="575" customFormat="1" x14ac:dyDescent="0.25">
      <c r="A9" s="572" t="s">
        <v>707</v>
      </c>
      <c r="B9" s="573" t="s">
        <v>708</v>
      </c>
      <c r="C9" s="574">
        <f>C10+C16+C22+C30+C33+C44+C54+C60+C50</f>
        <v>52770600</v>
      </c>
      <c r="D9" s="574"/>
      <c r="E9" s="574"/>
      <c r="F9" s="574">
        <f>F10+F16+F22+F30+F33+F44+F54+F60+F50</f>
        <v>0</v>
      </c>
      <c r="G9" s="574">
        <f>G10+G16+G22+G30+G33+G44+G54+G60+G50</f>
        <v>52770600</v>
      </c>
      <c r="H9" s="574">
        <f t="shared" ref="H9:M9" si="2">H10+H16+H22+H30+H33+H44+H54+H60+H50</f>
        <v>0</v>
      </c>
      <c r="I9" s="12">
        <f t="shared" si="2"/>
        <v>52770600</v>
      </c>
      <c r="J9" s="574">
        <f t="shared" si="2"/>
        <v>0</v>
      </c>
      <c r="K9" s="12">
        <f t="shared" si="2"/>
        <v>52770600</v>
      </c>
      <c r="L9" s="574">
        <f t="shared" si="2"/>
        <v>0</v>
      </c>
      <c r="M9" s="12">
        <f t="shared" si="2"/>
        <v>52770600</v>
      </c>
      <c r="N9" s="415"/>
      <c r="O9" s="415"/>
      <c r="R9" s="574">
        <f t="shared" ref="R9:W9" si="3">R10+R16+R22+R30+R33+R44+R54+R60+R50</f>
        <v>56905600</v>
      </c>
      <c r="S9" s="574">
        <f t="shared" si="3"/>
        <v>0</v>
      </c>
      <c r="T9" s="574">
        <f t="shared" si="3"/>
        <v>56905600</v>
      </c>
      <c r="U9" s="574">
        <f t="shared" si="3"/>
        <v>59951400</v>
      </c>
      <c r="V9" s="574">
        <f t="shared" si="3"/>
        <v>0</v>
      </c>
      <c r="W9" s="574">
        <f t="shared" si="3"/>
        <v>59951400</v>
      </c>
    </row>
    <row r="10" spans="1:23" s="575" customFormat="1" ht="16.5" customHeight="1" x14ac:dyDescent="0.25">
      <c r="A10" s="572" t="s">
        <v>709</v>
      </c>
      <c r="B10" s="576" t="s">
        <v>710</v>
      </c>
      <c r="C10" s="574">
        <f t="shared" ref="C10:M10" si="4">C11</f>
        <v>40140000</v>
      </c>
      <c r="D10" s="574"/>
      <c r="E10" s="574"/>
      <c r="F10" s="574">
        <f t="shared" si="4"/>
        <v>0</v>
      </c>
      <c r="G10" s="574">
        <f t="shared" si="4"/>
        <v>40140000</v>
      </c>
      <c r="H10" s="574">
        <f t="shared" si="4"/>
        <v>0</v>
      </c>
      <c r="I10" s="12">
        <f t="shared" si="4"/>
        <v>40140000</v>
      </c>
      <c r="J10" s="574">
        <f t="shared" si="4"/>
        <v>0</v>
      </c>
      <c r="K10" s="12">
        <f t="shared" si="4"/>
        <v>40140000</v>
      </c>
      <c r="L10" s="574">
        <f t="shared" si="4"/>
        <v>0</v>
      </c>
      <c r="M10" s="12">
        <f t="shared" si="4"/>
        <v>40140000</v>
      </c>
      <c r="N10" s="415"/>
      <c r="O10" s="415"/>
      <c r="R10" s="574">
        <f t="shared" ref="R10:W10" si="5">R11</f>
        <v>43242000</v>
      </c>
      <c r="S10" s="574">
        <f t="shared" si="5"/>
        <v>0</v>
      </c>
      <c r="T10" s="574">
        <f t="shared" si="5"/>
        <v>43242000</v>
      </c>
      <c r="U10" s="574">
        <f t="shared" si="5"/>
        <v>46664000</v>
      </c>
      <c r="V10" s="574">
        <f t="shared" si="5"/>
        <v>0</v>
      </c>
      <c r="W10" s="574">
        <f t="shared" si="5"/>
        <v>46664000</v>
      </c>
    </row>
    <row r="11" spans="1:23" s="6" customFormat="1" x14ac:dyDescent="0.25">
      <c r="A11" s="197" t="s">
        <v>711</v>
      </c>
      <c r="B11" s="15" t="s">
        <v>712</v>
      </c>
      <c r="C11" s="2">
        <f t="shared" ref="C11:M11" si="6">C12+C13+C14+C15</f>
        <v>40140000</v>
      </c>
      <c r="D11" s="2"/>
      <c r="E11" s="2"/>
      <c r="F11" s="2">
        <f t="shared" si="6"/>
        <v>0</v>
      </c>
      <c r="G11" s="2">
        <f t="shared" si="6"/>
        <v>40140000</v>
      </c>
      <c r="H11" s="2">
        <f t="shared" si="6"/>
        <v>0</v>
      </c>
      <c r="I11" s="2">
        <f t="shared" si="6"/>
        <v>40140000</v>
      </c>
      <c r="J11" s="2">
        <f t="shared" si="6"/>
        <v>0</v>
      </c>
      <c r="K11" s="2">
        <f t="shared" si="6"/>
        <v>40140000</v>
      </c>
      <c r="L11" s="2">
        <f t="shared" si="6"/>
        <v>0</v>
      </c>
      <c r="M11" s="2">
        <f t="shared" si="6"/>
        <v>40140000</v>
      </c>
      <c r="N11" s="74"/>
      <c r="O11" s="74"/>
      <c r="R11" s="2">
        <f t="shared" ref="R11:S11" si="7">R12+R13+R14+R15</f>
        <v>43242000</v>
      </c>
      <c r="S11" s="2">
        <f t="shared" si="7"/>
        <v>0</v>
      </c>
      <c r="T11" s="21">
        <f t="shared" ref="T11:T58" si="8">R11+S11</f>
        <v>43242000</v>
      </c>
      <c r="U11" s="2">
        <f t="shared" ref="U11:W11" si="9">U12+U13+U14+U15</f>
        <v>46664000</v>
      </c>
      <c r="V11" s="2">
        <f t="shared" si="9"/>
        <v>0</v>
      </c>
      <c r="W11" s="2">
        <f t="shared" si="9"/>
        <v>46664000</v>
      </c>
    </row>
    <row r="12" spans="1:23" s="575" customFormat="1" ht="49.5" customHeight="1" x14ac:dyDescent="0.25">
      <c r="A12" s="577" t="s">
        <v>713</v>
      </c>
      <c r="B12" s="578" t="s">
        <v>714</v>
      </c>
      <c r="C12" s="579">
        <v>39610000</v>
      </c>
      <c r="D12" s="579"/>
      <c r="E12" s="579"/>
      <c r="F12" s="579"/>
      <c r="G12" s="21">
        <f t="shared" ref="G12:G94" si="10">C12+F12</f>
        <v>39610000</v>
      </c>
      <c r="H12" s="579"/>
      <c r="I12" s="21">
        <f>G12+H12</f>
        <v>39610000</v>
      </c>
      <c r="J12" s="579"/>
      <c r="K12" s="21">
        <f>I12+J12</f>
        <v>39610000</v>
      </c>
      <c r="L12" s="579"/>
      <c r="M12" s="21">
        <f>K12+L12</f>
        <v>39610000</v>
      </c>
      <c r="N12" s="580"/>
      <c r="O12" s="580"/>
      <c r="R12" s="579">
        <v>42562000</v>
      </c>
      <c r="S12" s="579"/>
      <c r="T12" s="21">
        <f t="shared" si="8"/>
        <v>42562000</v>
      </c>
      <c r="U12" s="579">
        <v>45984000</v>
      </c>
      <c r="V12" s="579"/>
      <c r="W12" s="21">
        <f t="shared" ref="W12:W75" si="11">U12+V12</f>
        <v>45984000</v>
      </c>
    </row>
    <row r="13" spans="1:23" s="575" customFormat="1" ht="76.5" customHeight="1" x14ac:dyDescent="0.25">
      <c r="A13" s="577" t="s">
        <v>715</v>
      </c>
      <c r="B13" s="581" t="s">
        <v>716</v>
      </c>
      <c r="C13" s="579">
        <v>80000</v>
      </c>
      <c r="D13" s="579"/>
      <c r="E13" s="579"/>
      <c r="F13" s="579"/>
      <c r="G13" s="21">
        <f t="shared" si="10"/>
        <v>80000</v>
      </c>
      <c r="H13" s="579"/>
      <c r="I13" s="21">
        <f t="shared" ref="I13:I76" si="12">G13+H13</f>
        <v>80000</v>
      </c>
      <c r="J13" s="579"/>
      <c r="K13" s="21">
        <f t="shared" ref="K13:K15" si="13">I13+J13</f>
        <v>80000</v>
      </c>
      <c r="L13" s="579"/>
      <c r="M13" s="21">
        <f t="shared" ref="M13:M15" si="14">K13+L13</f>
        <v>80000</v>
      </c>
      <c r="N13" s="580"/>
      <c r="O13" s="580"/>
      <c r="R13" s="579">
        <v>80000</v>
      </c>
      <c r="S13" s="579"/>
      <c r="T13" s="21">
        <f t="shared" si="8"/>
        <v>80000</v>
      </c>
      <c r="U13" s="579">
        <v>80000</v>
      </c>
      <c r="V13" s="579"/>
      <c r="W13" s="21">
        <f t="shared" si="11"/>
        <v>80000</v>
      </c>
    </row>
    <row r="14" spans="1:23" s="575" customFormat="1" ht="37.5" customHeight="1" x14ac:dyDescent="0.25">
      <c r="A14" s="577" t="s">
        <v>717</v>
      </c>
      <c r="B14" s="578" t="s">
        <v>718</v>
      </c>
      <c r="C14" s="579">
        <v>300000</v>
      </c>
      <c r="D14" s="579"/>
      <c r="E14" s="579"/>
      <c r="F14" s="579"/>
      <c r="G14" s="21">
        <f t="shared" si="10"/>
        <v>300000</v>
      </c>
      <c r="H14" s="579"/>
      <c r="I14" s="21">
        <f t="shared" si="12"/>
        <v>300000</v>
      </c>
      <c r="J14" s="579"/>
      <c r="K14" s="21">
        <f t="shared" si="13"/>
        <v>300000</v>
      </c>
      <c r="L14" s="579"/>
      <c r="M14" s="21">
        <f t="shared" si="14"/>
        <v>300000</v>
      </c>
      <c r="N14" s="580"/>
      <c r="O14" s="580"/>
      <c r="R14" s="579">
        <v>400000</v>
      </c>
      <c r="S14" s="579"/>
      <c r="T14" s="21">
        <f t="shared" si="8"/>
        <v>400000</v>
      </c>
      <c r="U14" s="579">
        <v>400000</v>
      </c>
      <c r="V14" s="579"/>
      <c r="W14" s="21">
        <f t="shared" si="11"/>
        <v>400000</v>
      </c>
    </row>
    <row r="15" spans="1:23" s="575" customFormat="1" ht="62.25" customHeight="1" x14ac:dyDescent="0.25">
      <c r="A15" s="577" t="s">
        <v>719</v>
      </c>
      <c r="B15" s="581" t="s">
        <v>720</v>
      </c>
      <c r="C15" s="579">
        <v>150000</v>
      </c>
      <c r="D15" s="579"/>
      <c r="E15" s="579"/>
      <c r="F15" s="579"/>
      <c r="G15" s="21">
        <f t="shared" si="10"/>
        <v>150000</v>
      </c>
      <c r="H15" s="579"/>
      <c r="I15" s="21">
        <f t="shared" si="12"/>
        <v>150000</v>
      </c>
      <c r="J15" s="579"/>
      <c r="K15" s="21">
        <f t="shared" si="13"/>
        <v>150000</v>
      </c>
      <c r="L15" s="579"/>
      <c r="M15" s="21">
        <f t="shared" si="14"/>
        <v>150000</v>
      </c>
      <c r="N15" s="580"/>
      <c r="O15" s="580"/>
      <c r="R15" s="579">
        <v>200000</v>
      </c>
      <c r="S15" s="579"/>
      <c r="T15" s="21">
        <f t="shared" si="8"/>
        <v>200000</v>
      </c>
      <c r="U15" s="579">
        <v>200000</v>
      </c>
      <c r="V15" s="579"/>
      <c r="W15" s="21">
        <f t="shared" si="11"/>
        <v>200000</v>
      </c>
    </row>
    <row r="16" spans="1:23" s="575" customFormat="1" ht="23.25" customHeight="1" x14ac:dyDescent="0.25">
      <c r="A16" s="572" t="s">
        <v>721</v>
      </c>
      <c r="B16" s="576" t="s">
        <v>722</v>
      </c>
      <c r="C16" s="574">
        <f t="shared" ref="C16:M16" si="15">C17</f>
        <v>2558000</v>
      </c>
      <c r="D16" s="574"/>
      <c r="E16" s="574"/>
      <c r="F16" s="574">
        <f t="shared" si="15"/>
        <v>0</v>
      </c>
      <c r="G16" s="574">
        <f t="shared" si="15"/>
        <v>2558000</v>
      </c>
      <c r="H16" s="574">
        <f t="shared" si="15"/>
        <v>0</v>
      </c>
      <c r="I16" s="12">
        <f t="shared" si="15"/>
        <v>2558000</v>
      </c>
      <c r="J16" s="574">
        <f t="shared" si="15"/>
        <v>0</v>
      </c>
      <c r="K16" s="12">
        <f t="shared" si="15"/>
        <v>2558000</v>
      </c>
      <c r="L16" s="574">
        <f t="shared" si="15"/>
        <v>0</v>
      </c>
      <c r="M16" s="12">
        <f t="shared" si="15"/>
        <v>2558000</v>
      </c>
      <c r="N16" s="415"/>
      <c r="O16" s="415"/>
      <c r="R16" s="574">
        <f t="shared" ref="R16:W16" si="16">R17</f>
        <v>3185000</v>
      </c>
      <c r="S16" s="574">
        <f t="shared" si="16"/>
        <v>0</v>
      </c>
      <c r="T16" s="574">
        <f t="shared" si="16"/>
        <v>3185000</v>
      </c>
      <c r="U16" s="574">
        <f t="shared" si="16"/>
        <v>2546000</v>
      </c>
      <c r="V16" s="574">
        <f t="shared" si="16"/>
        <v>0</v>
      </c>
      <c r="W16" s="574">
        <f t="shared" si="16"/>
        <v>2546000</v>
      </c>
    </row>
    <row r="17" spans="1:23" s="575" customFormat="1" ht="23.25" customHeight="1" x14ac:dyDescent="0.25">
      <c r="A17" s="577" t="s">
        <v>723</v>
      </c>
      <c r="B17" s="581" t="s">
        <v>724</v>
      </c>
      <c r="C17" s="582">
        <f t="shared" ref="C17:M17" si="17">C18+C19+C20+C21</f>
        <v>2558000</v>
      </c>
      <c r="D17" s="582"/>
      <c r="E17" s="582"/>
      <c r="F17" s="582">
        <f t="shared" si="17"/>
        <v>0</v>
      </c>
      <c r="G17" s="582">
        <f t="shared" si="17"/>
        <v>2558000</v>
      </c>
      <c r="H17" s="582">
        <f t="shared" si="17"/>
        <v>0</v>
      </c>
      <c r="I17" s="2">
        <f t="shared" si="17"/>
        <v>2558000</v>
      </c>
      <c r="J17" s="582">
        <f t="shared" si="17"/>
        <v>0</v>
      </c>
      <c r="K17" s="2">
        <f t="shared" si="17"/>
        <v>2558000</v>
      </c>
      <c r="L17" s="582">
        <f t="shared" si="17"/>
        <v>0</v>
      </c>
      <c r="M17" s="2">
        <f t="shared" si="17"/>
        <v>2558000</v>
      </c>
      <c r="N17" s="74"/>
      <c r="O17" s="74"/>
      <c r="R17" s="582">
        <f t="shared" ref="R17:S17" si="18">R18+R19+R20+R21</f>
        <v>3185000</v>
      </c>
      <c r="S17" s="582">
        <f t="shared" si="18"/>
        <v>0</v>
      </c>
      <c r="T17" s="21">
        <f t="shared" si="8"/>
        <v>3185000</v>
      </c>
      <c r="U17" s="582">
        <f t="shared" ref="U17:V17" si="19">U18+U19+U20+U21</f>
        <v>2546000</v>
      </c>
      <c r="V17" s="582">
        <f t="shared" si="19"/>
        <v>0</v>
      </c>
      <c r="W17" s="21">
        <f t="shared" si="11"/>
        <v>2546000</v>
      </c>
    </row>
    <row r="18" spans="1:23" s="575" customFormat="1" ht="50.25" customHeight="1" x14ac:dyDescent="0.25">
      <c r="A18" s="577" t="s">
        <v>725</v>
      </c>
      <c r="B18" s="581" t="s">
        <v>489</v>
      </c>
      <c r="C18" s="579">
        <v>822450</v>
      </c>
      <c r="D18" s="579"/>
      <c r="E18" s="579"/>
      <c r="F18" s="579"/>
      <c r="G18" s="21">
        <f t="shared" si="10"/>
        <v>822450</v>
      </c>
      <c r="H18" s="579"/>
      <c r="I18" s="21">
        <f t="shared" si="12"/>
        <v>822450</v>
      </c>
      <c r="J18" s="579"/>
      <c r="K18" s="21">
        <f t="shared" ref="K18:K21" si="20">I18+J18</f>
        <v>822450</v>
      </c>
      <c r="L18" s="579"/>
      <c r="M18" s="21">
        <f t="shared" ref="M18:M21" si="21">K18+L18</f>
        <v>822450</v>
      </c>
      <c r="N18" s="580"/>
      <c r="O18" s="580"/>
      <c r="R18" s="579">
        <v>1019250</v>
      </c>
      <c r="S18" s="579"/>
      <c r="T18" s="21">
        <f t="shared" si="8"/>
        <v>1019250</v>
      </c>
      <c r="U18" s="579">
        <v>953000</v>
      </c>
      <c r="V18" s="579"/>
      <c r="W18" s="21">
        <f t="shared" si="11"/>
        <v>953000</v>
      </c>
    </row>
    <row r="19" spans="1:23" s="575" customFormat="1" ht="63" customHeight="1" x14ac:dyDescent="0.25">
      <c r="A19" s="577" t="s">
        <v>726</v>
      </c>
      <c r="B19" s="581" t="s">
        <v>727</v>
      </c>
      <c r="C19" s="579">
        <v>28800</v>
      </c>
      <c r="D19" s="579"/>
      <c r="E19" s="579"/>
      <c r="F19" s="579"/>
      <c r="G19" s="21">
        <f t="shared" si="10"/>
        <v>28800</v>
      </c>
      <c r="H19" s="579"/>
      <c r="I19" s="21">
        <f t="shared" si="12"/>
        <v>28800</v>
      </c>
      <c r="J19" s="579"/>
      <c r="K19" s="21">
        <f t="shared" si="20"/>
        <v>28800</v>
      </c>
      <c r="L19" s="579"/>
      <c r="M19" s="21">
        <f t="shared" si="21"/>
        <v>28800</v>
      </c>
      <c r="N19" s="580"/>
      <c r="O19" s="580"/>
      <c r="R19" s="579">
        <v>31850</v>
      </c>
      <c r="S19" s="579"/>
      <c r="T19" s="21">
        <f t="shared" si="8"/>
        <v>31850</v>
      </c>
      <c r="U19" s="579">
        <v>29600</v>
      </c>
      <c r="V19" s="579"/>
      <c r="W19" s="21">
        <f t="shared" si="11"/>
        <v>29600</v>
      </c>
    </row>
    <row r="20" spans="1:23" s="575" customFormat="1" ht="48" customHeight="1" x14ac:dyDescent="0.25">
      <c r="A20" s="577" t="s">
        <v>728</v>
      </c>
      <c r="B20" s="581" t="s">
        <v>729</v>
      </c>
      <c r="C20" s="579">
        <v>1671650</v>
      </c>
      <c r="D20" s="579"/>
      <c r="E20" s="579"/>
      <c r="F20" s="579"/>
      <c r="G20" s="21">
        <f t="shared" si="10"/>
        <v>1671650</v>
      </c>
      <c r="H20" s="579"/>
      <c r="I20" s="21">
        <f t="shared" si="12"/>
        <v>1671650</v>
      </c>
      <c r="J20" s="579"/>
      <c r="K20" s="21">
        <f t="shared" si="20"/>
        <v>1671650</v>
      </c>
      <c r="L20" s="579"/>
      <c r="M20" s="21">
        <f t="shared" si="21"/>
        <v>1671650</v>
      </c>
      <c r="N20" s="580"/>
      <c r="O20" s="580"/>
      <c r="R20" s="579">
        <v>2102200</v>
      </c>
      <c r="S20" s="579"/>
      <c r="T20" s="21">
        <f t="shared" si="8"/>
        <v>2102200</v>
      </c>
      <c r="U20" s="579">
        <v>1534600</v>
      </c>
      <c r="V20" s="579"/>
      <c r="W20" s="21">
        <f t="shared" si="11"/>
        <v>1534600</v>
      </c>
    </row>
    <row r="21" spans="1:23" s="575" customFormat="1" ht="52.5" customHeight="1" x14ac:dyDescent="0.25">
      <c r="A21" s="577" t="s">
        <v>730</v>
      </c>
      <c r="B21" s="581" t="s">
        <v>731</v>
      </c>
      <c r="C21" s="579">
        <v>35100</v>
      </c>
      <c r="D21" s="579"/>
      <c r="E21" s="579"/>
      <c r="F21" s="579"/>
      <c r="G21" s="21">
        <f t="shared" si="10"/>
        <v>35100</v>
      </c>
      <c r="H21" s="579"/>
      <c r="I21" s="21">
        <f t="shared" si="12"/>
        <v>35100</v>
      </c>
      <c r="J21" s="579"/>
      <c r="K21" s="21">
        <f t="shared" si="20"/>
        <v>35100</v>
      </c>
      <c r="L21" s="579"/>
      <c r="M21" s="21">
        <f t="shared" si="21"/>
        <v>35100</v>
      </c>
      <c r="N21" s="580"/>
      <c r="O21" s="580"/>
      <c r="R21" s="579">
        <v>31700</v>
      </c>
      <c r="S21" s="579"/>
      <c r="T21" s="21">
        <f t="shared" si="8"/>
        <v>31700</v>
      </c>
      <c r="U21" s="579">
        <v>28800</v>
      </c>
      <c r="V21" s="579"/>
      <c r="W21" s="21">
        <f t="shared" si="11"/>
        <v>28800</v>
      </c>
    </row>
    <row r="22" spans="1:23" s="575" customFormat="1" ht="14.25" customHeight="1" x14ac:dyDescent="0.25">
      <c r="A22" s="572" t="s">
        <v>732</v>
      </c>
      <c r="B22" s="576" t="s">
        <v>733</v>
      </c>
      <c r="C22" s="574">
        <f xml:space="preserve"> C23+C26+C28</f>
        <v>5933800</v>
      </c>
      <c r="D22" s="574"/>
      <c r="E22" s="574"/>
      <c r="F22" s="574">
        <f xml:space="preserve"> F23+F26+F28</f>
        <v>0</v>
      </c>
      <c r="G22" s="574">
        <f xml:space="preserve"> G23+G26+G28</f>
        <v>5933800</v>
      </c>
      <c r="H22" s="574">
        <f t="shared" ref="H22:M22" si="22" xml:space="preserve"> H23+H26+H28</f>
        <v>0</v>
      </c>
      <c r="I22" s="12">
        <f t="shared" si="22"/>
        <v>5933800</v>
      </c>
      <c r="J22" s="574">
        <f t="shared" si="22"/>
        <v>0</v>
      </c>
      <c r="K22" s="12">
        <f t="shared" si="22"/>
        <v>5933800</v>
      </c>
      <c r="L22" s="574">
        <f t="shared" si="22"/>
        <v>0</v>
      </c>
      <c r="M22" s="12">
        <f t="shared" si="22"/>
        <v>5933800</v>
      </c>
      <c r="N22" s="415"/>
      <c r="O22" s="415"/>
      <c r="R22" s="574">
        <f xml:space="preserve"> R23+R26+R28</f>
        <v>6201600</v>
      </c>
      <c r="S22" s="574">
        <f xml:space="preserve"> S23+S26+S28</f>
        <v>0</v>
      </c>
      <c r="T22" s="574">
        <f t="shared" ref="T22:W22" si="23" xml:space="preserve"> T23+T26+T28</f>
        <v>6201600</v>
      </c>
      <c r="U22" s="574">
        <f t="shared" si="23"/>
        <v>6469400</v>
      </c>
      <c r="V22" s="574">
        <f t="shared" si="23"/>
        <v>0</v>
      </c>
      <c r="W22" s="574">
        <f t="shared" si="23"/>
        <v>6469400</v>
      </c>
    </row>
    <row r="23" spans="1:23" s="575" customFormat="1" ht="17.25" customHeight="1" x14ac:dyDescent="0.25">
      <c r="A23" s="577" t="s">
        <v>734</v>
      </c>
      <c r="B23" s="578" t="s">
        <v>735</v>
      </c>
      <c r="C23" s="2">
        <f t="shared" ref="C23:M23" si="24">C24+C25</f>
        <v>5778000</v>
      </c>
      <c r="D23" s="2"/>
      <c r="E23" s="2"/>
      <c r="F23" s="2">
        <f t="shared" si="24"/>
        <v>0</v>
      </c>
      <c r="G23" s="2">
        <f t="shared" si="24"/>
        <v>5778000</v>
      </c>
      <c r="H23" s="2">
        <f t="shared" si="24"/>
        <v>0</v>
      </c>
      <c r="I23" s="2">
        <f t="shared" si="24"/>
        <v>5778000</v>
      </c>
      <c r="J23" s="2">
        <f t="shared" si="24"/>
        <v>0</v>
      </c>
      <c r="K23" s="2">
        <f t="shared" si="24"/>
        <v>5778000</v>
      </c>
      <c r="L23" s="2">
        <f t="shared" si="24"/>
        <v>0</v>
      </c>
      <c r="M23" s="2">
        <f t="shared" si="24"/>
        <v>5778000</v>
      </c>
      <c r="N23" s="74"/>
      <c r="O23" s="74"/>
      <c r="R23" s="2">
        <f t="shared" ref="R23:S23" si="25">R24+R25</f>
        <v>6038000</v>
      </c>
      <c r="S23" s="2">
        <f t="shared" si="25"/>
        <v>0</v>
      </c>
      <c r="T23" s="21">
        <f t="shared" si="8"/>
        <v>6038000</v>
      </c>
      <c r="U23" s="2">
        <f t="shared" ref="U23:V23" si="26">U24+U25</f>
        <v>6298000</v>
      </c>
      <c r="V23" s="2">
        <f t="shared" si="26"/>
        <v>0</v>
      </c>
      <c r="W23" s="21">
        <f t="shared" si="11"/>
        <v>6298000</v>
      </c>
    </row>
    <row r="24" spans="1:23" s="575" customFormat="1" ht="17.25" customHeight="1" x14ac:dyDescent="0.25">
      <c r="A24" s="577" t="s">
        <v>736</v>
      </c>
      <c r="B24" s="578" t="s">
        <v>735</v>
      </c>
      <c r="C24" s="579">
        <v>5777000</v>
      </c>
      <c r="D24" s="579"/>
      <c r="E24" s="579"/>
      <c r="F24" s="579"/>
      <c r="G24" s="21">
        <f t="shared" si="10"/>
        <v>5777000</v>
      </c>
      <c r="H24" s="579"/>
      <c r="I24" s="21">
        <f t="shared" si="12"/>
        <v>5777000</v>
      </c>
      <c r="J24" s="579"/>
      <c r="K24" s="21">
        <f t="shared" ref="K24:K25" si="27">I24+J24</f>
        <v>5777000</v>
      </c>
      <c r="L24" s="579"/>
      <c r="M24" s="21">
        <f t="shared" ref="M24:M25" si="28">K24+L24</f>
        <v>5777000</v>
      </c>
      <c r="N24" s="580"/>
      <c r="O24" s="580"/>
      <c r="R24" s="579">
        <v>6037000</v>
      </c>
      <c r="S24" s="579"/>
      <c r="T24" s="21">
        <f t="shared" si="8"/>
        <v>6037000</v>
      </c>
      <c r="U24" s="579">
        <v>6297000</v>
      </c>
      <c r="V24" s="579"/>
      <c r="W24" s="21">
        <f t="shared" si="11"/>
        <v>6297000</v>
      </c>
    </row>
    <row r="25" spans="1:23" s="575" customFormat="1" ht="28.5" customHeight="1" x14ac:dyDescent="0.25">
      <c r="A25" s="577" t="s">
        <v>737</v>
      </c>
      <c r="B25" s="578" t="s">
        <v>738</v>
      </c>
      <c r="C25" s="579">
        <v>1000</v>
      </c>
      <c r="D25" s="579"/>
      <c r="E25" s="579"/>
      <c r="F25" s="579"/>
      <c r="G25" s="21">
        <f t="shared" si="10"/>
        <v>1000</v>
      </c>
      <c r="H25" s="579"/>
      <c r="I25" s="21">
        <f t="shared" si="12"/>
        <v>1000</v>
      </c>
      <c r="J25" s="579"/>
      <c r="K25" s="21">
        <f t="shared" si="27"/>
        <v>1000</v>
      </c>
      <c r="L25" s="579"/>
      <c r="M25" s="21">
        <f t="shared" si="28"/>
        <v>1000</v>
      </c>
      <c r="N25" s="580"/>
      <c r="O25" s="580"/>
      <c r="R25" s="579">
        <v>1000</v>
      </c>
      <c r="S25" s="579"/>
      <c r="T25" s="21">
        <f t="shared" si="8"/>
        <v>1000</v>
      </c>
      <c r="U25" s="579">
        <v>1000</v>
      </c>
      <c r="V25" s="579"/>
      <c r="W25" s="21">
        <f t="shared" si="11"/>
        <v>1000</v>
      </c>
    </row>
    <row r="26" spans="1:23" s="575" customFormat="1" ht="13.5" customHeight="1" x14ac:dyDescent="0.25">
      <c r="A26" s="577" t="s">
        <v>739</v>
      </c>
      <c r="B26" s="578" t="s">
        <v>740</v>
      </c>
      <c r="C26" s="579">
        <f>C27</f>
        <v>2800</v>
      </c>
      <c r="D26" s="579"/>
      <c r="E26" s="579"/>
      <c r="F26" s="579">
        <f t="shared" ref="F26:M26" si="29">F27</f>
        <v>0</v>
      </c>
      <c r="G26" s="579">
        <f t="shared" si="29"/>
        <v>2800</v>
      </c>
      <c r="H26" s="579">
        <f t="shared" si="29"/>
        <v>0</v>
      </c>
      <c r="I26" s="2">
        <f t="shared" si="29"/>
        <v>2800</v>
      </c>
      <c r="J26" s="579">
        <f t="shared" si="29"/>
        <v>0</v>
      </c>
      <c r="K26" s="2">
        <f t="shared" si="29"/>
        <v>2800</v>
      </c>
      <c r="L26" s="579">
        <f t="shared" si="29"/>
        <v>0</v>
      </c>
      <c r="M26" s="2">
        <f t="shared" si="29"/>
        <v>2800</v>
      </c>
      <c r="N26" s="74"/>
      <c r="O26" s="74"/>
      <c r="R26" s="579">
        <f>R27</f>
        <v>3600</v>
      </c>
      <c r="S26" s="579">
        <f t="shared" ref="S26" si="30">S27</f>
        <v>0</v>
      </c>
      <c r="T26" s="21">
        <f t="shared" si="8"/>
        <v>3600</v>
      </c>
      <c r="U26" s="579">
        <f>U27</f>
        <v>4400</v>
      </c>
      <c r="V26" s="579">
        <f t="shared" ref="V26" si="31">V27</f>
        <v>0</v>
      </c>
      <c r="W26" s="21">
        <f t="shared" si="11"/>
        <v>4400</v>
      </c>
    </row>
    <row r="27" spans="1:23" s="575" customFormat="1" ht="12.75" customHeight="1" x14ac:dyDescent="0.25">
      <c r="A27" s="197" t="s">
        <v>741</v>
      </c>
      <c r="B27" s="467" t="s">
        <v>740</v>
      </c>
      <c r="C27" s="2">
        <v>2800</v>
      </c>
      <c r="D27" s="2"/>
      <c r="E27" s="2"/>
      <c r="F27" s="2"/>
      <c r="G27" s="21">
        <f t="shared" si="10"/>
        <v>2800</v>
      </c>
      <c r="H27" s="2"/>
      <c r="I27" s="21">
        <f t="shared" si="12"/>
        <v>2800</v>
      </c>
      <c r="J27" s="2"/>
      <c r="K27" s="21">
        <f t="shared" ref="K27" si="32">I27+J27</f>
        <v>2800</v>
      </c>
      <c r="L27" s="2"/>
      <c r="M27" s="21">
        <f t="shared" ref="M27" si="33">K27+L27</f>
        <v>2800</v>
      </c>
      <c r="N27" s="580"/>
      <c r="O27" s="580"/>
      <c r="R27" s="2">
        <v>3600</v>
      </c>
      <c r="S27" s="2"/>
      <c r="T27" s="21">
        <f t="shared" si="8"/>
        <v>3600</v>
      </c>
      <c r="U27" s="2">
        <v>4400</v>
      </c>
      <c r="V27" s="2"/>
      <c r="W27" s="21">
        <f t="shared" si="11"/>
        <v>4400</v>
      </c>
    </row>
    <row r="28" spans="1:23" s="575" customFormat="1" ht="24.75" customHeight="1" x14ac:dyDescent="0.25">
      <c r="A28" s="197" t="s">
        <v>182</v>
      </c>
      <c r="B28" s="467" t="s">
        <v>742</v>
      </c>
      <c r="C28" s="2">
        <f t="shared" ref="C28:M28" si="34">C29</f>
        <v>153000</v>
      </c>
      <c r="D28" s="2"/>
      <c r="E28" s="2"/>
      <c r="F28" s="2">
        <f t="shared" si="34"/>
        <v>0</v>
      </c>
      <c r="G28" s="2">
        <f t="shared" si="34"/>
        <v>153000</v>
      </c>
      <c r="H28" s="2">
        <f t="shared" si="34"/>
        <v>0</v>
      </c>
      <c r="I28" s="2">
        <f t="shared" si="34"/>
        <v>153000</v>
      </c>
      <c r="J28" s="2">
        <f t="shared" si="34"/>
        <v>0</v>
      </c>
      <c r="K28" s="2">
        <f t="shared" si="34"/>
        <v>153000</v>
      </c>
      <c r="L28" s="2">
        <f t="shared" si="34"/>
        <v>0</v>
      </c>
      <c r="M28" s="2">
        <f t="shared" si="34"/>
        <v>153000</v>
      </c>
      <c r="N28" s="74"/>
      <c r="O28" s="74"/>
      <c r="R28" s="2">
        <f t="shared" ref="R28:S28" si="35">R29</f>
        <v>160000</v>
      </c>
      <c r="S28" s="2">
        <f t="shared" si="35"/>
        <v>0</v>
      </c>
      <c r="T28" s="21">
        <f t="shared" si="8"/>
        <v>160000</v>
      </c>
      <c r="U28" s="2">
        <f t="shared" ref="U28:V28" si="36">U29</f>
        <v>167000</v>
      </c>
      <c r="V28" s="2">
        <f t="shared" si="36"/>
        <v>0</v>
      </c>
      <c r="W28" s="21">
        <f t="shared" si="11"/>
        <v>167000</v>
      </c>
    </row>
    <row r="29" spans="1:23" s="575" customFormat="1" ht="25.5" customHeight="1" x14ac:dyDescent="0.25">
      <c r="A29" s="197" t="s">
        <v>743</v>
      </c>
      <c r="B29" s="467" t="s">
        <v>744</v>
      </c>
      <c r="C29" s="579">
        <v>153000</v>
      </c>
      <c r="D29" s="579"/>
      <c r="E29" s="579"/>
      <c r="F29" s="579"/>
      <c r="G29" s="21">
        <f t="shared" si="10"/>
        <v>153000</v>
      </c>
      <c r="H29" s="579"/>
      <c r="I29" s="21">
        <f t="shared" si="12"/>
        <v>153000</v>
      </c>
      <c r="J29" s="579"/>
      <c r="K29" s="21">
        <f t="shared" ref="K29" si="37">I29+J29</f>
        <v>153000</v>
      </c>
      <c r="L29" s="579"/>
      <c r="M29" s="21">
        <f t="shared" ref="M29" si="38">K29+L29</f>
        <v>153000</v>
      </c>
      <c r="N29" s="580"/>
      <c r="O29" s="580"/>
      <c r="R29" s="579">
        <v>160000</v>
      </c>
      <c r="S29" s="579"/>
      <c r="T29" s="21">
        <f t="shared" si="8"/>
        <v>160000</v>
      </c>
      <c r="U29" s="579">
        <v>167000</v>
      </c>
      <c r="V29" s="579"/>
      <c r="W29" s="21">
        <f t="shared" si="11"/>
        <v>167000</v>
      </c>
    </row>
    <row r="30" spans="1:23" s="575" customFormat="1" ht="14.25" customHeight="1" x14ac:dyDescent="0.25">
      <c r="A30" s="572" t="s">
        <v>745</v>
      </c>
      <c r="B30" s="576" t="s">
        <v>746</v>
      </c>
      <c r="C30" s="12">
        <f>C31</f>
        <v>600000</v>
      </c>
      <c r="D30" s="12"/>
      <c r="E30" s="12"/>
      <c r="F30" s="12">
        <f t="shared" ref="F30:M30" si="39">F31</f>
        <v>0</v>
      </c>
      <c r="G30" s="12">
        <f t="shared" si="39"/>
        <v>600000</v>
      </c>
      <c r="H30" s="12">
        <f t="shared" si="39"/>
        <v>0</v>
      </c>
      <c r="I30" s="12">
        <f t="shared" si="39"/>
        <v>600000</v>
      </c>
      <c r="J30" s="12">
        <f t="shared" si="39"/>
        <v>0</v>
      </c>
      <c r="K30" s="12">
        <f t="shared" si="39"/>
        <v>600000</v>
      </c>
      <c r="L30" s="12">
        <f t="shared" si="39"/>
        <v>0</v>
      </c>
      <c r="M30" s="12">
        <f t="shared" si="39"/>
        <v>600000</v>
      </c>
      <c r="N30" s="415"/>
      <c r="O30" s="415"/>
      <c r="R30" s="12">
        <f>R31</f>
        <v>650000</v>
      </c>
      <c r="S30" s="12">
        <f t="shared" ref="S30:W31" si="40">S31</f>
        <v>0</v>
      </c>
      <c r="T30" s="12">
        <f t="shared" si="40"/>
        <v>650000</v>
      </c>
      <c r="U30" s="12">
        <f t="shared" si="40"/>
        <v>700000</v>
      </c>
      <c r="V30" s="12">
        <f t="shared" si="40"/>
        <v>0</v>
      </c>
      <c r="W30" s="12">
        <f t="shared" si="40"/>
        <v>700000</v>
      </c>
    </row>
    <row r="31" spans="1:23" s="575" customFormat="1" ht="26.25" customHeight="1" x14ac:dyDescent="0.25">
      <c r="A31" s="577" t="s">
        <v>747</v>
      </c>
      <c r="B31" s="578" t="s">
        <v>748</v>
      </c>
      <c r="C31" s="2">
        <f t="shared" ref="C31:M31" si="41">C32</f>
        <v>600000</v>
      </c>
      <c r="D31" s="2"/>
      <c r="E31" s="2"/>
      <c r="F31" s="2">
        <f t="shared" si="41"/>
        <v>0</v>
      </c>
      <c r="G31" s="2">
        <f t="shared" si="41"/>
        <v>600000</v>
      </c>
      <c r="H31" s="2">
        <f t="shared" si="41"/>
        <v>0</v>
      </c>
      <c r="I31" s="2">
        <f t="shared" si="41"/>
        <v>600000</v>
      </c>
      <c r="J31" s="2">
        <f t="shared" si="41"/>
        <v>0</v>
      </c>
      <c r="K31" s="2">
        <f t="shared" si="41"/>
        <v>600000</v>
      </c>
      <c r="L31" s="2">
        <f t="shared" si="41"/>
        <v>0</v>
      </c>
      <c r="M31" s="2">
        <f t="shared" si="41"/>
        <v>600000</v>
      </c>
      <c r="N31" s="74"/>
      <c r="O31" s="74"/>
      <c r="R31" s="2">
        <f t="shared" ref="R31" si="42">R32</f>
        <v>650000</v>
      </c>
      <c r="S31" s="2">
        <f t="shared" si="40"/>
        <v>0</v>
      </c>
      <c r="T31" s="21">
        <f t="shared" si="8"/>
        <v>650000</v>
      </c>
      <c r="U31" s="2">
        <f t="shared" si="40"/>
        <v>700000</v>
      </c>
      <c r="V31" s="2">
        <f t="shared" si="40"/>
        <v>0</v>
      </c>
      <c r="W31" s="21">
        <f t="shared" si="11"/>
        <v>700000</v>
      </c>
    </row>
    <row r="32" spans="1:23" s="575" customFormat="1" ht="36.75" customHeight="1" x14ac:dyDescent="0.25">
      <c r="A32" s="577" t="s">
        <v>749</v>
      </c>
      <c r="B32" s="578" t="s">
        <v>750</v>
      </c>
      <c r="C32" s="579">
        <v>600000</v>
      </c>
      <c r="D32" s="579"/>
      <c r="E32" s="579"/>
      <c r="F32" s="579"/>
      <c r="G32" s="21">
        <f t="shared" si="10"/>
        <v>600000</v>
      </c>
      <c r="H32" s="579"/>
      <c r="I32" s="21">
        <f t="shared" si="12"/>
        <v>600000</v>
      </c>
      <c r="J32" s="579"/>
      <c r="K32" s="21">
        <f t="shared" ref="K32" si="43">I32+J32</f>
        <v>600000</v>
      </c>
      <c r="L32" s="579"/>
      <c r="M32" s="21">
        <f t="shared" ref="M32" si="44">K32+L32</f>
        <v>600000</v>
      </c>
      <c r="N32" s="580"/>
      <c r="O32" s="580"/>
      <c r="R32" s="579">
        <v>650000</v>
      </c>
      <c r="S32" s="579"/>
      <c r="T32" s="21">
        <f t="shared" si="8"/>
        <v>650000</v>
      </c>
      <c r="U32" s="579">
        <v>700000</v>
      </c>
      <c r="V32" s="579"/>
      <c r="W32" s="21">
        <f t="shared" si="11"/>
        <v>700000</v>
      </c>
    </row>
    <row r="33" spans="1:23" s="575" customFormat="1" ht="38.25" customHeight="1" x14ac:dyDescent="0.25">
      <c r="A33" s="572" t="s">
        <v>751</v>
      </c>
      <c r="B33" s="576" t="s">
        <v>752</v>
      </c>
      <c r="C33" s="583">
        <f>C34+C41</f>
        <v>2209800</v>
      </c>
      <c r="D33" s="583"/>
      <c r="E33" s="583"/>
      <c r="F33" s="583">
        <f>F34+F41</f>
        <v>-10000</v>
      </c>
      <c r="G33" s="583">
        <f>G34+G41</f>
        <v>2199800</v>
      </c>
      <c r="H33" s="583">
        <f t="shared" ref="H33:M33" si="45">H34+H41</f>
        <v>0</v>
      </c>
      <c r="I33" s="584">
        <f t="shared" si="45"/>
        <v>2199800</v>
      </c>
      <c r="J33" s="583">
        <f t="shared" si="45"/>
        <v>0</v>
      </c>
      <c r="K33" s="584">
        <f t="shared" si="45"/>
        <v>2199800</v>
      </c>
      <c r="L33" s="583">
        <f t="shared" si="45"/>
        <v>0</v>
      </c>
      <c r="M33" s="584">
        <f t="shared" si="45"/>
        <v>2199800</v>
      </c>
      <c r="N33" s="585"/>
      <c r="O33" s="585"/>
      <c r="R33" s="583">
        <f>R34+R41</f>
        <v>2250000</v>
      </c>
      <c r="S33" s="583">
        <f>S34+S41</f>
        <v>-10000</v>
      </c>
      <c r="T33" s="583">
        <f t="shared" ref="T33:W33" si="46">T34+T41</f>
        <v>2240000</v>
      </c>
      <c r="U33" s="583">
        <f t="shared" si="46"/>
        <v>2147000</v>
      </c>
      <c r="V33" s="583">
        <f t="shared" si="46"/>
        <v>-10000</v>
      </c>
      <c r="W33" s="583">
        <f t="shared" si="46"/>
        <v>2137000</v>
      </c>
    </row>
    <row r="34" spans="1:23" s="575" customFormat="1" ht="72.75" customHeight="1" x14ac:dyDescent="0.25">
      <c r="A34" s="577" t="s">
        <v>753</v>
      </c>
      <c r="B34" s="581" t="s">
        <v>754</v>
      </c>
      <c r="C34" s="586">
        <f>C35+C39</f>
        <v>2089800</v>
      </c>
      <c r="D34" s="586"/>
      <c r="E34" s="586"/>
      <c r="F34" s="586">
        <f>F35+F39</f>
        <v>-10000</v>
      </c>
      <c r="G34" s="586">
        <f>G35+G39</f>
        <v>2079800</v>
      </c>
      <c r="H34" s="586">
        <f t="shared" ref="H34:M34" si="47">H35+H39</f>
        <v>0</v>
      </c>
      <c r="I34" s="21">
        <f t="shared" si="47"/>
        <v>2079800</v>
      </c>
      <c r="J34" s="586">
        <f t="shared" si="47"/>
        <v>0</v>
      </c>
      <c r="K34" s="21">
        <f t="shared" si="47"/>
        <v>2079800</v>
      </c>
      <c r="L34" s="586">
        <f t="shared" si="47"/>
        <v>0</v>
      </c>
      <c r="M34" s="21">
        <f t="shared" si="47"/>
        <v>2079800</v>
      </c>
      <c r="N34" s="580"/>
      <c r="O34" s="580"/>
      <c r="R34" s="586">
        <f>R35+R39</f>
        <v>2140000</v>
      </c>
      <c r="S34" s="586">
        <f>S35+S39</f>
        <v>-10000</v>
      </c>
      <c r="T34" s="21">
        <f t="shared" si="8"/>
        <v>2130000</v>
      </c>
      <c r="U34" s="586">
        <f>U35+U39</f>
        <v>2147000</v>
      </c>
      <c r="V34" s="586">
        <f>V35+V39</f>
        <v>-10000</v>
      </c>
      <c r="W34" s="21">
        <f t="shared" si="11"/>
        <v>2137000</v>
      </c>
    </row>
    <row r="35" spans="1:23" s="575" customFormat="1" ht="61.5" customHeight="1" x14ac:dyDescent="0.25">
      <c r="A35" s="577" t="s">
        <v>755</v>
      </c>
      <c r="B35" s="578" t="s">
        <v>756</v>
      </c>
      <c r="C35" s="2">
        <f>C36+C37+C38</f>
        <v>952800</v>
      </c>
      <c r="D35" s="2">
        <f t="shared" ref="D35:M35" si="48">D36+D37+D38</f>
        <v>0</v>
      </c>
      <c r="E35" s="2">
        <f t="shared" si="48"/>
        <v>0</v>
      </c>
      <c r="F35" s="2">
        <f t="shared" si="48"/>
        <v>-10000</v>
      </c>
      <c r="G35" s="2">
        <f t="shared" si="48"/>
        <v>942800</v>
      </c>
      <c r="H35" s="2">
        <f t="shared" si="48"/>
        <v>0</v>
      </c>
      <c r="I35" s="2">
        <f t="shared" si="48"/>
        <v>942800</v>
      </c>
      <c r="J35" s="2">
        <f t="shared" si="48"/>
        <v>0</v>
      </c>
      <c r="K35" s="2">
        <f t="shared" si="48"/>
        <v>942800</v>
      </c>
      <c r="L35" s="2">
        <f t="shared" si="48"/>
        <v>0</v>
      </c>
      <c r="M35" s="2">
        <f t="shared" si="48"/>
        <v>942800</v>
      </c>
      <c r="N35" s="74"/>
      <c r="O35" s="74"/>
      <c r="R35" s="2">
        <f>R36+R37+R38</f>
        <v>996000</v>
      </c>
      <c r="S35" s="2">
        <f t="shared" ref="S35" si="49">S36+S37+S38</f>
        <v>-10000</v>
      </c>
      <c r="T35" s="21">
        <f t="shared" si="8"/>
        <v>986000</v>
      </c>
      <c r="U35" s="2">
        <f>U36+U37+U38</f>
        <v>996000</v>
      </c>
      <c r="V35" s="2">
        <f t="shared" ref="V35" si="50">V36+V37+V38</f>
        <v>-10000</v>
      </c>
      <c r="W35" s="21">
        <f t="shared" si="11"/>
        <v>986000</v>
      </c>
    </row>
    <row r="36" spans="1:23" s="575" customFormat="1" ht="76.5" customHeight="1" x14ac:dyDescent="0.25">
      <c r="A36" s="577" t="s">
        <v>757</v>
      </c>
      <c r="B36" s="581" t="s">
        <v>758</v>
      </c>
      <c r="C36" s="2">
        <v>952800</v>
      </c>
      <c r="D36" s="2"/>
      <c r="E36" s="2"/>
      <c r="F36" s="579">
        <v>-952800</v>
      </c>
      <c r="G36" s="21">
        <f t="shared" si="10"/>
        <v>0</v>
      </c>
      <c r="H36" s="579"/>
      <c r="I36" s="21">
        <f t="shared" si="12"/>
        <v>0</v>
      </c>
      <c r="J36" s="579"/>
      <c r="K36" s="21">
        <f t="shared" ref="K36:K38" si="51">I36+J36</f>
        <v>0</v>
      </c>
      <c r="L36" s="579"/>
      <c r="M36" s="21">
        <f t="shared" ref="M36:M38" si="52">K36+L36</f>
        <v>0</v>
      </c>
      <c r="N36" s="580"/>
      <c r="O36" s="580"/>
      <c r="R36" s="2">
        <v>996000</v>
      </c>
      <c r="S36" s="579">
        <v>-996000</v>
      </c>
      <c r="T36" s="21">
        <f t="shared" si="8"/>
        <v>0</v>
      </c>
      <c r="U36" s="2">
        <v>996000</v>
      </c>
      <c r="V36" s="579">
        <v>-996000</v>
      </c>
      <c r="W36" s="21">
        <f t="shared" si="11"/>
        <v>0</v>
      </c>
    </row>
    <row r="37" spans="1:23" s="575" customFormat="1" ht="60" customHeight="1" x14ac:dyDescent="0.25">
      <c r="A37" s="577" t="s">
        <v>757</v>
      </c>
      <c r="B37" s="581" t="s">
        <v>759</v>
      </c>
      <c r="C37" s="2">
        <v>0</v>
      </c>
      <c r="D37" s="2"/>
      <c r="E37" s="2"/>
      <c r="F37" s="579">
        <v>442800</v>
      </c>
      <c r="G37" s="21">
        <f t="shared" si="10"/>
        <v>442800</v>
      </c>
      <c r="H37" s="579"/>
      <c r="I37" s="21">
        <f t="shared" si="12"/>
        <v>442800</v>
      </c>
      <c r="J37" s="579"/>
      <c r="K37" s="21">
        <f t="shared" si="51"/>
        <v>442800</v>
      </c>
      <c r="L37" s="579"/>
      <c r="M37" s="21">
        <f t="shared" si="52"/>
        <v>442800</v>
      </c>
      <c r="N37" s="580"/>
      <c r="O37" s="580"/>
      <c r="R37" s="2">
        <v>0</v>
      </c>
      <c r="S37" s="579">
        <v>486000</v>
      </c>
      <c r="T37" s="21">
        <f t="shared" si="8"/>
        <v>486000</v>
      </c>
      <c r="U37" s="2">
        <v>0</v>
      </c>
      <c r="V37" s="579">
        <v>486000</v>
      </c>
      <c r="W37" s="21">
        <f t="shared" si="11"/>
        <v>486000</v>
      </c>
    </row>
    <row r="38" spans="1:23" s="575" customFormat="1" ht="60" customHeight="1" x14ac:dyDescent="0.25">
      <c r="A38" s="577" t="s">
        <v>760</v>
      </c>
      <c r="B38" s="581" t="s">
        <v>761</v>
      </c>
      <c r="C38" s="2"/>
      <c r="D38" s="2"/>
      <c r="E38" s="2"/>
      <c r="F38" s="579">
        <v>500000</v>
      </c>
      <c r="G38" s="21">
        <f t="shared" si="10"/>
        <v>500000</v>
      </c>
      <c r="H38" s="579"/>
      <c r="I38" s="21">
        <f t="shared" si="12"/>
        <v>500000</v>
      </c>
      <c r="J38" s="579"/>
      <c r="K38" s="21">
        <f t="shared" si="51"/>
        <v>500000</v>
      </c>
      <c r="L38" s="579"/>
      <c r="M38" s="21">
        <f t="shared" si="52"/>
        <v>500000</v>
      </c>
      <c r="N38" s="580"/>
      <c r="O38" s="580"/>
      <c r="R38" s="2"/>
      <c r="S38" s="579">
        <v>500000</v>
      </c>
      <c r="T38" s="21">
        <f t="shared" si="8"/>
        <v>500000</v>
      </c>
      <c r="U38" s="2"/>
      <c r="V38" s="579">
        <v>500000</v>
      </c>
      <c r="W38" s="21">
        <f t="shared" si="11"/>
        <v>500000</v>
      </c>
    </row>
    <row r="39" spans="1:23" s="575" customFormat="1" ht="50.25" customHeight="1" x14ac:dyDescent="0.25">
      <c r="A39" s="577" t="s">
        <v>762</v>
      </c>
      <c r="B39" s="581" t="s">
        <v>763</v>
      </c>
      <c r="C39" s="21">
        <f>C40</f>
        <v>1137000</v>
      </c>
      <c r="D39" s="21"/>
      <c r="E39" s="21"/>
      <c r="F39" s="21">
        <f t="shared" ref="F39:M39" si="53">F40</f>
        <v>0</v>
      </c>
      <c r="G39" s="21">
        <f t="shared" si="53"/>
        <v>1137000</v>
      </c>
      <c r="H39" s="21">
        <f t="shared" si="53"/>
        <v>0</v>
      </c>
      <c r="I39" s="21">
        <f t="shared" si="53"/>
        <v>1137000</v>
      </c>
      <c r="J39" s="21">
        <f t="shared" si="53"/>
        <v>0</v>
      </c>
      <c r="K39" s="21">
        <f t="shared" si="53"/>
        <v>1137000</v>
      </c>
      <c r="L39" s="21">
        <f t="shared" si="53"/>
        <v>0</v>
      </c>
      <c r="M39" s="21">
        <f t="shared" si="53"/>
        <v>1137000</v>
      </c>
      <c r="N39" s="580"/>
      <c r="O39" s="580"/>
      <c r="R39" s="21">
        <f>R40</f>
        <v>1144000</v>
      </c>
      <c r="S39" s="21">
        <f t="shared" ref="S39" si="54">S40</f>
        <v>0</v>
      </c>
      <c r="T39" s="21">
        <f t="shared" si="8"/>
        <v>1144000</v>
      </c>
      <c r="U39" s="21">
        <f>U40</f>
        <v>1151000</v>
      </c>
      <c r="V39" s="21">
        <f t="shared" ref="V39" si="55">V40</f>
        <v>0</v>
      </c>
      <c r="W39" s="21">
        <f t="shared" si="11"/>
        <v>1151000</v>
      </c>
    </row>
    <row r="40" spans="1:23" s="575" customFormat="1" ht="46.5" customHeight="1" x14ac:dyDescent="0.25">
      <c r="A40" s="577" t="s">
        <v>323</v>
      </c>
      <c r="B40" s="578" t="s">
        <v>764</v>
      </c>
      <c r="C40" s="579">
        <v>1137000</v>
      </c>
      <c r="D40" s="579"/>
      <c r="E40" s="579"/>
      <c r="F40" s="579"/>
      <c r="G40" s="21">
        <f t="shared" si="10"/>
        <v>1137000</v>
      </c>
      <c r="H40" s="579"/>
      <c r="I40" s="21">
        <f t="shared" si="12"/>
        <v>1137000</v>
      </c>
      <c r="J40" s="579"/>
      <c r="K40" s="21">
        <f t="shared" ref="K40" si="56">I40+J40</f>
        <v>1137000</v>
      </c>
      <c r="L40" s="579"/>
      <c r="M40" s="21">
        <f t="shared" ref="M40" si="57">K40+L40</f>
        <v>1137000</v>
      </c>
      <c r="N40" s="580"/>
      <c r="O40" s="580"/>
      <c r="R40" s="579">
        <v>1144000</v>
      </c>
      <c r="S40" s="579"/>
      <c r="T40" s="21">
        <f t="shared" si="8"/>
        <v>1144000</v>
      </c>
      <c r="U40" s="579">
        <v>1151000</v>
      </c>
      <c r="V40" s="579"/>
      <c r="W40" s="21">
        <f t="shared" si="11"/>
        <v>1151000</v>
      </c>
    </row>
    <row r="41" spans="1:23" s="575" customFormat="1" ht="60.75" customHeight="1" x14ac:dyDescent="0.25">
      <c r="A41" s="197" t="s">
        <v>765</v>
      </c>
      <c r="B41" s="467" t="s">
        <v>766</v>
      </c>
      <c r="C41" s="579">
        <f t="shared" ref="C41:M42" si="58">C42</f>
        <v>120000</v>
      </c>
      <c r="D41" s="579"/>
      <c r="E41" s="579"/>
      <c r="F41" s="579">
        <f t="shared" si="58"/>
        <v>0</v>
      </c>
      <c r="G41" s="579">
        <f t="shared" si="58"/>
        <v>120000</v>
      </c>
      <c r="H41" s="579">
        <f t="shared" si="58"/>
        <v>0</v>
      </c>
      <c r="I41" s="2">
        <f t="shared" si="58"/>
        <v>120000</v>
      </c>
      <c r="J41" s="579">
        <f t="shared" si="58"/>
        <v>0</v>
      </c>
      <c r="K41" s="2">
        <f t="shared" si="58"/>
        <v>120000</v>
      </c>
      <c r="L41" s="579">
        <f t="shared" si="58"/>
        <v>0</v>
      </c>
      <c r="M41" s="2">
        <f t="shared" si="58"/>
        <v>120000</v>
      </c>
      <c r="N41" s="74"/>
      <c r="O41" s="74"/>
      <c r="R41" s="579">
        <f t="shared" ref="R41:S42" si="59">R42</f>
        <v>110000</v>
      </c>
      <c r="S41" s="579">
        <f t="shared" si="59"/>
        <v>0</v>
      </c>
      <c r="T41" s="21">
        <f t="shared" si="8"/>
        <v>110000</v>
      </c>
      <c r="U41" s="579">
        <f t="shared" ref="U41:V42" si="60">U42</f>
        <v>0</v>
      </c>
      <c r="V41" s="579">
        <f t="shared" si="60"/>
        <v>0</v>
      </c>
      <c r="W41" s="21">
        <f t="shared" si="11"/>
        <v>0</v>
      </c>
    </row>
    <row r="42" spans="1:23" s="575" customFormat="1" ht="58.5" customHeight="1" x14ac:dyDescent="0.25">
      <c r="A42" s="197" t="s">
        <v>767</v>
      </c>
      <c r="B42" s="467" t="s">
        <v>768</v>
      </c>
      <c r="C42" s="2">
        <f t="shared" si="58"/>
        <v>120000</v>
      </c>
      <c r="D42" s="2"/>
      <c r="E42" s="2"/>
      <c r="F42" s="2">
        <f t="shared" si="58"/>
        <v>0</v>
      </c>
      <c r="G42" s="2">
        <f t="shared" si="58"/>
        <v>120000</v>
      </c>
      <c r="H42" s="2">
        <f t="shared" si="58"/>
        <v>0</v>
      </c>
      <c r="I42" s="2">
        <f t="shared" si="58"/>
        <v>120000</v>
      </c>
      <c r="J42" s="2">
        <f t="shared" si="58"/>
        <v>0</v>
      </c>
      <c r="K42" s="2">
        <f t="shared" si="58"/>
        <v>120000</v>
      </c>
      <c r="L42" s="2">
        <f t="shared" si="58"/>
        <v>0</v>
      </c>
      <c r="M42" s="2">
        <f t="shared" si="58"/>
        <v>120000</v>
      </c>
      <c r="N42" s="74"/>
      <c r="O42" s="74"/>
      <c r="R42" s="2">
        <f t="shared" si="59"/>
        <v>110000</v>
      </c>
      <c r="S42" s="2">
        <f t="shared" si="59"/>
        <v>0</v>
      </c>
      <c r="T42" s="21">
        <f t="shared" si="8"/>
        <v>110000</v>
      </c>
      <c r="U42" s="2">
        <f t="shared" si="60"/>
        <v>0</v>
      </c>
      <c r="V42" s="2">
        <f t="shared" si="60"/>
        <v>0</v>
      </c>
      <c r="W42" s="21">
        <f t="shared" si="11"/>
        <v>0</v>
      </c>
    </row>
    <row r="43" spans="1:23" s="575" customFormat="1" ht="62.25" customHeight="1" x14ac:dyDescent="0.25">
      <c r="A43" s="197" t="s">
        <v>769</v>
      </c>
      <c r="B43" s="467" t="s">
        <v>770</v>
      </c>
      <c r="C43" s="2">
        <v>120000</v>
      </c>
      <c r="D43" s="2"/>
      <c r="E43" s="2"/>
      <c r="F43" s="2"/>
      <c r="G43" s="21">
        <f t="shared" si="10"/>
        <v>120000</v>
      </c>
      <c r="H43" s="2"/>
      <c r="I43" s="21">
        <f t="shared" si="12"/>
        <v>120000</v>
      </c>
      <c r="J43" s="2"/>
      <c r="K43" s="21">
        <f t="shared" ref="K43" si="61">I43+J43</f>
        <v>120000</v>
      </c>
      <c r="L43" s="2"/>
      <c r="M43" s="21">
        <f t="shared" ref="M43" si="62">K43+L43</f>
        <v>120000</v>
      </c>
      <c r="N43" s="580"/>
      <c r="O43" s="580"/>
      <c r="R43" s="2">
        <v>110000</v>
      </c>
      <c r="S43" s="2"/>
      <c r="T43" s="21">
        <f t="shared" si="8"/>
        <v>110000</v>
      </c>
      <c r="U43" s="2">
        <v>0</v>
      </c>
      <c r="V43" s="2"/>
      <c r="W43" s="21">
        <f t="shared" si="11"/>
        <v>0</v>
      </c>
    </row>
    <row r="44" spans="1:23" s="575" customFormat="1" ht="14.25" customHeight="1" x14ac:dyDescent="0.25">
      <c r="A44" s="572" t="s">
        <v>771</v>
      </c>
      <c r="B44" s="576" t="s">
        <v>772</v>
      </c>
      <c r="C44" s="12">
        <f t="shared" ref="C44:M44" si="63">C45</f>
        <v>506000</v>
      </c>
      <c r="D44" s="12"/>
      <c r="E44" s="12"/>
      <c r="F44" s="12">
        <f t="shared" si="63"/>
        <v>0</v>
      </c>
      <c r="G44" s="12">
        <f t="shared" si="63"/>
        <v>506000</v>
      </c>
      <c r="H44" s="12">
        <f t="shared" si="63"/>
        <v>0</v>
      </c>
      <c r="I44" s="12">
        <f t="shared" si="63"/>
        <v>506000</v>
      </c>
      <c r="J44" s="12">
        <f t="shared" si="63"/>
        <v>0</v>
      </c>
      <c r="K44" s="12">
        <f t="shared" si="63"/>
        <v>506000</v>
      </c>
      <c r="L44" s="12">
        <f t="shared" si="63"/>
        <v>0</v>
      </c>
      <c r="M44" s="12">
        <f t="shared" si="63"/>
        <v>506000</v>
      </c>
      <c r="N44" s="415"/>
      <c r="O44" s="415"/>
      <c r="R44" s="12">
        <f t="shared" ref="R44:W44" si="64">R45</f>
        <v>535000</v>
      </c>
      <c r="S44" s="12">
        <f t="shared" si="64"/>
        <v>0</v>
      </c>
      <c r="T44" s="12">
        <f t="shared" si="64"/>
        <v>535000</v>
      </c>
      <c r="U44" s="12">
        <f t="shared" si="64"/>
        <v>566000</v>
      </c>
      <c r="V44" s="12">
        <f t="shared" si="64"/>
        <v>0</v>
      </c>
      <c r="W44" s="12">
        <f t="shared" si="64"/>
        <v>566000</v>
      </c>
    </row>
    <row r="45" spans="1:23" s="575" customFormat="1" ht="15.75" customHeight="1" x14ac:dyDescent="0.25">
      <c r="A45" s="577" t="s">
        <v>773</v>
      </c>
      <c r="B45" s="578" t="s">
        <v>774</v>
      </c>
      <c r="C45" s="2">
        <f t="shared" ref="C45:M45" si="65">C46+C47+C48+C49</f>
        <v>506000</v>
      </c>
      <c r="D45" s="2"/>
      <c r="E45" s="2"/>
      <c r="F45" s="2">
        <f t="shared" si="65"/>
        <v>0</v>
      </c>
      <c r="G45" s="2">
        <f t="shared" si="65"/>
        <v>506000</v>
      </c>
      <c r="H45" s="2">
        <f t="shared" si="65"/>
        <v>0</v>
      </c>
      <c r="I45" s="2">
        <f t="shared" si="65"/>
        <v>506000</v>
      </c>
      <c r="J45" s="2">
        <f t="shared" si="65"/>
        <v>0</v>
      </c>
      <c r="K45" s="2">
        <f t="shared" si="65"/>
        <v>506000</v>
      </c>
      <c r="L45" s="2">
        <f t="shared" si="65"/>
        <v>0</v>
      </c>
      <c r="M45" s="2">
        <f t="shared" si="65"/>
        <v>506000</v>
      </c>
      <c r="N45" s="74"/>
      <c r="O45" s="74"/>
      <c r="R45" s="2">
        <f t="shared" ref="R45:S45" si="66">R46+R47+R48+R49</f>
        <v>535000</v>
      </c>
      <c r="S45" s="2">
        <f t="shared" si="66"/>
        <v>0</v>
      </c>
      <c r="T45" s="21">
        <f t="shared" si="8"/>
        <v>535000</v>
      </c>
      <c r="U45" s="2">
        <f t="shared" ref="U45:V45" si="67">U46+U47+U48+U49</f>
        <v>566000</v>
      </c>
      <c r="V45" s="2">
        <f t="shared" si="67"/>
        <v>0</v>
      </c>
      <c r="W45" s="21">
        <f t="shared" si="11"/>
        <v>566000</v>
      </c>
    </row>
    <row r="46" spans="1:23" s="575" customFormat="1" ht="26.25" customHeight="1" x14ac:dyDescent="0.25">
      <c r="A46" s="577" t="s">
        <v>775</v>
      </c>
      <c r="B46" s="578" t="s">
        <v>183</v>
      </c>
      <c r="C46" s="2">
        <v>28000</v>
      </c>
      <c r="D46" s="2"/>
      <c r="E46" s="2"/>
      <c r="F46" s="582"/>
      <c r="G46" s="21">
        <f t="shared" si="10"/>
        <v>28000</v>
      </c>
      <c r="H46" s="582"/>
      <c r="I46" s="21">
        <f t="shared" si="12"/>
        <v>28000</v>
      </c>
      <c r="J46" s="582"/>
      <c r="K46" s="21">
        <f t="shared" ref="K46:K49" si="68">I46+J46</f>
        <v>28000</v>
      </c>
      <c r="L46" s="582"/>
      <c r="M46" s="21">
        <f t="shared" ref="M46:M49" si="69">K46+L46</f>
        <v>28000</v>
      </c>
      <c r="N46" s="580"/>
      <c r="O46" s="580"/>
      <c r="R46" s="2">
        <v>30000</v>
      </c>
      <c r="S46" s="582"/>
      <c r="T46" s="21">
        <f t="shared" si="8"/>
        <v>30000</v>
      </c>
      <c r="U46" s="2">
        <v>31000</v>
      </c>
      <c r="V46" s="582"/>
      <c r="W46" s="21">
        <f t="shared" si="11"/>
        <v>31000</v>
      </c>
    </row>
    <row r="47" spans="1:23" s="575" customFormat="1" ht="13.5" customHeight="1" x14ac:dyDescent="0.25">
      <c r="A47" s="577" t="s">
        <v>776</v>
      </c>
      <c r="B47" s="578" t="s">
        <v>777</v>
      </c>
      <c r="C47" s="2">
        <v>9000</v>
      </c>
      <c r="D47" s="2"/>
      <c r="E47" s="2"/>
      <c r="F47" s="582"/>
      <c r="G47" s="21">
        <f t="shared" si="10"/>
        <v>9000</v>
      </c>
      <c r="H47" s="582"/>
      <c r="I47" s="21">
        <f t="shared" si="12"/>
        <v>9000</v>
      </c>
      <c r="J47" s="582"/>
      <c r="K47" s="21">
        <f t="shared" si="68"/>
        <v>9000</v>
      </c>
      <c r="L47" s="582"/>
      <c r="M47" s="21">
        <f t="shared" si="69"/>
        <v>9000</v>
      </c>
      <c r="N47" s="580"/>
      <c r="O47" s="580"/>
      <c r="R47" s="2">
        <v>9000</v>
      </c>
      <c r="S47" s="582"/>
      <c r="T47" s="21">
        <f t="shared" si="8"/>
        <v>9000</v>
      </c>
      <c r="U47" s="2">
        <v>10000</v>
      </c>
      <c r="V47" s="582"/>
      <c r="W47" s="21">
        <f t="shared" si="11"/>
        <v>10000</v>
      </c>
    </row>
    <row r="48" spans="1:23" s="575" customFormat="1" ht="16.5" customHeight="1" x14ac:dyDescent="0.25">
      <c r="A48" s="577" t="s">
        <v>778</v>
      </c>
      <c r="B48" s="578" t="s">
        <v>184</v>
      </c>
      <c r="C48" s="2">
        <v>46000</v>
      </c>
      <c r="D48" s="2"/>
      <c r="E48" s="2"/>
      <c r="F48" s="582"/>
      <c r="G48" s="21">
        <f t="shared" si="10"/>
        <v>46000</v>
      </c>
      <c r="H48" s="582"/>
      <c r="I48" s="21">
        <f t="shared" si="12"/>
        <v>46000</v>
      </c>
      <c r="J48" s="582"/>
      <c r="K48" s="21">
        <f t="shared" si="68"/>
        <v>46000</v>
      </c>
      <c r="L48" s="582"/>
      <c r="M48" s="21">
        <f t="shared" si="69"/>
        <v>46000</v>
      </c>
      <c r="N48" s="580"/>
      <c r="O48" s="580"/>
      <c r="R48" s="2">
        <v>49000</v>
      </c>
      <c r="S48" s="582"/>
      <c r="T48" s="21">
        <f t="shared" si="8"/>
        <v>49000</v>
      </c>
      <c r="U48" s="2">
        <v>52000</v>
      </c>
      <c r="V48" s="582"/>
      <c r="W48" s="21">
        <f t="shared" si="11"/>
        <v>52000</v>
      </c>
    </row>
    <row r="49" spans="1:23" s="575" customFormat="1" ht="13.5" customHeight="1" x14ac:dyDescent="0.25">
      <c r="A49" s="577" t="s">
        <v>779</v>
      </c>
      <c r="B49" s="578" t="s">
        <v>780</v>
      </c>
      <c r="C49" s="2">
        <v>423000</v>
      </c>
      <c r="D49" s="2"/>
      <c r="E49" s="2"/>
      <c r="F49" s="582"/>
      <c r="G49" s="21">
        <f t="shared" si="10"/>
        <v>423000</v>
      </c>
      <c r="H49" s="582"/>
      <c r="I49" s="21">
        <f t="shared" si="12"/>
        <v>423000</v>
      </c>
      <c r="J49" s="582"/>
      <c r="K49" s="21">
        <f t="shared" si="68"/>
        <v>423000</v>
      </c>
      <c r="L49" s="582"/>
      <c r="M49" s="21">
        <f t="shared" si="69"/>
        <v>423000</v>
      </c>
      <c r="N49" s="580"/>
      <c r="O49" s="580"/>
      <c r="R49" s="2">
        <v>447000</v>
      </c>
      <c r="S49" s="582"/>
      <c r="T49" s="21">
        <f t="shared" si="8"/>
        <v>447000</v>
      </c>
      <c r="U49" s="2">
        <v>473000</v>
      </c>
      <c r="V49" s="582"/>
      <c r="W49" s="21">
        <f t="shared" si="11"/>
        <v>473000</v>
      </c>
    </row>
    <row r="50" spans="1:23" s="575" customFormat="1" ht="27.75" customHeight="1" x14ac:dyDescent="0.25">
      <c r="A50" s="572" t="s">
        <v>781</v>
      </c>
      <c r="B50" s="576" t="s">
        <v>782</v>
      </c>
      <c r="C50" s="584">
        <f t="shared" ref="C50:M50" si="70">C51</f>
        <v>373000</v>
      </c>
      <c r="D50" s="584"/>
      <c r="E50" s="584"/>
      <c r="F50" s="584">
        <f t="shared" si="70"/>
        <v>0</v>
      </c>
      <c r="G50" s="584">
        <f t="shared" si="70"/>
        <v>373000</v>
      </c>
      <c r="H50" s="584">
        <f t="shared" si="70"/>
        <v>0</v>
      </c>
      <c r="I50" s="584">
        <f t="shared" si="70"/>
        <v>373000</v>
      </c>
      <c r="J50" s="584">
        <f t="shared" si="70"/>
        <v>0</v>
      </c>
      <c r="K50" s="584">
        <f t="shared" si="70"/>
        <v>373000</v>
      </c>
      <c r="L50" s="584">
        <f t="shared" si="70"/>
        <v>0</v>
      </c>
      <c r="M50" s="584">
        <f t="shared" si="70"/>
        <v>373000</v>
      </c>
      <c r="N50" s="585"/>
      <c r="O50" s="585"/>
      <c r="R50" s="584">
        <f t="shared" ref="R50:W50" si="71">R51</f>
        <v>391000</v>
      </c>
      <c r="S50" s="584">
        <f t="shared" si="71"/>
        <v>0</v>
      </c>
      <c r="T50" s="584">
        <f t="shared" si="71"/>
        <v>391000</v>
      </c>
      <c r="U50" s="584">
        <f t="shared" si="71"/>
        <v>408000</v>
      </c>
      <c r="V50" s="584">
        <f t="shared" si="71"/>
        <v>0</v>
      </c>
      <c r="W50" s="584">
        <f t="shared" si="71"/>
        <v>408000</v>
      </c>
    </row>
    <row r="51" spans="1:23" s="575" customFormat="1" ht="15.75" customHeight="1" x14ac:dyDescent="0.25">
      <c r="A51" s="577" t="s">
        <v>783</v>
      </c>
      <c r="B51" s="587" t="s">
        <v>784</v>
      </c>
      <c r="C51" s="588">
        <f t="shared" ref="C51:M51" si="72">C53</f>
        <v>373000</v>
      </c>
      <c r="D51" s="588"/>
      <c r="E51" s="588"/>
      <c r="F51" s="588">
        <f t="shared" si="72"/>
        <v>0</v>
      </c>
      <c r="G51" s="588">
        <f t="shared" si="72"/>
        <v>373000</v>
      </c>
      <c r="H51" s="588">
        <f t="shared" si="72"/>
        <v>0</v>
      </c>
      <c r="I51" s="21">
        <f t="shared" si="72"/>
        <v>373000</v>
      </c>
      <c r="J51" s="588">
        <f t="shared" si="72"/>
        <v>0</v>
      </c>
      <c r="K51" s="21">
        <f t="shared" si="72"/>
        <v>373000</v>
      </c>
      <c r="L51" s="588">
        <f t="shared" si="72"/>
        <v>0</v>
      </c>
      <c r="M51" s="21">
        <f t="shared" si="72"/>
        <v>373000</v>
      </c>
      <c r="N51" s="580"/>
      <c r="O51" s="580"/>
      <c r="R51" s="588">
        <f t="shared" ref="R51:S51" si="73">R53</f>
        <v>391000</v>
      </c>
      <c r="S51" s="588">
        <f t="shared" si="73"/>
        <v>0</v>
      </c>
      <c r="T51" s="21">
        <f t="shared" si="8"/>
        <v>391000</v>
      </c>
      <c r="U51" s="588">
        <f t="shared" ref="U51:V51" si="74">U53</f>
        <v>408000</v>
      </c>
      <c r="V51" s="588">
        <f t="shared" si="74"/>
        <v>0</v>
      </c>
      <c r="W51" s="21">
        <f t="shared" si="11"/>
        <v>408000</v>
      </c>
    </row>
    <row r="52" spans="1:23" s="575" customFormat="1" ht="15" customHeight="1" x14ac:dyDescent="0.25">
      <c r="A52" s="577" t="s">
        <v>785</v>
      </c>
      <c r="B52" s="578" t="s">
        <v>786</v>
      </c>
      <c r="C52" s="588">
        <f>C53</f>
        <v>373000</v>
      </c>
      <c r="D52" s="588"/>
      <c r="E52" s="588"/>
      <c r="F52" s="588">
        <f t="shared" ref="F52:M52" si="75">F53</f>
        <v>0</v>
      </c>
      <c r="G52" s="588">
        <f t="shared" si="75"/>
        <v>373000</v>
      </c>
      <c r="H52" s="588">
        <f t="shared" si="75"/>
        <v>0</v>
      </c>
      <c r="I52" s="21">
        <f t="shared" si="75"/>
        <v>373000</v>
      </c>
      <c r="J52" s="588">
        <f t="shared" si="75"/>
        <v>0</v>
      </c>
      <c r="K52" s="21">
        <f t="shared" si="75"/>
        <v>373000</v>
      </c>
      <c r="L52" s="588">
        <f t="shared" si="75"/>
        <v>0</v>
      </c>
      <c r="M52" s="21">
        <f t="shared" si="75"/>
        <v>373000</v>
      </c>
      <c r="N52" s="580"/>
      <c r="O52" s="580"/>
      <c r="R52" s="588">
        <f>R53</f>
        <v>391000</v>
      </c>
      <c r="S52" s="588">
        <f t="shared" ref="S52" si="76">S53</f>
        <v>0</v>
      </c>
      <c r="T52" s="21">
        <f t="shared" si="8"/>
        <v>391000</v>
      </c>
      <c r="U52" s="588">
        <f>U53</f>
        <v>408000</v>
      </c>
      <c r="V52" s="588">
        <f t="shared" ref="V52" si="77">V53</f>
        <v>0</v>
      </c>
      <c r="W52" s="21">
        <f t="shared" si="11"/>
        <v>408000</v>
      </c>
    </row>
    <row r="53" spans="1:23" s="575" customFormat="1" ht="27" customHeight="1" x14ac:dyDescent="0.25">
      <c r="A53" s="577" t="s">
        <v>787</v>
      </c>
      <c r="B53" s="578" t="s">
        <v>185</v>
      </c>
      <c r="C53" s="586">
        <v>373000</v>
      </c>
      <c r="D53" s="586"/>
      <c r="E53" s="586"/>
      <c r="F53" s="586"/>
      <c r="G53" s="21">
        <f t="shared" si="10"/>
        <v>373000</v>
      </c>
      <c r="H53" s="586"/>
      <c r="I53" s="21">
        <f t="shared" si="12"/>
        <v>373000</v>
      </c>
      <c r="J53" s="586"/>
      <c r="K53" s="21">
        <f t="shared" ref="K53" si="78">I53+J53</f>
        <v>373000</v>
      </c>
      <c r="L53" s="586"/>
      <c r="M53" s="21">
        <f t="shared" ref="M53" si="79">K53+L53</f>
        <v>373000</v>
      </c>
      <c r="N53" s="580"/>
      <c r="O53" s="580"/>
      <c r="R53" s="586">
        <v>391000</v>
      </c>
      <c r="S53" s="586"/>
      <c r="T53" s="21">
        <f t="shared" si="8"/>
        <v>391000</v>
      </c>
      <c r="U53" s="586">
        <v>408000</v>
      </c>
      <c r="V53" s="586"/>
      <c r="W53" s="21">
        <f t="shared" si="11"/>
        <v>408000</v>
      </c>
    </row>
    <row r="54" spans="1:23" s="575" customFormat="1" ht="27" customHeight="1" x14ac:dyDescent="0.25">
      <c r="A54" s="572" t="s">
        <v>788</v>
      </c>
      <c r="B54" s="576" t="s">
        <v>789</v>
      </c>
      <c r="C54" s="583">
        <f>C55</f>
        <v>200000</v>
      </c>
      <c r="D54" s="583"/>
      <c r="E54" s="583"/>
      <c r="F54" s="583">
        <f t="shared" ref="F54:M54" si="80">F55</f>
        <v>10000</v>
      </c>
      <c r="G54" s="583">
        <f t="shared" si="80"/>
        <v>210000</v>
      </c>
      <c r="H54" s="583">
        <f t="shared" si="80"/>
        <v>0</v>
      </c>
      <c r="I54" s="584">
        <f t="shared" si="80"/>
        <v>210000</v>
      </c>
      <c r="J54" s="583">
        <f t="shared" si="80"/>
        <v>0</v>
      </c>
      <c r="K54" s="584">
        <f t="shared" si="80"/>
        <v>210000</v>
      </c>
      <c r="L54" s="583">
        <f t="shared" si="80"/>
        <v>0</v>
      </c>
      <c r="M54" s="584">
        <f t="shared" si="80"/>
        <v>210000</v>
      </c>
      <c r="N54" s="585"/>
      <c r="O54" s="585"/>
      <c r="R54" s="583">
        <f>R55</f>
        <v>200000</v>
      </c>
      <c r="S54" s="583">
        <f t="shared" ref="S54:W55" si="81">S55</f>
        <v>10000</v>
      </c>
      <c r="T54" s="583">
        <f t="shared" si="81"/>
        <v>210000</v>
      </c>
      <c r="U54" s="583">
        <f t="shared" si="81"/>
        <v>200000</v>
      </c>
      <c r="V54" s="583">
        <f t="shared" si="81"/>
        <v>10000</v>
      </c>
      <c r="W54" s="583">
        <f t="shared" si="81"/>
        <v>210000</v>
      </c>
    </row>
    <row r="55" spans="1:23" s="575" customFormat="1" ht="48.75" customHeight="1" x14ac:dyDescent="0.25">
      <c r="A55" s="577" t="s">
        <v>790</v>
      </c>
      <c r="B55" s="578" t="s">
        <v>791</v>
      </c>
      <c r="C55" s="579">
        <f t="shared" ref="C55:G55" si="82">C56</f>
        <v>200000</v>
      </c>
      <c r="D55" s="579"/>
      <c r="E55" s="579"/>
      <c r="F55" s="579">
        <f t="shared" si="82"/>
        <v>10000</v>
      </c>
      <c r="G55" s="579">
        <f t="shared" si="82"/>
        <v>210000</v>
      </c>
      <c r="H55" s="579"/>
      <c r="I55" s="21">
        <f t="shared" si="12"/>
        <v>210000</v>
      </c>
      <c r="J55" s="579"/>
      <c r="K55" s="21">
        <f t="shared" ref="K55:K59" si="83">I55+J55</f>
        <v>210000</v>
      </c>
      <c r="L55" s="579"/>
      <c r="M55" s="21">
        <f t="shared" ref="M55:M59" si="84">K55+L55</f>
        <v>210000</v>
      </c>
      <c r="N55" s="580"/>
      <c r="O55" s="580"/>
      <c r="R55" s="579">
        <f t="shared" ref="R55" si="85">R56</f>
        <v>200000</v>
      </c>
      <c r="S55" s="579">
        <f t="shared" si="81"/>
        <v>10000</v>
      </c>
      <c r="T55" s="21">
        <f t="shared" si="8"/>
        <v>210000</v>
      </c>
      <c r="U55" s="579">
        <f t="shared" si="81"/>
        <v>200000</v>
      </c>
      <c r="V55" s="579">
        <f t="shared" si="81"/>
        <v>10000</v>
      </c>
      <c r="W55" s="21">
        <f t="shared" si="11"/>
        <v>210000</v>
      </c>
    </row>
    <row r="56" spans="1:23" s="575" customFormat="1" ht="28.5" customHeight="1" x14ac:dyDescent="0.25">
      <c r="A56" s="577" t="s">
        <v>792</v>
      </c>
      <c r="B56" s="578" t="s">
        <v>793</v>
      </c>
      <c r="C56" s="579">
        <f>C57+C58+C59</f>
        <v>200000</v>
      </c>
      <c r="D56" s="579">
        <f t="shared" ref="D56:G56" si="86">D57+D58+D59</f>
        <v>0</v>
      </c>
      <c r="E56" s="579">
        <f t="shared" si="86"/>
        <v>0</v>
      </c>
      <c r="F56" s="579">
        <f t="shared" si="86"/>
        <v>10000</v>
      </c>
      <c r="G56" s="579">
        <f t="shared" si="86"/>
        <v>210000</v>
      </c>
      <c r="H56" s="579"/>
      <c r="I56" s="21">
        <f t="shared" si="12"/>
        <v>210000</v>
      </c>
      <c r="J56" s="579"/>
      <c r="K56" s="21">
        <f t="shared" si="83"/>
        <v>210000</v>
      </c>
      <c r="L56" s="579"/>
      <c r="M56" s="21">
        <f t="shared" si="84"/>
        <v>210000</v>
      </c>
      <c r="N56" s="580"/>
      <c r="O56" s="580"/>
      <c r="R56" s="579">
        <f>R57+R58+R59</f>
        <v>200000</v>
      </c>
      <c r="S56" s="579">
        <f t="shared" ref="S56" si="87">S57+S58+S59</f>
        <v>10000</v>
      </c>
      <c r="T56" s="21">
        <f t="shared" si="8"/>
        <v>210000</v>
      </c>
      <c r="U56" s="579">
        <f>U57+U58+U59</f>
        <v>200000</v>
      </c>
      <c r="V56" s="579">
        <f t="shared" ref="V56" si="88">V57+V58+V59</f>
        <v>10000</v>
      </c>
      <c r="W56" s="21">
        <f t="shared" si="11"/>
        <v>210000</v>
      </c>
    </row>
    <row r="57" spans="1:23" s="575" customFormat="1" ht="37.5" customHeight="1" x14ac:dyDescent="0.25">
      <c r="A57" s="577" t="s">
        <v>794</v>
      </c>
      <c r="B57" s="578" t="s">
        <v>795</v>
      </c>
      <c r="C57" s="579">
        <v>200000</v>
      </c>
      <c r="D57" s="579"/>
      <c r="E57" s="579"/>
      <c r="F57" s="579">
        <v>-200000</v>
      </c>
      <c r="G57" s="21">
        <f t="shared" si="10"/>
        <v>0</v>
      </c>
      <c r="H57" s="579"/>
      <c r="I57" s="21">
        <f t="shared" si="12"/>
        <v>0</v>
      </c>
      <c r="J57" s="579"/>
      <c r="K57" s="21">
        <f t="shared" si="83"/>
        <v>0</v>
      </c>
      <c r="L57" s="579"/>
      <c r="M57" s="21">
        <f t="shared" si="84"/>
        <v>0</v>
      </c>
      <c r="N57" s="580"/>
      <c r="O57" s="580"/>
      <c r="R57" s="579">
        <v>200000</v>
      </c>
      <c r="S57" s="579">
        <v>-200000</v>
      </c>
      <c r="T57" s="21">
        <f t="shared" si="8"/>
        <v>0</v>
      </c>
      <c r="U57" s="579">
        <v>200000</v>
      </c>
      <c r="V57" s="579">
        <v>-200000</v>
      </c>
      <c r="W57" s="21">
        <f t="shared" si="11"/>
        <v>0</v>
      </c>
    </row>
    <row r="58" spans="1:23" s="575" customFormat="1" ht="37.5" customHeight="1" x14ac:dyDescent="0.25">
      <c r="A58" s="577" t="s">
        <v>794</v>
      </c>
      <c r="B58" s="578" t="s">
        <v>796</v>
      </c>
      <c r="C58" s="579"/>
      <c r="D58" s="579"/>
      <c r="E58" s="579"/>
      <c r="F58" s="579">
        <v>10000</v>
      </c>
      <c r="G58" s="21">
        <f t="shared" si="10"/>
        <v>10000</v>
      </c>
      <c r="H58" s="579"/>
      <c r="I58" s="21">
        <f t="shared" si="12"/>
        <v>10000</v>
      </c>
      <c r="J58" s="579"/>
      <c r="K58" s="21">
        <f t="shared" si="83"/>
        <v>10000</v>
      </c>
      <c r="L58" s="579"/>
      <c r="M58" s="21">
        <f t="shared" si="84"/>
        <v>10000</v>
      </c>
      <c r="N58" s="580"/>
      <c r="O58" s="580"/>
      <c r="R58" s="579"/>
      <c r="S58" s="579">
        <v>10000</v>
      </c>
      <c r="T58" s="21">
        <f t="shared" si="8"/>
        <v>10000</v>
      </c>
      <c r="U58" s="579"/>
      <c r="V58" s="579">
        <v>10000</v>
      </c>
      <c r="W58" s="21">
        <f t="shared" si="11"/>
        <v>10000</v>
      </c>
    </row>
    <row r="59" spans="1:23" s="575" customFormat="1" ht="37.5" customHeight="1" x14ac:dyDescent="0.25">
      <c r="A59" s="577" t="s">
        <v>797</v>
      </c>
      <c r="B59" s="578" t="s">
        <v>798</v>
      </c>
      <c r="C59" s="579"/>
      <c r="D59" s="579"/>
      <c r="E59" s="579"/>
      <c r="F59" s="579">
        <v>200000</v>
      </c>
      <c r="G59" s="21">
        <f t="shared" si="10"/>
        <v>200000</v>
      </c>
      <c r="H59" s="579"/>
      <c r="I59" s="21">
        <f t="shared" si="12"/>
        <v>200000</v>
      </c>
      <c r="J59" s="579"/>
      <c r="K59" s="21">
        <f t="shared" si="83"/>
        <v>200000</v>
      </c>
      <c r="L59" s="579"/>
      <c r="M59" s="21">
        <f t="shared" si="84"/>
        <v>200000</v>
      </c>
      <c r="N59" s="580"/>
      <c r="O59" s="580"/>
      <c r="R59" s="579"/>
      <c r="S59" s="579">
        <v>200000</v>
      </c>
      <c r="T59" s="21">
        <f>R59+S59</f>
        <v>200000</v>
      </c>
      <c r="U59" s="579"/>
      <c r="V59" s="579">
        <v>200000</v>
      </c>
      <c r="W59" s="21">
        <f t="shared" si="11"/>
        <v>200000</v>
      </c>
    </row>
    <row r="60" spans="1:23" s="575" customFormat="1" ht="17.25" customHeight="1" x14ac:dyDescent="0.25">
      <c r="A60" s="572" t="s">
        <v>799</v>
      </c>
      <c r="B60" s="576" t="s">
        <v>800</v>
      </c>
      <c r="C60" s="12">
        <f>C61+C63+C64+C66+C67+C68</f>
        <v>250000</v>
      </c>
      <c r="D60" s="12"/>
      <c r="E60" s="12"/>
      <c r="F60" s="12">
        <f>F61+F63+F64+F66+F67+F68</f>
        <v>0</v>
      </c>
      <c r="G60" s="12">
        <f>G61+G63+G64+G66+G67+G68</f>
        <v>250000</v>
      </c>
      <c r="H60" s="12">
        <f t="shared" ref="H60:M60" si="89">H61+H63+H64+H66+H67+H68</f>
        <v>0</v>
      </c>
      <c r="I60" s="12">
        <f t="shared" si="89"/>
        <v>250000</v>
      </c>
      <c r="J60" s="12">
        <f t="shared" si="89"/>
        <v>0</v>
      </c>
      <c r="K60" s="12">
        <f t="shared" si="89"/>
        <v>250000</v>
      </c>
      <c r="L60" s="12">
        <f t="shared" si="89"/>
        <v>0</v>
      </c>
      <c r="M60" s="12">
        <f t="shared" si="89"/>
        <v>250000</v>
      </c>
      <c r="N60" s="415"/>
      <c r="O60" s="415"/>
      <c r="R60" s="12">
        <f>R61+R63+R64+R66+R67+R68</f>
        <v>251000</v>
      </c>
      <c r="S60" s="12">
        <f>S61+S63+S64+S66+S67+S68</f>
        <v>0</v>
      </c>
      <c r="T60" s="12">
        <f t="shared" ref="T60:W60" si="90">T61+T63+T64+T66+T67+T68</f>
        <v>251000</v>
      </c>
      <c r="U60" s="12">
        <f t="shared" si="90"/>
        <v>251000</v>
      </c>
      <c r="V60" s="12">
        <f t="shared" si="90"/>
        <v>0</v>
      </c>
      <c r="W60" s="12">
        <f t="shared" si="90"/>
        <v>251000</v>
      </c>
    </row>
    <row r="61" spans="1:23" s="575" customFormat="1" ht="23.25" customHeight="1" x14ac:dyDescent="0.25">
      <c r="A61" s="577" t="s">
        <v>801</v>
      </c>
      <c r="B61" s="578" t="s">
        <v>802</v>
      </c>
      <c r="C61" s="579">
        <f>C62</f>
        <v>4000</v>
      </c>
      <c r="D61" s="579"/>
      <c r="E61" s="579"/>
      <c r="F61" s="579">
        <f t="shared" ref="F61:M61" si="91">F62</f>
        <v>0</v>
      </c>
      <c r="G61" s="579">
        <f t="shared" si="91"/>
        <v>4000</v>
      </c>
      <c r="H61" s="579">
        <f t="shared" si="91"/>
        <v>0</v>
      </c>
      <c r="I61" s="2">
        <f t="shared" si="91"/>
        <v>4000</v>
      </c>
      <c r="J61" s="579">
        <f t="shared" si="91"/>
        <v>0</v>
      </c>
      <c r="K61" s="2">
        <f t="shared" si="91"/>
        <v>4000</v>
      </c>
      <c r="L61" s="579">
        <f t="shared" si="91"/>
        <v>0</v>
      </c>
      <c r="M61" s="2">
        <f t="shared" si="91"/>
        <v>4000</v>
      </c>
      <c r="N61" s="74"/>
      <c r="O61" s="74"/>
      <c r="R61" s="579">
        <f>R62</f>
        <v>4000</v>
      </c>
      <c r="S61" s="579">
        <f t="shared" ref="S61" si="92">S62</f>
        <v>0</v>
      </c>
      <c r="T61" s="21">
        <f t="shared" ref="T61:T127" si="93">R61+S61</f>
        <v>4000</v>
      </c>
      <c r="U61" s="579">
        <f>U62</f>
        <v>4000</v>
      </c>
      <c r="V61" s="579">
        <f t="shared" ref="V61" si="94">V62</f>
        <v>0</v>
      </c>
      <c r="W61" s="21">
        <f t="shared" si="11"/>
        <v>4000</v>
      </c>
    </row>
    <row r="62" spans="1:23" s="575" customFormat="1" ht="51.75" customHeight="1" x14ac:dyDescent="0.25">
      <c r="A62" s="577" t="s">
        <v>803</v>
      </c>
      <c r="B62" s="578" t="s">
        <v>804</v>
      </c>
      <c r="C62" s="579">
        <v>4000</v>
      </c>
      <c r="D62" s="579"/>
      <c r="E62" s="579"/>
      <c r="F62" s="579"/>
      <c r="G62" s="21">
        <f t="shared" si="10"/>
        <v>4000</v>
      </c>
      <c r="H62" s="579"/>
      <c r="I62" s="21">
        <f t="shared" si="12"/>
        <v>4000</v>
      </c>
      <c r="J62" s="579"/>
      <c r="K62" s="21">
        <f t="shared" ref="K62:K63" si="95">I62+J62</f>
        <v>4000</v>
      </c>
      <c r="L62" s="579"/>
      <c r="M62" s="21">
        <f t="shared" ref="M62:M63" si="96">K62+L62</f>
        <v>4000</v>
      </c>
      <c r="N62" s="580"/>
      <c r="O62" s="580"/>
      <c r="R62" s="579">
        <v>4000</v>
      </c>
      <c r="S62" s="579"/>
      <c r="T62" s="21">
        <f t="shared" si="93"/>
        <v>4000</v>
      </c>
      <c r="U62" s="579">
        <v>4000</v>
      </c>
      <c r="V62" s="579"/>
      <c r="W62" s="21">
        <f t="shared" si="11"/>
        <v>4000</v>
      </c>
    </row>
    <row r="63" spans="1:23" s="575" customFormat="1" ht="50.25" customHeight="1" x14ac:dyDescent="0.25">
      <c r="A63" s="577" t="s">
        <v>186</v>
      </c>
      <c r="B63" s="578" t="s">
        <v>805</v>
      </c>
      <c r="C63" s="586">
        <v>25000</v>
      </c>
      <c r="D63" s="586"/>
      <c r="E63" s="586"/>
      <c r="F63" s="586"/>
      <c r="G63" s="21">
        <f t="shared" si="10"/>
        <v>25000</v>
      </c>
      <c r="H63" s="586"/>
      <c r="I63" s="21">
        <f t="shared" si="12"/>
        <v>25000</v>
      </c>
      <c r="J63" s="586"/>
      <c r="K63" s="21">
        <f t="shared" si="95"/>
        <v>25000</v>
      </c>
      <c r="L63" s="586"/>
      <c r="M63" s="21">
        <f t="shared" si="96"/>
        <v>25000</v>
      </c>
      <c r="N63" s="580"/>
      <c r="O63" s="580"/>
      <c r="R63" s="586">
        <v>25000</v>
      </c>
      <c r="S63" s="586"/>
      <c r="T63" s="21">
        <f t="shared" si="93"/>
        <v>25000</v>
      </c>
      <c r="U63" s="586">
        <v>25000</v>
      </c>
      <c r="V63" s="586"/>
      <c r="W63" s="21">
        <f t="shared" si="11"/>
        <v>25000</v>
      </c>
    </row>
    <row r="64" spans="1:23" s="575" customFormat="1" ht="73.5" customHeight="1" x14ac:dyDescent="0.25">
      <c r="A64" s="577" t="s">
        <v>806</v>
      </c>
      <c r="B64" s="581" t="s">
        <v>807</v>
      </c>
      <c r="C64" s="579">
        <f t="shared" ref="C64:M64" si="97">C65</f>
        <v>6000</v>
      </c>
      <c r="D64" s="579"/>
      <c r="E64" s="579"/>
      <c r="F64" s="579">
        <f t="shared" si="97"/>
        <v>0</v>
      </c>
      <c r="G64" s="579">
        <f t="shared" si="97"/>
        <v>6000</v>
      </c>
      <c r="H64" s="579">
        <f t="shared" si="97"/>
        <v>0</v>
      </c>
      <c r="I64" s="2">
        <f t="shared" si="97"/>
        <v>6000</v>
      </c>
      <c r="J64" s="579">
        <f t="shared" si="97"/>
        <v>0</v>
      </c>
      <c r="K64" s="2">
        <f t="shared" si="97"/>
        <v>6000</v>
      </c>
      <c r="L64" s="579">
        <f t="shared" si="97"/>
        <v>0</v>
      </c>
      <c r="M64" s="2">
        <f t="shared" si="97"/>
        <v>6000</v>
      </c>
      <c r="N64" s="74"/>
      <c r="O64" s="74"/>
      <c r="R64" s="579">
        <f t="shared" ref="R64:S64" si="98">R65</f>
        <v>7000</v>
      </c>
      <c r="S64" s="579">
        <f t="shared" si="98"/>
        <v>0</v>
      </c>
      <c r="T64" s="21">
        <f t="shared" si="93"/>
        <v>7000</v>
      </c>
      <c r="U64" s="579">
        <f t="shared" ref="U64:V64" si="99">U65</f>
        <v>7000</v>
      </c>
      <c r="V64" s="579">
        <f t="shared" si="99"/>
        <v>0</v>
      </c>
      <c r="W64" s="21">
        <f t="shared" si="11"/>
        <v>7000</v>
      </c>
    </row>
    <row r="65" spans="1:23" s="575" customFormat="1" ht="26.25" customHeight="1" x14ac:dyDescent="0.25">
      <c r="A65" s="577" t="s">
        <v>808</v>
      </c>
      <c r="B65" s="578" t="s">
        <v>809</v>
      </c>
      <c r="C65" s="579">
        <v>6000</v>
      </c>
      <c r="D65" s="579"/>
      <c r="E65" s="579"/>
      <c r="F65" s="579"/>
      <c r="G65" s="21">
        <f t="shared" si="10"/>
        <v>6000</v>
      </c>
      <c r="H65" s="579"/>
      <c r="I65" s="21">
        <f t="shared" si="12"/>
        <v>6000</v>
      </c>
      <c r="J65" s="579"/>
      <c r="K65" s="21">
        <f t="shared" ref="K65:K67" si="100">I65+J65</f>
        <v>6000</v>
      </c>
      <c r="L65" s="579"/>
      <c r="M65" s="21">
        <f t="shared" ref="M65:M67" si="101">K65+L65</f>
        <v>6000</v>
      </c>
      <c r="N65" s="580"/>
      <c r="O65" s="580"/>
      <c r="R65" s="579">
        <v>7000</v>
      </c>
      <c r="S65" s="579"/>
      <c r="T65" s="21">
        <f t="shared" si="93"/>
        <v>7000</v>
      </c>
      <c r="U65" s="579">
        <v>7000</v>
      </c>
      <c r="V65" s="579"/>
      <c r="W65" s="21">
        <f t="shared" si="11"/>
        <v>7000</v>
      </c>
    </row>
    <row r="66" spans="1:23" s="575" customFormat="1" ht="38.25" customHeight="1" x14ac:dyDescent="0.25">
      <c r="A66" s="577" t="s">
        <v>810</v>
      </c>
      <c r="B66" s="578" t="s">
        <v>811</v>
      </c>
      <c r="C66" s="579">
        <v>60000</v>
      </c>
      <c r="D66" s="579"/>
      <c r="E66" s="579"/>
      <c r="F66" s="579"/>
      <c r="G66" s="21">
        <f t="shared" si="10"/>
        <v>60000</v>
      </c>
      <c r="H66" s="579"/>
      <c r="I66" s="21">
        <f t="shared" si="12"/>
        <v>60000</v>
      </c>
      <c r="J66" s="579"/>
      <c r="K66" s="21">
        <f t="shared" si="100"/>
        <v>60000</v>
      </c>
      <c r="L66" s="579"/>
      <c r="M66" s="21">
        <f t="shared" si="101"/>
        <v>60000</v>
      </c>
      <c r="N66" s="580"/>
      <c r="O66" s="580"/>
      <c r="R66" s="579">
        <v>60000</v>
      </c>
      <c r="S66" s="579"/>
      <c r="T66" s="21">
        <f t="shared" si="93"/>
        <v>60000</v>
      </c>
      <c r="U66" s="579">
        <v>60000</v>
      </c>
      <c r="V66" s="579"/>
      <c r="W66" s="21">
        <f t="shared" si="11"/>
        <v>60000</v>
      </c>
    </row>
    <row r="67" spans="1:23" s="575" customFormat="1" ht="37.5" customHeight="1" x14ac:dyDescent="0.25">
      <c r="A67" s="577" t="s">
        <v>812</v>
      </c>
      <c r="B67" s="578" t="s">
        <v>813</v>
      </c>
      <c r="C67" s="582">
        <v>20000</v>
      </c>
      <c r="D67" s="582"/>
      <c r="E67" s="582"/>
      <c r="F67" s="582"/>
      <c r="G67" s="21">
        <f t="shared" si="10"/>
        <v>20000</v>
      </c>
      <c r="H67" s="582"/>
      <c r="I67" s="21">
        <f t="shared" si="12"/>
        <v>20000</v>
      </c>
      <c r="J67" s="582"/>
      <c r="K67" s="21">
        <f t="shared" si="100"/>
        <v>20000</v>
      </c>
      <c r="L67" s="582"/>
      <c r="M67" s="21">
        <f t="shared" si="101"/>
        <v>20000</v>
      </c>
      <c r="N67" s="580"/>
      <c r="O67" s="580"/>
      <c r="R67" s="582">
        <v>20000</v>
      </c>
      <c r="S67" s="582"/>
      <c r="T67" s="21">
        <f t="shared" si="93"/>
        <v>20000</v>
      </c>
      <c r="U67" s="582">
        <v>20000</v>
      </c>
      <c r="V67" s="582"/>
      <c r="W67" s="21">
        <f t="shared" si="11"/>
        <v>20000</v>
      </c>
    </row>
    <row r="68" spans="1:23" s="575" customFormat="1" ht="22.5" customHeight="1" x14ac:dyDescent="0.25">
      <c r="A68" s="572" t="s">
        <v>814</v>
      </c>
      <c r="B68" s="576" t="s">
        <v>815</v>
      </c>
      <c r="C68" s="589">
        <f t="shared" ref="C68:M68" si="102">C69</f>
        <v>135000</v>
      </c>
      <c r="D68" s="589"/>
      <c r="E68" s="589"/>
      <c r="F68" s="589">
        <f t="shared" si="102"/>
        <v>0</v>
      </c>
      <c r="G68" s="589">
        <f t="shared" si="102"/>
        <v>135000</v>
      </c>
      <c r="H68" s="589">
        <f t="shared" si="102"/>
        <v>0</v>
      </c>
      <c r="I68" s="584">
        <f t="shared" si="102"/>
        <v>135000</v>
      </c>
      <c r="J68" s="589">
        <f t="shared" si="102"/>
        <v>0</v>
      </c>
      <c r="K68" s="584">
        <f t="shared" si="102"/>
        <v>135000</v>
      </c>
      <c r="L68" s="589">
        <f t="shared" si="102"/>
        <v>0</v>
      </c>
      <c r="M68" s="584">
        <f t="shared" si="102"/>
        <v>135000</v>
      </c>
      <c r="N68" s="585"/>
      <c r="O68" s="585"/>
      <c r="R68" s="589">
        <f t="shared" ref="R68:W68" si="103">R69</f>
        <v>135000</v>
      </c>
      <c r="S68" s="589">
        <f t="shared" si="103"/>
        <v>0</v>
      </c>
      <c r="T68" s="589">
        <f t="shared" si="103"/>
        <v>135000</v>
      </c>
      <c r="U68" s="589">
        <f t="shared" si="103"/>
        <v>135000</v>
      </c>
      <c r="V68" s="589">
        <f t="shared" si="103"/>
        <v>0</v>
      </c>
      <c r="W68" s="589">
        <f t="shared" si="103"/>
        <v>135000</v>
      </c>
    </row>
    <row r="69" spans="1:23" s="575" customFormat="1" ht="22.5" customHeight="1" x14ac:dyDescent="0.25">
      <c r="A69" s="577" t="s">
        <v>816</v>
      </c>
      <c r="B69" s="578" t="s">
        <v>817</v>
      </c>
      <c r="C69" s="588">
        <v>135000</v>
      </c>
      <c r="D69" s="588"/>
      <c r="E69" s="588"/>
      <c r="F69" s="588"/>
      <c r="G69" s="21">
        <f t="shared" si="10"/>
        <v>135000</v>
      </c>
      <c r="H69" s="588"/>
      <c r="I69" s="21">
        <f t="shared" si="12"/>
        <v>135000</v>
      </c>
      <c r="J69" s="588"/>
      <c r="K69" s="21">
        <f t="shared" ref="K69" si="104">I69+J69</f>
        <v>135000</v>
      </c>
      <c r="L69" s="588"/>
      <c r="M69" s="21">
        <f t="shared" ref="M69" si="105">K69+L69</f>
        <v>135000</v>
      </c>
      <c r="N69" s="580"/>
      <c r="O69" s="580"/>
      <c r="R69" s="588">
        <v>135000</v>
      </c>
      <c r="S69" s="588"/>
      <c r="T69" s="21">
        <f t="shared" si="93"/>
        <v>135000</v>
      </c>
      <c r="U69" s="588">
        <v>135000</v>
      </c>
      <c r="V69" s="588"/>
      <c r="W69" s="21">
        <f t="shared" si="11"/>
        <v>135000</v>
      </c>
    </row>
    <row r="70" spans="1:23" s="590" customFormat="1" ht="18.75" customHeight="1" x14ac:dyDescent="0.25">
      <c r="A70" s="16" t="s">
        <v>818</v>
      </c>
      <c r="B70" s="468" t="s">
        <v>819</v>
      </c>
      <c r="C70" s="584">
        <f>C71</f>
        <v>181475833</v>
      </c>
      <c r="D70" s="584"/>
      <c r="E70" s="584"/>
      <c r="F70" s="584">
        <f>F71</f>
        <v>4802500</v>
      </c>
      <c r="G70" s="584">
        <f>G71</f>
        <v>186278333</v>
      </c>
      <c r="H70" s="584">
        <f t="shared" ref="H70:M70" si="106">H71</f>
        <v>-4115019</v>
      </c>
      <c r="I70" s="584">
        <f t="shared" si="106"/>
        <v>182163314</v>
      </c>
      <c r="J70" s="584">
        <f t="shared" si="106"/>
        <v>-2547950</v>
      </c>
      <c r="K70" s="584">
        <f t="shared" si="106"/>
        <v>179615364</v>
      </c>
      <c r="L70" s="584">
        <f t="shared" si="106"/>
        <v>16088001.16</v>
      </c>
      <c r="M70" s="584">
        <f t="shared" si="106"/>
        <v>195703365.16</v>
      </c>
      <c r="N70" s="585"/>
      <c r="O70" s="585"/>
      <c r="R70" s="584">
        <f>R71</f>
        <v>173917680</v>
      </c>
      <c r="S70" s="584">
        <f>S71</f>
        <v>-5599900</v>
      </c>
      <c r="T70" s="584">
        <f t="shared" ref="T70:W70" si="107">T71</f>
        <v>168317780</v>
      </c>
      <c r="U70" s="584">
        <f t="shared" si="107"/>
        <v>169396673</v>
      </c>
      <c r="V70" s="584">
        <f t="shared" si="107"/>
        <v>-5153400</v>
      </c>
      <c r="W70" s="584">
        <f t="shared" si="107"/>
        <v>164243273</v>
      </c>
    </row>
    <row r="71" spans="1:23" ht="26.25" customHeight="1" x14ac:dyDescent="0.25">
      <c r="A71" s="219" t="s">
        <v>820</v>
      </c>
      <c r="B71" s="467" t="s">
        <v>821</v>
      </c>
      <c r="C71" s="21">
        <f t="shared" ref="C71:M71" si="108">C72+C77+C92+C119</f>
        <v>181475833</v>
      </c>
      <c r="D71" s="21">
        <f t="shared" si="108"/>
        <v>0</v>
      </c>
      <c r="E71" s="21">
        <f t="shared" si="108"/>
        <v>0</v>
      </c>
      <c r="F71" s="21">
        <f t="shared" si="108"/>
        <v>4802500</v>
      </c>
      <c r="G71" s="21">
        <f t="shared" si="108"/>
        <v>186278333</v>
      </c>
      <c r="H71" s="21">
        <f t="shared" si="108"/>
        <v>-4115019</v>
      </c>
      <c r="I71" s="21">
        <f t="shared" si="108"/>
        <v>182163314</v>
      </c>
      <c r="J71" s="21">
        <f t="shared" si="108"/>
        <v>-2547950</v>
      </c>
      <c r="K71" s="21">
        <f t="shared" si="108"/>
        <v>179615364</v>
      </c>
      <c r="L71" s="21">
        <f t="shared" si="108"/>
        <v>16088001.16</v>
      </c>
      <c r="M71" s="21">
        <f t="shared" si="108"/>
        <v>195703365.16</v>
      </c>
      <c r="N71" s="580"/>
      <c r="O71" s="580"/>
      <c r="R71" s="21">
        <f t="shared" ref="R71:W71" si="109">R72+R77+R92+R119</f>
        <v>173917680</v>
      </c>
      <c r="S71" s="21">
        <f t="shared" si="109"/>
        <v>-5599900</v>
      </c>
      <c r="T71" s="21">
        <f t="shared" si="109"/>
        <v>168317780</v>
      </c>
      <c r="U71" s="21">
        <f t="shared" si="109"/>
        <v>169396673</v>
      </c>
      <c r="V71" s="21">
        <f t="shared" si="109"/>
        <v>-5153400</v>
      </c>
      <c r="W71" s="21">
        <f t="shared" si="109"/>
        <v>164243273</v>
      </c>
    </row>
    <row r="72" spans="1:23" s="590" customFormat="1" ht="26.25" customHeight="1" x14ac:dyDescent="0.25">
      <c r="A72" s="16" t="s">
        <v>822</v>
      </c>
      <c r="B72" s="468" t="s">
        <v>823</v>
      </c>
      <c r="C72" s="584">
        <f>C73+C75</f>
        <v>42807000</v>
      </c>
      <c r="D72" s="584"/>
      <c r="E72" s="584"/>
      <c r="F72" s="584">
        <f>F73+F75</f>
        <v>0</v>
      </c>
      <c r="G72" s="584">
        <f>G73+G75</f>
        <v>42807000</v>
      </c>
      <c r="H72" s="584">
        <f t="shared" ref="H72:M72" si="110">H73+H75</f>
        <v>-4080700</v>
      </c>
      <c r="I72" s="584">
        <f t="shared" si="110"/>
        <v>38726300</v>
      </c>
      <c r="J72" s="584">
        <f t="shared" si="110"/>
        <v>10000</v>
      </c>
      <c r="K72" s="584">
        <f t="shared" si="110"/>
        <v>38736300</v>
      </c>
      <c r="L72" s="584">
        <f t="shared" si="110"/>
        <v>1176182</v>
      </c>
      <c r="M72" s="584">
        <f t="shared" si="110"/>
        <v>39912482</v>
      </c>
      <c r="N72" s="585"/>
      <c r="O72" s="585"/>
      <c r="R72" s="584">
        <f>R73+R75</f>
        <v>43210000</v>
      </c>
      <c r="S72" s="584">
        <f>S73+S75</f>
        <v>-4321000</v>
      </c>
      <c r="T72" s="584">
        <f t="shared" ref="T72:W72" si="111">T73+T75</f>
        <v>38889000</v>
      </c>
      <c r="U72" s="584">
        <f t="shared" si="111"/>
        <v>42695000</v>
      </c>
      <c r="V72" s="584">
        <f t="shared" si="111"/>
        <v>-4269500</v>
      </c>
      <c r="W72" s="584">
        <f t="shared" si="111"/>
        <v>38425500</v>
      </c>
    </row>
    <row r="73" spans="1:23" ht="24" customHeight="1" x14ac:dyDescent="0.25">
      <c r="A73" s="219" t="s">
        <v>824</v>
      </c>
      <c r="B73" s="467" t="s">
        <v>187</v>
      </c>
      <c r="C73" s="21">
        <f>C74</f>
        <v>25898000</v>
      </c>
      <c r="D73" s="21"/>
      <c r="E73" s="21"/>
      <c r="F73" s="21">
        <f>F74</f>
        <v>0</v>
      </c>
      <c r="G73" s="21">
        <f>G74</f>
        <v>25898000</v>
      </c>
      <c r="H73" s="21">
        <f t="shared" ref="H73:M73" si="112">H74</f>
        <v>-2589800</v>
      </c>
      <c r="I73" s="21">
        <f t="shared" si="112"/>
        <v>23308200</v>
      </c>
      <c r="J73" s="21">
        <f t="shared" si="112"/>
        <v>0</v>
      </c>
      <c r="K73" s="21">
        <f t="shared" si="112"/>
        <v>23308200</v>
      </c>
      <c r="L73" s="21">
        <f t="shared" si="112"/>
        <v>0</v>
      </c>
      <c r="M73" s="21">
        <f t="shared" si="112"/>
        <v>23308200</v>
      </c>
      <c r="N73" s="580"/>
      <c r="O73" s="580"/>
      <c r="R73" s="21">
        <f>R74</f>
        <v>29582000</v>
      </c>
      <c r="S73" s="21">
        <f>S74</f>
        <v>-2958200</v>
      </c>
      <c r="T73" s="21">
        <f t="shared" si="93"/>
        <v>26623800</v>
      </c>
      <c r="U73" s="21">
        <f>U74</f>
        <v>34165000</v>
      </c>
      <c r="V73" s="21">
        <f>V74</f>
        <v>-3416500</v>
      </c>
      <c r="W73" s="21">
        <f t="shared" si="11"/>
        <v>30748500</v>
      </c>
    </row>
    <row r="74" spans="1:23" ht="27" customHeight="1" x14ac:dyDescent="0.25">
      <c r="A74" s="219" t="s">
        <v>188</v>
      </c>
      <c r="B74" s="467" t="s">
        <v>189</v>
      </c>
      <c r="C74" s="21">
        <v>25898000</v>
      </c>
      <c r="D74" s="21"/>
      <c r="E74" s="21"/>
      <c r="F74" s="21"/>
      <c r="G74" s="21">
        <f t="shared" si="10"/>
        <v>25898000</v>
      </c>
      <c r="H74" s="21">
        <v>-2589800</v>
      </c>
      <c r="I74" s="21">
        <f t="shared" si="12"/>
        <v>23308200</v>
      </c>
      <c r="J74" s="21"/>
      <c r="K74" s="21">
        <f t="shared" ref="K74" si="113">I74+J74</f>
        <v>23308200</v>
      </c>
      <c r="L74" s="21"/>
      <c r="M74" s="21">
        <f t="shared" ref="M74" si="114">K74+L74</f>
        <v>23308200</v>
      </c>
      <c r="N74" s="580"/>
      <c r="O74" s="580"/>
      <c r="R74" s="21">
        <v>29582000</v>
      </c>
      <c r="S74" s="21">
        <v>-2958200</v>
      </c>
      <c r="T74" s="21">
        <f t="shared" si="93"/>
        <v>26623800</v>
      </c>
      <c r="U74" s="21">
        <v>34165000</v>
      </c>
      <c r="V74" s="21">
        <v>-3416500</v>
      </c>
      <c r="W74" s="21">
        <f t="shared" si="11"/>
        <v>30748500</v>
      </c>
    </row>
    <row r="75" spans="1:23" ht="24.75" customHeight="1" x14ac:dyDescent="0.25">
      <c r="A75" s="219" t="s">
        <v>825</v>
      </c>
      <c r="B75" s="467" t="s">
        <v>826</v>
      </c>
      <c r="C75" s="21">
        <f>C76</f>
        <v>16909000</v>
      </c>
      <c r="D75" s="21"/>
      <c r="E75" s="21"/>
      <c r="F75" s="21">
        <f>F76</f>
        <v>0</v>
      </c>
      <c r="G75" s="21">
        <f>G76</f>
        <v>16909000</v>
      </c>
      <c r="H75" s="21">
        <f t="shared" ref="H75:M75" si="115">H76</f>
        <v>-1490900</v>
      </c>
      <c r="I75" s="21">
        <f t="shared" si="115"/>
        <v>15418100</v>
      </c>
      <c r="J75" s="21">
        <f t="shared" si="115"/>
        <v>10000</v>
      </c>
      <c r="K75" s="21">
        <f t="shared" si="115"/>
        <v>15428100</v>
      </c>
      <c r="L75" s="21">
        <f t="shared" si="115"/>
        <v>1176182</v>
      </c>
      <c r="M75" s="21">
        <f t="shared" si="115"/>
        <v>16604282</v>
      </c>
      <c r="N75" s="580"/>
      <c r="O75" s="580"/>
      <c r="R75" s="21">
        <f>R76</f>
        <v>13628000</v>
      </c>
      <c r="S75" s="21">
        <f>S76</f>
        <v>-1362800</v>
      </c>
      <c r="T75" s="21">
        <f t="shared" si="93"/>
        <v>12265200</v>
      </c>
      <c r="U75" s="21">
        <f>U76</f>
        <v>8530000</v>
      </c>
      <c r="V75" s="21">
        <f>V76</f>
        <v>-853000</v>
      </c>
      <c r="W75" s="21">
        <f t="shared" si="11"/>
        <v>7677000</v>
      </c>
    </row>
    <row r="76" spans="1:23" ht="24.75" customHeight="1" x14ac:dyDescent="0.25">
      <c r="A76" s="219" t="s">
        <v>190</v>
      </c>
      <c r="B76" s="467" t="s">
        <v>191</v>
      </c>
      <c r="C76" s="21">
        <v>16909000</v>
      </c>
      <c r="D76" s="21"/>
      <c r="E76" s="21"/>
      <c r="F76" s="21"/>
      <c r="G76" s="21">
        <f t="shared" si="10"/>
        <v>16909000</v>
      </c>
      <c r="H76" s="21">
        <f>-1690900+200000</f>
        <v>-1490900</v>
      </c>
      <c r="I76" s="21">
        <f t="shared" si="12"/>
        <v>15418100</v>
      </c>
      <c r="J76" s="21">
        <v>10000</v>
      </c>
      <c r="K76" s="21">
        <f t="shared" ref="K76" si="116">I76+J76</f>
        <v>15428100</v>
      </c>
      <c r="L76" s="21">
        <v>1176182</v>
      </c>
      <c r="M76" s="21">
        <f t="shared" ref="M76" si="117">K76+L76</f>
        <v>16604282</v>
      </c>
      <c r="N76" s="580"/>
      <c r="O76" s="580"/>
      <c r="R76" s="21">
        <v>13628000</v>
      </c>
      <c r="S76" s="21">
        <v>-1362800</v>
      </c>
      <c r="T76" s="21">
        <f t="shared" si="93"/>
        <v>12265200</v>
      </c>
      <c r="U76" s="21">
        <v>8530000</v>
      </c>
      <c r="V76" s="21">
        <f>-853000</f>
        <v>-853000</v>
      </c>
      <c r="W76" s="21">
        <f t="shared" ref="W76:W126" si="118">U76+V76</f>
        <v>7677000</v>
      </c>
    </row>
    <row r="77" spans="1:23" ht="28.5" customHeight="1" x14ac:dyDescent="0.25">
      <c r="A77" s="591" t="s">
        <v>827</v>
      </c>
      <c r="B77" s="592" t="s">
        <v>828</v>
      </c>
      <c r="C77" s="584">
        <f>C82</f>
        <v>0</v>
      </c>
      <c r="D77" s="584">
        <f t="shared" ref="D77:F77" si="119">D82</f>
        <v>0</v>
      </c>
      <c r="E77" s="584">
        <f t="shared" si="119"/>
        <v>0</v>
      </c>
      <c r="F77" s="584">
        <f t="shared" si="119"/>
        <v>4802500</v>
      </c>
      <c r="G77" s="584">
        <f>G82+G88</f>
        <v>4802500</v>
      </c>
      <c r="H77" s="584">
        <f>H82+H88</f>
        <v>808050</v>
      </c>
      <c r="I77" s="584">
        <f>I82+I88</f>
        <v>5610550</v>
      </c>
      <c r="J77" s="584">
        <f>J82+J88</f>
        <v>-3770000</v>
      </c>
      <c r="K77" s="584">
        <f>K78+K80+K82+K88</f>
        <v>1840550</v>
      </c>
      <c r="L77" s="584">
        <f t="shared" ref="L77:M77" si="120">L78+L80+L82+L88</f>
        <v>14605820</v>
      </c>
      <c r="M77" s="584">
        <f t="shared" si="120"/>
        <v>16446370</v>
      </c>
      <c r="N77" s="585"/>
      <c r="O77" s="585"/>
      <c r="R77" s="584">
        <f>R82</f>
        <v>0</v>
      </c>
      <c r="S77" s="584">
        <f t="shared" ref="S77:W77" si="121">S82</f>
        <v>0</v>
      </c>
      <c r="T77" s="584">
        <f t="shared" si="121"/>
        <v>0</v>
      </c>
      <c r="U77" s="584">
        <f t="shared" si="121"/>
        <v>0</v>
      </c>
      <c r="V77" s="584">
        <f t="shared" si="121"/>
        <v>0</v>
      </c>
      <c r="W77" s="584">
        <f t="shared" si="121"/>
        <v>0</v>
      </c>
    </row>
    <row r="78" spans="1:23" ht="26.25" customHeight="1" x14ac:dyDescent="0.25">
      <c r="A78" s="466" t="s">
        <v>829</v>
      </c>
      <c r="B78" s="469" t="s">
        <v>830</v>
      </c>
      <c r="C78" s="21"/>
      <c r="D78" s="21"/>
      <c r="E78" s="21"/>
      <c r="F78" s="21"/>
      <c r="G78" s="21"/>
      <c r="H78" s="21"/>
      <c r="I78" s="21"/>
      <c r="J78" s="21"/>
      <c r="K78" s="21">
        <f>K79</f>
        <v>0</v>
      </c>
      <c r="L78" s="21">
        <f t="shared" ref="L78:M78" si="122">L79</f>
        <v>2136420</v>
      </c>
      <c r="M78" s="21">
        <f t="shared" si="122"/>
        <v>2136420</v>
      </c>
      <c r="N78" s="580"/>
      <c r="O78" s="580"/>
      <c r="R78" s="21"/>
      <c r="S78" s="21"/>
      <c r="T78" s="21">
        <f t="shared" si="93"/>
        <v>0</v>
      </c>
      <c r="U78" s="21"/>
      <c r="V78" s="21"/>
      <c r="W78" s="21">
        <f t="shared" si="118"/>
        <v>0</v>
      </c>
    </row>
    <row r="79" spans="1:23" ht="24.75" customHeight="1" x14ac:dyDescent="0.25">
      <c r="A79" s="466" t="s">
        <v>359</v>
      </c>
      <c r="B79" s="469" t="s">
        <v>831</v>
      </c>
      <c r="C79" s="21"/>
      <c r="D79" s="21"/>
      <c r="E79" s="21"/>
      <c r="F79" s="21"/>
      <c r="G79" s="21"/>
      <c r="H79" s="21"/>
      <c r="I79" s="21"/>
      <c r="J79" s="21"/>
      <c r="K79" s="21"/>
      <c r="L79" s="21">
        <v>2136420</v>
      </c>
      <c r="M79" s="21">
        <f>K79+L79</f>
        <v>2136420</v>
      </c>
      <c r="N79" s="580"/>
      <c r="O79" s="580"/>
      <c r="R79" s="21"/>
      <c r="S79" s="21"/>
      <c r="T79" s="21">
        <f t="shared" si="93"/>
        <v>0</v>
      </c>
      <c r="U79" s="21"/>
      <c r="V79" s="21"/>
      <c r="W79" s="21">
        <f t="shared" si="118"/>
        <v>0</v>
      </c>
    </row>
    <row r="80" spans="1:23" ht="24.75" hidden="1" customHeight="1" x14ac:dyDescent="0.25">
      <c r="A80" s="466" t="s">
        <v>832</v>
      </c>
      <c r="B80" s="469" t="s">
        <v>833</v>
      </c>
      <c r="C80" s="21"/>
      <c r="D80" s="21"/>
      <c r="E80" s="21"/>
      <c r="F80" s="21"/>
      <c r="G80" s="21"/>
      <c r="H80" s="21"/>
      <c r="I80" s="21"/>
      <c r="J80" s="21"/>
      <c r="K80" s="21"/>
      <c r="L80" s="21"/>
      <c r="M80" s="21"/>
      <c r="N80" s="580"/>
      <c r="O80" s="580"/>
      <c r="R80" s="21"/>
      <c r="S80" s="21"/>
      <c r="T80" s="21">
        <f t="shared" si="93"/>
        <v>0</v>
      </c>
      <c r="U80" s="21"/>
      <c r="V80" s="21"/>
      <c r="W80" s="21">
        <f t="shared" si="118"/>
        <v>0</v>
      </c>
    </row>
    <row r="81" spans="1:23" ht="24.75" hidden="1" customHeight="1" x14ac:dyDescent="0.25">
      <c r="A81" s="466" t="s">
        <v>361</v>
      </c>
      <c r="B81" s="469" t="s">
        <v>362</v>
      </c>
      <c r="C81" s="21"/>
      <c r="D81" s="21"/>
      <c r="E81" s="21"/>
      <c r="F81" s="21"/>
      <c r="G81" s="21"/>
      <c r="H81" s="21"/>
      <c r="I81" s="21"/>
      <c r="J81" s="21"/>
      <c r="K81" s="21"/>
      <c r="L81" s="21"/>
      <c r="M81" s="21"/>
      <c r="N81" s="580"/>
      <c r="O81" s="580"/>
      <c r="R81" s="21"/>
      <c r="S81" s="21"/>
      <c r="T81" s="21">
        <f t="shared" si="93"/>
        <v>0</v>
      </c>
      <c r="U81" s="21"/>
      <c r="V81" s="21"/>
      <c r="W81" s="21">
        <f t="shared" si="118"/>
        <v>0</v>
      </c>
    </row>
    <row r="82" spans="1:23" ht="42" customHeight="1" x14ac:dyDescent="0.25">
      <c r="A82" s="466" t="s">
        <v>834</v>
      </c>
      <c r="B82" s="469" t="s">
        <v>835</v>
      </c>
      <c r="C82" s="21">
        <f>C83</f>
        <v>0</v>
      </c>
      <c r="D82" s="21">
        <f t="shared" ref="D82:M82" si="123">D83</f>
        <v>0</v>
      </c>
      <c r="E82" s="21">
        <f t="shared" si="123"/>
        <v>0</v>
      </c>
      <c r="F82" s="21">
        <f t="shared" si="123"/>
        <v>4802500</v>
      </c>
      <c r="G82" s="21">
        <f t="shared" si="123"/>
        <v>4802500</v>
      </c>
      <c r="H82" s="21">
        <f t="shared" si="123"/>
        <v>0</v>
      </c>
      <c r="I82" s="21">
        <f t="shared" si="123"/>
        <v>4802500</v>
      </c>
      <c r="J82" s="21">
        <f t="shared" si="123"/>
        <v>-4017500</v>
      </c>
      <c r="K82" s="21">
        <f t="shared" si="123"/>
        <v>785000</v>
      </c>
      <c r="L82" s="21">
        <f t="shared" si="123"/>
        <v>12469400</v>
      </c>
      <c r="M82" s="21">
        <f t="shared" si="123"/>
        <v>13254400</v>
      </c>
      <c r="N82" s="580"/>
      <c r="O82" s="580"/>
      <c r="R82" s="21">
        <f>R83</f>
        <v>0</v>
      </c>
      <c r="S82" s="21">
        <f t="shared" ref="S82" si="124">S83</f>
        <v>0</v>
      </c>
      <c r="T82" s="21">
        <f t="shared" si="93"/>
        <v>0</v>
      </c>
      <c r="U82" s="21">
        <f>U83</f>
        <v>0</v>
      </c>
      <c r="V82" s="21">
        <f t="shared" ref="V82" si="125">V83</f>
        <v>0</v>
      </c>
      <c r="W82" s="21">
        <f t="shared" si="118"/>
        <v>0</v>
      </c>
    </row>
    <row r="83" spans="1:23" ht="38.25" customHeight="1" x14ac:dyDescent="0.25">
      <c r="A83" s="466" t="s">
        <v>363</v>
      </c>
      <c r="B83" s="469" t="s">
        <v>836</v>
      </c>
      <c r="C83" s="21">
        <f>C84+C85</f>
        <v>0</v>
      </c>
      <c r="D83" s="21">
        <f t="shared" ref="D83:J83" si="126">D84+D85</f>
        <v>0</v>
      </c>
      <c r="E83" s="21">
        <f t="shared" si="126"/>
        <v>0</v>
      </c>
      <c r="F83" s="21">
        <f t="shared" si="126"/>
        <v>4802500</v>
      </c>
      <c r="G83" s="21">
        <f t="shared" si="126"/>
        <v>4802500</v>
      </c>
      <c r="H83" s="21">
        <f t="shared" si="126"/>
        <v>0</v>
      </c>
      <c r="I83" s="21">
        <f t="shared" si="126"/>
        <v>4802500</v>
      </c>
      <c r="J83" s="21">
        <f t="shared" si="126"/>
        <v>-4017500</v>
      </c>
      <c r="K83" s="21">
        <f>K84+K85+K86+K87</f>
        <v>785000</v>
      </c>
      <c r="L83" s="21">
        <f t="shared" ref="L83:M83" si="127">L84+L85+L86+L87</f>
        <v>12469400</v>
      </c>
      <c r="M83" s="21">
        <f t="shared" si="127"/>
        <v>13254400</v>
      </c>
      <c r="N83" s="580"/>
      <c r="O83" s="580"/>
      <c r="R83" s="21">
        <f>R84+R85</f>
        <v>0</v>
      </c>
      <c r="S83" s="21">
        <f t="shared" ref="S83" si="128">S84+S85</f>
        <v>0</v>
      </c>
      <c r="T83" s="21">
        <f t="shared" si="93"/>
        <v>0</v>
      </c>
      <c r="U83" s="21">
        <f>U84+U85</f>
        <v>0</v>
      </c>
      <c r="V83" s="21">
        <f t="shared" ref="V83" si="129">V84+V85</f>
        <v>0</v>
      </c>
      <c r="W83" s="21">
        <f t="shared" si="118"/>
        <v>0</v>
      </c>
    </row>
    <row r="84" spans="1:23" ht="18" customHeight="1" x14ac:dyDescent="0.25">
      <c r="A84" s="466"/>
      <c r="B84" s="469" t="s">
        <v>837</v>
      </c>
      <c r="C84" s="21"/>
      <c r="D84" s="21"/>
      <c r="E84" s="21"/>
      <c r="F84" s="21">
        <v>4517500</v>
      </c>
      <c r="G84" s="21">
        <f>C84+F84</f>
        <v>4517500</v>
      </c>
      <c r="H84" s="21"/>
      <c r="I84" s="21">
        <f t="shared" ref="I84:I127" si="130">G84+H84</f>
        <v>4517500</v>
      </c>
      <c r="J84" s="21">
        <v>-4017500</v>
      </c>
      <c r="K84" s="21">
        <f t="shared" ref="K84:K85" si="131">I84+J84</f>
        <v>500000</v>
      </c>
      <c r="L84" s="21">
        <v>11500000</v>
      </c>
      <c r="M84" s="21">
        <f t="shared" ref="M84:M87" si="132">K84+L84</f>
        <v>12000000</v>
      </c>
      <c r="N84" s="580"/>
      <c r="O84" s="580"/>
      <c r="R84" s="21"/>
      <c r="S84" s="21"/>
      <c r="T84" s="21">
        <f t="shared" si="93"/>
        <v>0</v>
      </c>
      <c r="U84" s="21"/>
      <c r="V84" s="21"/>
      <c r="W84" s="21">
        <f t="shared" si="118"/>
        <v>0</v>
      </c>
    </row>
    <row r="85" spans="1:23" ht="29.25" customHeight="1" x14ac:dyDescent="0.25">
      <c r="A85" s="466"/>
      <c r="B85" s="469" t="s">
        <v>838</v>
      </c>
      <c r="C85" s="21"/>
      <c r="D85" s="21"/>
      <c r="E85" s="21"/>
      <c r="F85" s="21">
        <v>285000</v>
      </c>
      <c r="G85" s="21">
        <f>C85+F85</f>
        <v>285000</v>
      </c>
      <c r="H85" s="21"/>
      <c r="I85" s="21">
        <f t="shared" si="130"/>
        <v>285000</v>
      </c>
      <c r="J85" s="21"/>
      <c r="K85" s="21">
        <f t="shared" si="131"/>
        <v>285000</v>
      </c>
      <c r="L85" s="21"/>
      <c r="M85" s="21">
        <f t="shared" si="132"/>
        <v>285000</v>
      </c>
      <c r="N85" s="580"/>
      <c r="O85" s="580"/>
      <c r="R85" s="21"/>
      <c r="S85" s="21"/>
      <c r="T85" s="21">
        <f t="shared" si="93"/>
        <v>0</v>
      </c>
      <c r="U85" s="21"/>
      <c r="V85" s="21"/>
      <c r="W85" s="21">
        <f t="shared" si="118"/>
        <v>0</v>
      </c>
    </row>
    <row r="86" spans="1:23" ht="54" customHeight="1" x14ac:dyDescent="0.25">
      <c r="A86" s="466"/>
      <c r="B86" s="469" t="s">
        <v>839</v>
      </c>
      <c r="C86" s="21"/>
      <c r="D86" s="21"/>
      <c r="E86" s="21"/>
      <c r="F86" s="21"/>
      <c r="G86" s="21"/>
      <c r="H86" s="21"/>
      <c r="I86" s="21"/>
      <c r="J86" s="21"/>
      <c r="K86" s="21"/>
      <c r="L86" s="21">
        <v>969400</v>
      </c>
      <c r="M86" s="21">
        <f t="shared" si="132"/>
        <v>969400</v>
      </c>
      <c r="N86" s="580"/>
      <c r="O86" s="580"/>
      <c r="R86" s="21"/>
      <c r="S86" s="21"/>
      <c r="T86" s="21"/>
      <c r="U86" s="21"/>
      <c r="V86" s="21"/>
      <c r="W86" s="21"/>
    </row>
    <row r="87" spans="1:23" ht="29.25" hidden="1" customHeight="1" x14ac:dyDescent="0.25">
      <c r="A87" s="466"/>
      <c r="B87" s="469"/>
      <c r="C87" s="21"/>
      <c r="D87" s="21"/>
      <c r="E87" s="21"/>
      <c r="F87" s="21"/>
      <c r="G87" s="21"/>
      <c r="H87" s="21"/>
      <c r="I87" s="21"/>
      <c r="J87" s="21"/>
      <c r="K87" s="21"/>
      <c r="L87" s="21"/>
      <c r="M87" s="21">
        <f t="shared" si="132"/>
        <v>0</v>
      </c>
      <c r="N87" s="580"/>
      <c r="O87" s="580"/>
      <c r="R87" s="21"/>
      <c r="S87" s="21"/>
      <c r="T87" s="21"/>
      <c r="U87" s="21"/>
      <c r="V87" s="21"/>
      <c r="W87" s="21"/>
    </row>
    <row r="88" spans="1:23" ht="16.5" customHeight="1" x14ac:dyDescent="0.25">
      <c r="A88" s="219" t="s">
        <v>840</v>
      </c>
      <c r="B88" s="469" t="s">
        <v>841</v>
      </c>
      <c r="C88" s="21"/>
      <c r="D88" s="21"/>
      <c r="E88" s="21"/>
      <c r="F88" s="21"/>
      <c r="G88" s="21">
        <f>G89</f>
        <v>0</v>
      </c>
      <c r="H88" s="21">
        <f t="shared" ref="H88:M88" si="133">H89</f>
        <v>808050</v>
      </c>
      <c r="I88" s="21">
        <f t="shared" si="133"/>
        <v>808050</v>
      </c>
      <c r="J88" s="21">
        <f t="shared" si="133"/>
        <v>247500</v>
      </c>
      <c r="K88" s="21">
        <f t="shared" si="133"/>
        <v>1055550</v>
      </c>
      <c r="L88" s="21">
        <f t="shared" si="133"/>
        <v>0</v>
      </c>
      <c r="M88" s="21">
        <f t="shared" si="133"/>
        <v>1055550</v>
      </c>
      <c r="N88" s="580"/>
      <c r="O88" s="580"/>
      <c r="R88" s="21"/>
      <c r="S88" s="21"/>
      <c r="T88" s="21"/>
      <c r="U88" s="21"/>
      <c r="V88" s="21"/>
      <c r="W88" s="21"/>
    </row>
    <row r="89" spans="1:23" ht="16.5" customHeight="1" x14ac:dyDescent="0.25">
      <c r="A89" s="219" t="s">
        <v>367</v>
      </c>
      <c r="B89" s="469" t="s">
        <v>368</v>
      </c>
      <c r="C89" s="21"/>
      <c r="D89" s="21"/>
      <c r="E89" s="21"/>
      <c r="F89" s="21"/>
      <c r="G89" s="21">
        <f>G90+G91</f>
        <v>0</v>
      </c>
      <c r="H89" s="21">
        <f t="shared" ref="H89:M89" si="134">H90+H91</f>
        <v>808050</v>
      </c>
      <c r="I89" s="21">
        <f t="shared" si="134"/>
        <v>808050</v>
      </c>
      <c r="J89" s="21">
        <f t="shared" si="134"/>
        <v>247500</v>
      </c>
      <c r="K89" s="21">
        <f t="shared" si="134"/>
        <v>1055550</v>
      </c>
      <c r="L89" s="21">
        <f t="shared" si="134"/>
        <v>0</v>
      </c>
      <c r="M89" s="21">
        <f t="shared" si="134"/>
        <v>1055550</v>
      </c>
      <c r="N89" s="580"/>
      <c r="O89" s="580"/>
      <c r="R89" s="21"/>
      <c r="S89" s="21"/>
      <c r="T89" s="21"/>
      <c r="U89" s="21"/>
      <c r="V89" s="21"/>
      <c r="W89" s="21"/>
    </row>
    <row r="90" spans="1:23" ht="29.25" customHeight="1" x14ac:dyDescent="0.25">
      <c r="A90" s="466"/>
      <c r="B90" s="469" t="s">
        <v>842</v>
      </c>
      <c r="C90" s="21"/>
      <c r="D90" s="21"/>
      <c r="E90" s="21"/>
      <c r="F90" s="21"/>
      <c r="G90" s="21"/>
      <c r="H90" s="21">
        <v>808050</v>
      </c>
      <c r="I90" s="21">
        <f>G90+H90</f>
        <v>808050</v>
      </c>
      <c r="J90" s="21"/>
      <c r="K90" s="21">
        <f>I90+J90</f>
        <v>808050</v>
      </c>
      <c r="L90" s="21"/>
      <c r="M90" s="21">
        <f>K90+L90</f>
        <v>808050</v>
      </c>
      <c r="N90" s="580"/>
      <c r="O90" s="580"/>
      <c r="R90" s="21"/>
      <c r="S90" s="21"/>
      <c r="T90" s="21">
        <f t="shared" si="93"/>
        <v>0</v>
      </c>
      <c r="U90" s="21"/>
      <c r="V90" s="21"/>
      <c r="W90" s="21">
        <f t="shared" si="118"/>
        <v>0</v>
      </c>
    </row>
    <row r="91" spans="1:23" ht="25.5" customHeight="1" x14ac:dyDescent="0.25">
      <c r="A91" s="466"/>
      <c r="B91" s="469" t="s">
        <v>843</v>
      </c>
      <c r="C91" s="21"/>
      <c r="D91" s="21"/>
      <c r="E91" s="21"/>
      <c r="F91" s="21"/>
      <c r="G91" s="21"/>
      <c r="H91" s="21"/>
      <c r="I91" s="21"/>
      <c r="J91" s="21">
        <v>247500</v>
      </c>
      <c r="K91" s="21">
        <f>I91+J91</f>
        <v>247500</v>
      </c>
      <c r="L91" s="21"/>
      <c r="M91" s="21">
        <f>K91+L91</f>
        <v>247500</v>
      </c>
      <c r="N91" s="580"/>
      <c r="O91" s="580"/>
      <c r="R91" s="21"/>
      <c r="S91" s="21"/>
      <c r="T91" s="21"/>
      <c r="U91" s="21"/>
      <c r="V91" s="21"/>
      <c r="W91" s="21"/>
    </row>
    <row r="92" spans="1:23" s="590" customFormat="1" ht="24" customHeight="1" x14ac:dyDescent="0.25">
      <c r="A92" s="16" t="s">
        <v>844</v>
      </c>
      <c r="B92" s="468" t="s">
        <v>845</v>
      </c>
      <c r="C92" s="584">
        <f>C93+C95+C97+C99 +C115+C117</f>
        <v>126127131</v>
      </c>
      <c r="D92" s="584"/>
      <c r="E92" s="584"/>
      <c r="F92" s="584">
        <f t="shared" ref="F92:M92" si="135">F93+F95+F97+F99 +F115+F117</f>
        <v>0</v>
      </c>
      <c r="G92" s="584">
        <f t="shared" si="135"/>
        <v>126127131</v>
      </c>
      <c r="H92" s="584">
        <f t="shared" si="135"/>
        <v>-802670</v>
      </c>
      <c r="I92" s="584">
        <f t="shared" si="135"/>
        <v>125324461</v>
      </c>
      <c r="J92" s="584">
        <f t="shared" si="135"/>
        <v>0</v>
      </c>
      <c r="K92" s="584">
        <f t="shared" si="135"/>
        <v>125324461</v>
      </c>
      <c r="L92" s="584">
        <f t="shared" si="135"/>
        <v>44677.91</v>
      </c>
      <c r="M92" s="584">
        <f t="shared" si="135"/>
        <v>125369138.91</v>
      </c>
      <c r="N92" s="585"/>
      <c r="O92" s="585"/>
      <c r="R92" s="584">
        <f>R93+R95+R97+R99 +R115+R117</f>
        <v>130273538</v>
      </c>
      <c r="S92" s="584">
        <f t="shared" ref="S92:W92" si="136">S93+S95+S97+S99 +S115+S117</f>
        <v>-1278900</v>
      </c>
      <c r="T92" s="584">
        <f t="shared" si="136"/>
        <v>128994638</v>
      </c>
      <c r="U92" s="584">
        <f t="shared" si="136"/>
        <v>126286726</v>
      </c>
      <c r="V92" s="584">
        <f t="shared" si="136"/>
        <v>-883900</v>
      </c>
      <c r="W92" s="584">
        <f t="shared" si="136"/>
        <v>125402826</v>
      </c>
    </row>
    <row r="93" spans="1:23" s="590" customFormat="1" ht="36" hidden="1" customHeight="1" x14ac:dyDescent="0.25">
      <c r="A93" s="219" t="s">
        <v>846</v>
      </c>
      <c r="B93" s="565" t="s">
        <v>847</v>
      </c>
      <c r="C93" s="21">
        <f>C94</f>
        <v>0</v>
      </c>
      <c r="D93" s="21"/>
      <c r="E93" s="21"/>
      <c r="F93" s="21">
        <f t="shared" ref="F93:M93" si="137">F94</f>
        <v>0</v>
      </c>
      <c r="G93" s="21">
        <f t="shared" si="137"/>
        <v>0</v>
      </c>
      <c r="H93" s="21">
        <f t="shared" si="137"/>
        <v>0</v>
      </c>
      <c r="I93" s="21">
        <f t="shared" si="137"/>
        <v>0</v>
      </c>
      <c r="J93" s="21">
        <f t="shared" si="137"/>
        <v>0</v>
      </c>
      <c r="K93" s="21">
        <f t="shared" si="137"/>
        <v>0</v>
      </c>
      <c r="L93" s="21">
        <f t="shared" si="137"/>
        <v>0</v>
      </c>
      <c r="M93" s="21">
        <f t="shared" si="137"/>
        <v>0</v>
      </c>
      <c r="N93" s="580"/>
      <c r="O93" s="580"/>
      <c r="R93" s="21">
        <f>R94</f>
        <v>0</v>
      </c>
      <c r="S93" s="21">
        <f t="shared" ref="S93" si="138">S94</f>
        <v>0</v>
      </c>
      <c r="T93" s="21">
        <f t="shared" si="93"/>
        <v>0</v>
      </c>
      <c r="U93" s="21">
        <f>U94</f>
        <v>5220</v>
      </c>
      <c r="V93" s="21">
        <f t="shared" ref="V93" si="139">V94</f>
        <v>0</v>
      </c>
      <c r="W93" s="21">
        <f t="shared" si="118"/>
        <v>5220</v>
      </c>
    </row>
    <row r="94" spans="1:23" s="590" customFormat="1" ht="39" hidden="1" customHeight="1" x14ac:dyDescent="0.25">
      <c r="A94" s="564" t="s">
        <v>371</v>
      </c>
      <c r="B94" s="467" t="s">
        <v>848</v>
      </c>
      <c r="C94" s="21"/>
      <c r="D94" s="21"/>
      <c r="E94" s="21"/>
      <c r="F94" s="21"/>
      <c r="G94" s="21">
        <f t="shared" si="10"/>
        <v>0</v>
      </c>
      <c r="H94" s="21"/>
      <c r="I94" s="21">
        <f t="shared" si="130"/>
        <v>0</v>
      </c>
      <c r="J94" s="21"/>
      <c r="K94" s="21">
        <f t="shared" ref="K94" si="140">I94+J94</f>
        <v>0</v>
      </c>
      <c r="L94" s="21"/>
      <c r="M94" s="21">
        <f t="shared" ref="M94" si="141">K94+L94</f>
        <v>0</v>
      </c>
      <c r="N94" s="580"/>
      <c r="O94" s="580"/>
      <c r="R94" s="21"/>
      <c r="S94" s="21"/>
      <c r="T94" s="21">
        <f t="shared" si="93"/>
        <v>0</v>
      </c>
      <c r="U94" s="21">
        <v>5220</v>
      </c>
      <c r="V94" s="21"/>
      <c r="W94" s="21">
        <f t="shared" si="118"/>
        <v>5220</v>
      </c>
    </row>
    <row r="95" spans="1:23" ht="27.75" customHeight="1" x14ac:dyDescent="0.25">
      <c r="A95" s="219" t="s">
        <v>849</v>
      </c>
      <c r="B95" s="467" t="s">
        <v>850</v>
      </c>
      <c r="C95" s="21">
        <f>C96</f>
        <v>800617</v>
      </c>
      <c r="D95" s="21"/>
      <c r="E95" s="21"/>
      <c r="F95" s="21">
        <f>F96</f>
        <v>0</v>
      </c>
      <c r="G95" s="21">
        <f>G96</f>
        <v>800617</v>
      </c>
      <c r="H95" s="21">
        <f t="shared" ref="H95:M95" si="142">H96</f>
        <v>-74105</v>
      </c>
      <c r="I95" s="21">
        <f t="shared" si="142"/>
        <v>726512</v>
      </c>
      <c r="J95" s="21">
        <f t="shared" si="142"/>
        <v>0</v>
      </c>
      <c r="K95" s="21">
        <f t="shared" si="142"/>
        <v>726512</v>
      </c>
      <c r="L95" s="21">
        <f t="shared" si="142"/>
        <v>0</v>
      </c>
      <c r="M95" s="21">
        <f t="shared" si="142"/>
        <v>726512</v>
      </c>
      <c r="N95" s="580"/>
      <c r="O95" s="580"/>
      <c r="R95" s="21">
        <f>R96</f>
        <v>810399</v>
      </c>
      <c r="S95" s="21">
        <f>S96</f>
        <v>0</v>
      </c>
      <c r="T95" s="21">
        <f t="shared" si="93"/>
        <v>810399</v>
      </c>
      <c r="U95" s="21">
        <f>U96</f>
        <v>774567</v>
      </c>
      <c r="V95" s="21">
        <f>V96</f>
        <v>0</v>
      </c>
      <c r="W95" s="21">
        <f t="shared" si="118"/>
        <v>774567</v>
      </c>
    </row>
    <row r="96" spans="1:23" ht="36.75" customHeight="1" x14ac:dyDescent="0.25">
      <c r="A96" s="219" t="s">
        <v>192</v>
      </c>
      <c r="B96" s="467" t="s">
        <v>193</v>
      </c>
      <c r="C96" s="21">
        <v>800617</v>
      </c>
      <c r="D96" s="21"/>
      <c r="E96" s="21"/>
      <c r="F96" s="21"/>
      <c r="G96" s="21">
        <f t="shared" ref="G96:G121" si="143">C96+F96</f>
        <v>800617</v>
      </c>
      <c r="H96" s="21">
        <v>-74105</v>
      </c>
      <c r="I96" s="21">
        <f t="shared" si="130"/>
        <v>726512</v>
      </c>
      <c r="J96" s="21"/>
      <c r="K96" s="21">
        <f t="shared" ref="K96" si="144">I96+J96</f>
        <v>726512</v>
      </c>
      <c r="L96" s="21"/>
      <c r="M96" s="21">
        <f t="shared" ref="M96" si="145">K96+L96</f>
        <v>726512</v>
      </c>
      <c r="N96" s="580"/>
      <c r="O96" s="580"/>
      <c r="R96" s="21">
        <v>810399</v>
      </c>
      <c r="S96" s="21"/>
      <c r="T96" s="21">
        <f t="shared" si="93"/>
        <v>810399</v>
      </c>
      <c r="U96" s="21">
        <v>774567</v>
      </c>
      <c r="V96" s="21"/>
      <c r="W96" s="21">
        <f t="shared" si="118"/>
        <v>774567</v>
      </c>
    </row>
    <row r="97" spans="1:23" ht="26.25" customHeight="1" x14ac:dyDescent="0.25">
      <c r="A97" s="219" t="s">
        <v>851</v>
      </c>
      <c r="B97" s="467" t="s">
        <v>852</v>
      </c>
      <c r="C97" s="21">
        <f>C98</f>
        <v>158000</v>
      </c>
      <c r="D97" s="21"/>
      <c r="E97" s="21"/>
      <c r="F97" s="21">
        <f>F98</f>
        <v>0</v>
      </c>
      <c r="G97" s="21">
        <f>G98</f>
        <v>158000</v>
      </c>
      <c r="H97" s="21">
        <f t="shared" ref="H97:M97" si="146">H98</f>
        <v>0</v>
      </c>
      <c r="I97" s="21">
        <f t="shared" si="146"/>
        <v>158000</v>
      </c>
      <c r="J97" s="21">
        <f t="shared" si="146"/>
        <v>0</v>
      </c>
      <c r="K97" s="21">
        <f t="shared" si="146"/>
        <v>158000</v>
      </c>
      <c r="L97" s="21">
        <f t="shared" si="146"/>
        <v>-34322.089999999997</v>
      </c>
      <c r="M97" s="21">
        <f t="shared" si="146"/>
        <v>123677.91</v>
      </c>
      <c r="N97" s="580"/>
      <c r="O97" s="580"/>
      <c r="R97" s="21">
        <f>R98</f>
        <v>210100</v>
      </c>
      <c r="S97" s="21">
        <f>S98</f>
        <v>0</v>
      </c>
      <c r="T97" s="21">
        <f t="shared" si="93"/>
        <v>210100</v>
      </c>
      <c r="U97" s="21">
        <f>U98</f>
        <v>203900</v>
      </c>
      <c r="V97" s="21">
        <f>V98</f>
        <v>0</v>
      </c>
      <c r="W97" s="21">
        <f t="shared" si="118"/>
        <v>203900</v>
      </c>
    </row>
    <row r="98" spans="1:23" ht="36.75" customHeight="1" x14ac:dyDescent="0.25">
      <c r="A98" s="219" t="s">
        <v>194</v>
      </c>
      <c r="B98" s="467" t="s">
        <v>195</v>
      </c>
      <c r="C98" s="21">
        <v>158000</v>
      </c>
      <c r="D98" s="21"/>
      <c r="E98" s="21"/>
      <c r="F98" s="21"/>
      <c r="G98" s="21">
        <f t="shared" si="143"/>
        <v>158000</v>
      </c>
      <c r="H98" s="21"/>
      <c r="I98" s="21">
        <f t="shared" si="130"/>
        <v>158000</v>
      </c>
      <c r="J98" s="21"/>
      <c r="K98" s="21">
        <f t="shared" ref="K98" si="147">I98+J98</f>
        <v>158000</v>
      </c>
      <c r="L98" s="21">
        <v>-34322.089999999997</v>
      </c>
      <c r="M98" s="21">
        <f t="shared" ref="M98" si="148">K98+L98</f>
        <v>123677.91</v>
      </c>
      <c r="N98" s="580"/>
      <c r="O98" s="580"/>
      <c r="R98" s="21">
        <v>210100</v>
      </c>
      <c r="S98" s="21"/>
      <c r="T98" s="21">
        <f t="shared" si="93"/>
        <v>210100</v>
      </c>
      <c r="U98" s="21">
        <v>203900</v>
      </c>
      <c r="V98" s="21"/>
      <c r="W98" s="21">
        <f t="shared" si="118"/>
        <v>203900</v>
      </c>
    </row>
    <row r="99" spans="1:23" ht="26.25" customHeight="1" x14ac:dyDescent="0.25">
      <c r="A99" s="219" t="s">
        <v>853</v>
      </c>
      <c r="B99" s="467" t="s">
        <v>854</v>
      </c>
      <c r="C99" s="21">
        <f>C100</f>
        <v>116320203</v>
      </c>
      <c r="D99" s="21"/>
      <c r="E99" s="21"/>
      <c r="F99" s="21">
        <f>F100</f>
        <v>0</v>
      </c>
      <c r="G99" s="21">
        <f>G100</f>
        <v>116320203</v>
      </c>
      <c r="H99" s="21">
        <f t="shared" ref="H99:M99" si="149">H100</f>
        <v>-978524</v>
      </c>
      <c r="I99" s="21">
        <f t="shared" si="149"/>
        <v>115341679</v>
      </c>
      <c r="J99" s="21">
        <f t="shared" si="149"/>
        <v>0</v>
      </c>
      <c r="K99" s="21">
        <f t="shared" si="149"/>
        <v>115341679</v>
      </c>
      <c r="L99" s="21">
        <f t="shared" si="149"/>
        <v>79000</v>
      </c>
      <c r="M99" s="21">
        <f t="shared" si="149"/>
        <v>115420679</v>
      </c>
      <c r="N99" s="580"/>
      <c r="O99" s="580"/>
      <c r="R99" s="21">
        <f>R100</f>
        <v>120594503</v>
      </c>
      <c r="S99" s="21">
        <f>S100</f>
        <v>-1278900</v>
      </c>
      <c r="T99" s="21">
        <f t="shared" si="93"/>
        <v>119315603</v>
      </c>
      <c r="U99" s="21">
        <f>U100</f>
        <v>116644503</v>
      </c>
      <c r="V99" s="21">
        <f>V100</f>
        <v>-883900</v>
      </c>
      <c r="W99" s="21">
        <f t="shared" si="118"/>
        <v>115760603</v>
      </c>
    </row>
    <row r="100" spans="1:23" ht="26.25" customHeight="1" x14ac:dyDescent="0.25">
      <c r="A100" s="219" t="s">
        <v>196</v>
      </c>
      <c r="B100" s="467" t="s">
        <v>197</v>
      </c>
      <c r="C100" s="21">
        <f>SUM(C101:C114)</f>
        <v>116320203</v>
      </c>
      <c r="D100" s="21"/>
      <c r="E100" s="21"/>
      <c r="F100" s="21">
        <f t="shared" ref="F100" si="150">SUM(F101:F114)</f>
        <v>0</v>
      </c>
      <c r="G100" s="21">
        <f t="shared" ref="G100" si="151">SUM(G101:G114)</f>
        <v>116320203</v>
      </c>
      <c r="H100" s="21">
        <f t="shared" ref="H100:M100" si="152">SUM(H101:H114)</f>
        <v>-978524</v>
      </c>
      <c r="I100" s="21">
        <f t="shared" si="152"/>
        <v>115341679</v>
      </c>
      <c r="J100" s="21">
        <f t="shared" si="152"/>
        <v>0</v>
      </c>
      <c r="K100" s="21">
        <f t="shared" si="152"/>
        <v>115341679</v>
      </c>
      <c r="L100" s="21">
        <f t="shared" si="152"/>
        <v>79000</v>
      </c>
      <c r="M100" s="21">
        <f t="shared" si="152"/>
        <v>115420679</v>
      </c>
      <c r="N100" s="580"/>
      <c r="O100" s="580"/>
      <c r="R100" s="21">
        <f>SUM(R101:R114)</f>
        <v>120594503</v>
      </c>
      <c r="S100" s="21">
        <f t="shared" ref="S100" si="153">SUM(S101:S114)</f>
        <v>-1278900</v>
      </c>
      <c r="T100" s="21">
        <f t="shared" si="93"/>
        <v>119315603</v>
      </c>
      <c r="U100" s="21">
        <f>SUM(U101:U114)</f>
        <v>116644503</v>
      </c>
      <c r="V100" s="21">
        <f t="shared" ref="V100" si="154">SUM(V101:V114)</f>
        <v>-883900</v>
      </c>
      <c r="W100" s="21">
        <f t="shared" si="118"/>
        <v>115760603</v>
      </c>
    </row>
    <row r="101" spans="1:23" ht="48.75" customHeight="1" x14ac:dyDescent="0.25">
      <c r="A101" s="219"/>
      <c r="B101" s="467" t="s">
        <v>855</v>
      </c>
      <c r="C101" s="21">
        <v>5882000</v>
      </c>
      <c r="D101" s="21"/>
      <c r="E101" s="21"/>
      <c r="F101" s="21"/>
      <c r="G101" s="21">
        <f t="shared" si="143"/>
        <v>5882000</v>
      </c>
      <c r="H101" s="21"/>
      <c r="I101" s="21">
        <f t="shared" si="130"/>
        <v>5882000</v>
      </c>
      <c r="J101" s="21"/>
      <c r="K101" s="21">
        <f t="shared" ref="K101:K103" si="155">I101+J101</f>
        <v>5882000</v>
      </c>
      <c r="L101" s="21"/>
      <c r="M101" s="21">
        <f t="shared" ref="M101:M103" si="156">K101+L101</f>
        <v>5882000</v>
      </c>
      <c r="N101" s="580"/>
      <c r="O101" s="580"/>
      <c r="R101" s="21">
        <v>5882000</v>
      </c>
      <c r="S101" s="21"/>
      <c r="T101" s="21">
        <f t="shared" si="93"/>
        <v>5882000</v>
      </c>
      <c r="U101" s="21">
        <v>5882000</v>
      </c>
      <c r="V101" s="21"/>
      <c r="W101" s="21">
        <f t="shared" si="118"/>
        <v>5882000</v>
      </c>
    </row>
    <row r="102" spans="1:23" ht="25.5" customHeight="1" x14ac:dyDescent="0.25">
      <c r="A102" s="219"/>
      <c r="B102" s="467" t="s">
        <v>856</v>
      </c>
      <c r="C102" s="21">
        <v>8607000</v>
      </c>
      <c r="D102" s="21"/>
      <c r="E102" s="21"/>
      <c r="F102" s="21"/>
      <c r="G102" s="21">
        <f t="shared" si="143"/>
        <v>8607000</v>
      </c>
      <c r="H102" s="21">
        <v>-860700</v>
      </c>
      <c r="I102" s="21">
        <f t="shared" si="130"/>
        <v>7746300</v>
      </c>
      <c r="J102" s="21"/>
      <c r="K102" s="21">
        <f t="shared" si="155"/>
        <v>7746300</v>
      </c>
      <c r="L102" s="21"/>
      <c r="M102" s="21">
        <f t="shared" si="156"/>
        <v>7746300</v>
      </c>
      <c r="N102" s="580"/>
      <c r="O102" s="580"/>
      <c r="Q102" s="593"/>
      <c r="R102" s="21">
        <v>12789000</v>
      </c>
      <c r="S102" s="21">
        <v>-1278900</v>
      </c>
      <c r="T102" s="21">
        <f t="shared" si="93"/>
        <v>11510100</v>
      </c>
      <c r="U102" s="21">
        <v>8839000</v>
      </c>
      <c r="V102" s="21">
        <v>-883900</v>
      </c>
      <c r="W102" s="21">
        <f t="shared" si="118"/>
        <v>7955100</v>
      </c>
    </row>
    <row r="103" spans="1:23" ht="50.25" customHeight="1" x14ac:dyDescent="0.25">
      <c r="A103" s="594"/>
      <c r="B103" s="467" t="s">
        <v>857</v>
      </c>
      <c r="C103" s="21">
        <v>21495027</v>
      </c>
      <c r="D103" s="21"/>
      <c r="E103" s="21"/>
      <c r="F103" s="21"/>
      <c r="G103" s="21">
        <f t="shared" si="143"/>
        <v>21495027</v>
      </c>
      <c r="H103" s="21"/>
      <c r="I103" s="21">
        <f t="shared" si="130"/>
        <v>21495027</v>
      </c>
      <c r="J103" s="21"/>
      <c r="K103" s="21">
        <f t="shared" si="155"/>
        <v>21495027</v>
      </c>
      <c r="L103" s="21"/>
      <c r="M103" s="21">
        <f t="shared" si="156"/>
        <v>21495027</v>
      </c>
      <c r="N103" s="580"/>
      <c r="O103" s="580"/>
      <c r="R103" s="21">
        <v>21495027</v>
      </c>
      <c r="S103" s="21"/>
      <c r="T103" s="21">
        <f t="shared" si="93"/>
        <v>21495027</v>
      </c>
      <c r="U103" s="21">
        <v>21495027</v>
      </c>
      <c r="V103" s="21"/>
      <c r="W103" s="21">
        <f t="shared" si="118"/>
        <v>21495027</v>
      </c>
    </row>
    <row r="104" spans="1:23" ht="37.5" hidden="1" customHeight="1" x14ac:dyDescent="0.25">
      <c r="A104" s="594" t="s">
        <v>858</v>
      </c>
      <c r="B104" s="595" t="s">
        <v>859</v>
      </c>
      <c r="C104" s="21"/>
      <c r="D104" s="21"/>
      <c r="E104" s="21"/>
      <c r="F104" s="21"/>
      <c r="G104" s="21"/>
      <c r="H104" s="21"/>
      <c r="I104" s="21"/>
      <c r="J104" s="21"/>
      <c r="K104" s="21"/>
      <c r="L104" s="21"/>
      <c r="M104" s="21"/>
      <c r="N104" s="580"/>
      <c r="O104" s="580"/>
      <c r="R104" s="21"/>
      <c r="S104" s="21"/>
      <c r="T104" s="21">
        <f t="shared" si="93"/>
        <v>0</v>
      </c>
      <c r="U104" s="21"/>
      <c r="V104" s="21"/>
      <c r="W104" s="21">
        <f t="shared" si="118"/>
        <v>0</v>
      </c>
    </row>
    <row r="105" spans="1:23" ht="60" customHeight="1" x14ac:dyDescent="0.25">
      <c r="A105" s="219"/>
      <c r="B105" s="467" t="s">
        <v>860</v>
      </c>
      <c r="C105" s="21">
        <v>104940</v>
      </c>
      <c r="D105" s="21"/>
      <c r="E105" s="21"/>
      <c r="F105" s="21"/>
      <c r="G105" s="21">
        <f t="shared" si="143"/>
        <v>104940</v>
      </c>
      <c r="H105" s="21"/>
      <c r="I105" s="21">
        <f t="shared" si="130"/>
        <v>104940</v>
      </c>
      <c r="J105" s="21"/>
      <c r="K105" s="21">
        <f t="shared" ref="K105:K111" si="157">I105+J105</f>
        <v>104940</v>
      </c>
      <c r="L105" s="21"/>
      <c r="M105" s="21">
        <f t="shared" ref="M105:M111" si="158">K105+L105</f>
        <v>104940</v>
      </c>
      <c r="N105" s="580"/>
      <c r="O105" s="580"/>
      <c r="R105" s="21">
        <v>104940</v>
      </c>
      <c r="S105" s="21"/>
      <c r="T105" s="21">
        <f t="shared" si="93"/>
        <v>104940</v>
      </c>
      <c r="U105" s="21">
        <v>104940</v>
      </c>
      <c r="V105" s="21"/>
      <c r="W105" s="21">
        <f t="shared" si="118"/>
        <v>104940</v>
      </c>
    </row>
    <row r="106" spans="1:23" ht="49.5" customHeight="1" x14ac:dyDescent="0.25">
      <c r="A106" s="219"/>
      <c r="B106" s="467" t="s">
        <v>861</v>
      </c>
      <c r="C106" s="21">
        <v>4690260</v>
      </c>
      <c r="D106" s="21"/>
      <c r="E106" s="21"/>
      <c r="F106" s="21"/>
      <c r="G106" s="21">
        <f t="shared" si="143"/>
        <v>4690260</v>
      </c>
      <c r="H106" s="21"/>
      <c r="I106" s="21">
        <f t="shared" si="130"/>
        <v>4690260</v>
      </c>
      <c r="J106" s="21"/>
      <c r="K106" s="21">
        <f t="shared" si="157"/>
        <v>4690260</v>
      </c>
      <c r="L106" s="21"/>
      <c r="M106" s="21">
        <f t="shared" si="158"/>
        <v>4690260</v>
      </c>
      <c r="N106" s="580"/>
      <c r="O106" s="580"/>
      <c r="R106" s="21">
        <v>4690260</v>
      </c>
      <c r="S106" s="21"/>
      <c r="T106" s="21">
        <f t="shared" si="93"/>
        <v>4690260</v>
      </c>
      <c r="U106" s="21">
        <v>4690260</v>
      </c>
      <c r="V106" s="21"/>
      <c r="W106" s="21">
        <f t="shared" si="118"/>
        <v>4690260</v>
      </c>
    </row>
    <row r="107" spans="1:23" ht="39" hidden="1" customHeight="1" x14ac:dyDescent="0.25">
      <c r="A107" s="219"/>
      <c r="B107" s="467" t="s">
        <v>862</v>
      </c>
      <c r="C107" s="21"/>
      <c r="D107" s="21"/>
      <c r="E107" s="21"/>
      <c r="F107" s="21"/>
      <c r="G107" s="21">
        <f t="shared" si="143"/>
        <v>0</v>
      </c>
      <c r="H107" s="21"/>
      <c r="I107" s="21">
        <f t="shared" si="130"/>
        <v>0</v>
      </c>
      <c r="J107" s="21"/>
      <c r="K107" s="21">
        <f t="shared" si="157"/>
        <v>0</v>
      </c>
      <c r="L107" s="21"/>
      <c r="M107" s="21">
        <f t="shared" si="158"/>
        <v>0</v>
      </c>
      <c r="N107" s="580"/>
      <c r="O107" s="580"/>
      <c r="R107" s="21"/>
      <c r="S107" s="21"/>
      <c r="T107" s="21">
        <f t="shared" si="93"/>
        <v>0</v>
      </c>
      <c r="U107" s="21"/>
      <c r="V107" s="21"/>
      <c r="W107" s="21">
        <f t="shared" si="118"/>
        <v>0</v>
      </c>
    </row>
    <row r="108" spans="1:23" ht="73.5" customHeight="1" x14ac:dyDescent="0.25">
      <c r="A108" s="219"/>
      <c r="B108" s="467" t="s">
        <v>863</v>
      </c>
      <c r="C108" s="21">
        <v>851700</v>
      </c>
      <c r="D108" s="21"/>
      <c r="E108" s="21"/>
      <c r="F108" s="21"/>
      <c r="G108" s="21">
        <f t="shared" si="143"/>
        <v>851700</v>
      </c>
      <c r="H108" s="21">
        <v>-59619</v>
      </c>
      <c r="I108" s="21">
        <f t="shared" si="130"/>
        <v>792081</v>
      </c>
      <c r="J108" s="21"/>
      <c r="K108" s="21">
        <f t="shared" si="157"/>
        <v>792081</v>
      </c>
      <c r="L108" s="21"/>
      <c r="M108" s="21">
        <f t="shared" si="158"/>
        <v>792081</v>
      </c>
      <c r="N108" s="580"/>
      <c r="O108" s="580"/>
      <c r="R108" s="21">
        <v>851700</v>
      </c>
      <c r="S108" s="21"/>
      <c r="T108" s="21">
        <f t="shared" si="93"/>
        <v>851700</v>
      </c>
      <c r="U108" s="21">
        <v>851700</v>
      </c>
      <c r="V108" s="21"/>
      <c r="W108" s="21">
        <f t="shared" si="118"/>
        <v>851700</v>
      </c>
    </row>
    <row r="109" spans="1:23" ht="48" customHeight="1" x14ac:dyDescent="0.25">
      <c r="A109" s="219"/>
      <c r="B109" s="467" t="s">
        <v>864</v>
      </c>
      <c r="C109" s="21">
        <v>173500</v>
      </c>
      <c r="D109" s="21"/>
      <c r="E109" s="21"/>
      <c r="F109" s="21"/>
      <c r="G109" s="21">
        <f t="shared" si="143"/>
        <v>173500</v>
      </c>
      <c r="H109" s="21">
        <v>-12145</v>
      </c>
      <c r="I109" s="21">
        <f t="shared" si="130"/>
        <v>161355</v>
      </c>
      <c r="J109" s="21"/>
      <c r="K109" s="21">
        <f t="shared" si="157"/>
        <v>161355</v>
      </c>
      <c r="L109" s="21"/>
      <c r="M109" s="21">
        <f t="shared" si="158"/>
        <v>161355</v>
      </c>
      <c r="N109" s="580"/>
      <c r="O109" s="580"/>
      <c r="R109" s="21">
        <v>173500</v>
      </c>
      <c r="S109" s="21"/>
      <c r="T109" s="21">
        <f t="shared" si="93"/>
        <v>173500</v>
      </c>
      <c r="U109" s="21">
        <v>173500</v>
      </c>
      <c r="V109" s="21"/>
      <c r="W109" s="21">
        <f t="shared" si="118"/>
        <v>173500</v>
      </c>
    </row>
    <row r="110" spans="1:23" ht="37.5" customHeight="1" x14ac:dyDescent="0.25">
      <c r="A110" s="219"/>
      <c r="B110" s="467" t="s">
        <v>865</v>
      </c>
      <c r="C110" s="21">
        <v>93000</v>
      </c>
      <c r="D110" s="21"/>
      <c r="E110" s="21"/>
      <c r="F110" s="21"/>
      <c r="G110" s="21">
        <f t="shared" si="143"/>
        <v>93000</v>
      </c>
      <c r="H110" s="21"/>
      <c r="I110" s="21">
        <f t="shared" si="130"/>
        <v>93000</v>
      </c>
      <c r="J110" s="21"/>
      <c r="K110" s="21">
        <f t="shared" si="157"/>
        <v>93000</v>
      </c>
      <c r="L110" s="21">
        <v>79000</v>
      </c>
      <c r="M110" s="21">
        <f t="shared" si="158"/>
        <v>172000</v>
      </c>
      <c r="N110" s="580"/>
      <c r="O110" s="580"/>
      <c r="R110" s="21">
        <v>87000</v>
      </c>
      <c r="S110" s="21"/>
      <c r="T110" s="21">
        <f t="shared" si="93"/>
        <v>87000</v>
      </c>
      <c r="U110" s="21">
        <v>87000</v>
      </c>
      <c r="V110" s="21"/>
      <c r="W110" s="21">
        <f t="shared" si="118"/>
        <v>87000</v>
      </c>
    </row>
    <row r="111" spans="1:23" ht="60.75" customHeight="1" x14ac:dyDescent="0.25">
      <c r="A111" s="594"/>
      <c r="B111" s="467" t="s">
        <v>866</v>
      </c>
      <c r="C111" s="21">
        <v>66777336</v>
      </c>
      <c r="D111" s="21"/>
      <c r="E111" s="21"/>
      <c r="F111" s="21"/>
      <c r="G111" s="21">
        <f t="shared" si="143"/>
        <v>66777336</v>
      </c>
      <c r="H111" s="21"/>
      <c r="I111" s="21">
        <f t="shared" si="130"/>
        <v>66777336</v>
      </c>
      <c r="J111" s="21"/>
      <c r="K111" s="21">
        <f t="shared" si="157"/>
        <v>66777336</v>
      </c>
      <c r="L111" s="21"/>
      <c r="M111" s="21">
        <f t="shared" si="158"/>
        <v>66777336</v>
      </c>
      <c r="N111" s="580"/>
      <c r="O111" s="580"/>
      <c r="R111" s="21">
        <v>66777336</v>
      </c>
      <c r="S111" s="21"/>
      <c r="T111" s="21">
        <f t="shared" si="93"/>
        <v>66777336</v>
      </c>
      <c r="U111" s="21">
        <v>66777336</v>
      </c>
      <c r="V111" s="21"/>
      <c r="W111" s="21">
        <f t="shared" si="118"/>
        <v>66777336</v>
      </c>
    </row>
    <row r="112" spans="1:23" ht="72.75" hidden="1" customHeight="1" x14ac:dyDescent="0.25">
      <c r="A112" s="594" t="s">
        <v>858</v>
      </c>
      <c r="B112" s="595" t="s">
        <v>867</v>
      </c>
      <c r="C112" s="21"/>
      <c r="D112" s="21"/>
      <c r="E112" s="21"/>
      <c r="F112" s="21"/>
      <c r="G112" s="21"/>
      <c r="H112" s="21"/>
      <c r="I112" s="21"/>
      <c r="J112" s="21"/>
      <c r="K112" s="21"/>
      <c r="L112" s="21"/>
      <c r="M112" s="21"/>
      <c r="N112" s="580"/>
      <c r="O112" s="580"/>
      <c r="R112" s="21"/>
      <c r="S112" s="21"/>
      <c r="T112" s="21">
        <f t="shared" si="93"/>
        <v>0</v>
      </c>
      <c r="U112" s="21"/>
      <c r="V112" s="21"/>
      <c r="W112" s="21">
        <f t="shared" si="118"/>
        <v>0</v>
      </c>
    </row>
    <row r="113" spans="1:23" ht="62.25" customHeight="1" x14ac:dyDescent="0.25">
      <c r="A113" s="219"/>
      <c r="B113" s="467" t="s">
        <v>868</v>
      </c>
      <c r="C113" s="21">
        <v>7634300</v>
      </c>
      <c r="D113" s="21"/>
      <c r="E113" s="21"/>
      <c r="F113" s="21"/>
      <c r="G113" s="21">
        <f t="shared" si="143"/>
        <v>7634300</v>
      </c>
      <c r="H113" s="21">
        <v>-46060</v>
      </c>
      <c r="I113" s="21">
        <f t="shared" si="130"/>
        <v>7588240</v>
      </c>
      <c r="J113" s="21"/>
      <c r="K113" s="21">
        <f t="shared" ref="K113:K114" si="159">I113+J113</f>
        <v>7588240</v>
      </c>
      <c r="L113" s="21"/>
      <c r="M113" s="21">
        <f t="shared" ref="M113:M114" si="160">K113+L113</f>
        <v>7588240</v>
      </c>
      <c r="N113" s="580"/>
      <c r="O113" s="580"/>
      <c r="R113" s="21">
        <v>7732600</v>
      </c>
      <c r="S113" s="21"/>
      <c r="T113" s="21">
        <f t="shared" si="93"/>
        <v>7732600</v>
      </c>
      <c r="U113" s="21">
        <v>7732600</v>
      </c>
      <c r="V113" s="21"/>
      <c r="W113" s="21">
        <f t="shared" si="118"/>
        <v>7732600</v>
      </c>
    </row>
    <row r="114" spans="1:23" ht="51.75" customHeight="1" x14ac:dyDescent="0.25">
      <c r="A114" s="219"/>
      <c r="B114" s="467" t="s">
        <v>869</v>
      </c>
      <c r="C114" s="21">
        <v>11140</v>
      </c>
      <c r="D114" s="21"/>
      <c r="E114" s="21"/>
      <c r="F114" s="21"/>
      <c r="G114" s="21">
        <f t="shared" si="143"/>
        <v>11140</v>
      </c>
      <c r="H114" s="21"/>
      <c r="I114" s="21">
        <f t="shared" si="130"/>
        <v>11140</v>
      </c>
      <c r="J114" s="21"/>
      <c r="K114" s="21">
        <f t="shared" si="159"/>
        <v>11140</v>
      </c>
      <c r="L114" s="21"/>
      <c r="M114" s="21">
        <f t="shared" si="160"/>
        <v>11140</v>
      </c>
      <c r="N114" s="580"/>
      <c r="O114" s="580"/>
      <c r="R114" s="21">
        <v>11140</v>
      </c>
      <c r="S114" s="21"/>
      <c r="T114" s="21">
        <f t="shared" si="93"/>
        <v>11140</v>
      </c>
      <c r="U114" s="21">
        <v>11140</v>
      </c>
      <c r="V114" s="21"/>
      <c r="W114" s="21">
        <f t="shared" si="118"/>
        <v>11140</v>
      </c>
    </row>
    <row r="115" spans="1:23" ht="51" customHeight="1" x14ac:dyDescent="0.25">
      <c r="A115" s="219" t="s">
        <v>870</v>
      </c>
      <c r="B115" s="467" t="s">
        <v>871</v>
      </c>
      <c r="C115" s="21">
        <f>C116</f>
        <v>836736</v>
      </c>
      <c r="D115" s="21"/>
      <c r="E115" s="21"/>
      <c r="F115" s="21">
        <f>F116</f>
        <v>0</v>
      </c>
      <c r="G115" s="21">
        <f>G116</f>
        <v>836736</v>
      </c>
      <c r="H115" s="21">
        <f t="shared" ref="H115:M115" si="161">H116</f>
        <v>249959</v>
      </c>
      <c r="I115" s="21">
        <f t="shared" si="161"/>
        <v>1086695</v>
      </c>
      <c r="J115" s="21">
        <f t="shared" si="161"/>
        <v>0</v>
      </c>
      <c r="K115" s="21">
        <f t="shared" si="161"/>
        <v>1086695</v>
      </c>
      <c r="L115" s="21">
        <f t="shared" si="161"/>
        <v>0</v>
      </c>
      <c r="M115" s="21">
        <f t="shared" si="161"/>
        <v>1086695</v>
      </c>
      <c r="N115" s="580"/>
      <c r="O115" s="580"/>
      <c r="R115" s="21">
        <f>R116</f>
        <v>836736</v>
      </c>
      <c r="S115" s="21">
        <f>S116</f>
        <v>0</v>
      </c>
      <c r="T115" s="21">
        <f t="shared" si="93"/>
        <v>836736</v>
      </c>
      <c r="U115" s="21">
        <f>U116</f>
        <v>836736</v>
      </c>
      <c r="V115" s="21">
        <f>V116</f>
        <v>0</v>
      </c>
      <c r="W115" s="21">
        <f t="shared" si="118"/>
        <v>836736</v>
      </c>
    </row>
    <row r="116" spans="1:23" ht="51" customHeight="1" x14ac:dyDescent="0.25">
      <c r="A116" s="219" t="s">
        <v>198</v>
      </c>
      <c r="B116" s="467" t="s">
        <v>872</v>
      </c>
      <c r="C116" s="21">
        <v>836736</v>
      </c>
      <c r="D116" s="21"/>
      <c r="E116" s="21"/>
      <c r="F116" s="21"/>
      <c r="G116" s="21">
        <f t="shared" si="143"/>
        <v>836736</v>
      </c>
      <c r="H116" s="21">
        <v>249959</v>
      </c>
      <c r="I116" s="21">
        <f t="shared" si="130"/>
        <v>1086695</v>
      </c>
      <c r="J116" s="21"/>
      <c r="K116" s="21">
        <f t="shared" ref="K116" si="162">I116+J116</f>
        <v>1086695</v>
      </c>
      <c r="L116" s="21"/>
      <c r="M116" s="21">
        <f t="shared" ref="M116" si="163">K116+L116</f>
        <v>1086695</v>
      </c>
      <c r="N116" s="580"/>
      <c r="O116" s="580"/>
      <c r="R116" s="21">
        <v>836736</v>
      </c>
      <c r="S116" s="21"/>
      <c r="T116" s="21">
        <f t="shared" si="93"/>
        <v>836736</v>
      </c>
      <c r="U116" s="21">
        <v>836736</v>
      </c>
      <c r="V116" s="21"/>
      <c r="W116" s="21">
        <f t="shared" si="118"/>
        <v>836736</v>
      </c>
    </row>
    <row r="117" spans="1:23" ht="51" customHeight="1" x14ac:dyDescent="0.25">
      <c r="A117" s="219" t="s">
        <v>873</v>
      </c>
      <c r="B117" s="467" t="s">
        <v>874</v>
      </c>
      <c r="C117" s="21">
        <f>C118</f>
        <v>8011575</v>
      </c>
      <c r="D117" s="21"/>
      <c r="E117" s="21"/>
      <c r="F117" s="21">
        <f>F118</f>
        <v>0</v>
      </c>
      <c r="G117" s="21">
        <f>G118</f>
        <v>8011575</v>
      </c>
      <c r="H117" s="21">
        <f t="shared" ref="H117:M117" si="164">H118</f>
        <v>0</v>
      </c>
      <c r="I117" s="21">
        <f t="shared" si="164"/>
        <v>8011575</v>
      </c>
      <c r="J117" s="21">
        <f t="shared" si="164"/>
        <v>0</v>
      </c>
      <c r="K117" s="21">
        <f t="shared" si="164"/>
        <v>8011575</v>
      </c>
      <c r="L117" s="21">
        <f t="shared" si="164"/>
        <v>0</v>
      </c>
      <c r="M117" s="21">
        <f t="shared" si="164"/>
        <v>8011575</v>
      </c>
      <c r="N117" s="580"/>
      <c r="O117" s="580"/>
      <c r="R117" s="21">
        <f>R118</f>
        <v>7821800</v>
      </c>
      <c r="S117" s="21">
        <f>S118</f>
        <v>0</v>
      </c>
      <c r="T117" s="21">
        <f t="shared" si="93"/>
        <v>7821800</v>
      </c>
      <c r="U117" s="21">
        <f>U118</f>
        <v>7821800</v>
      </c>
      <c r="V117" s="21">
        <f>V118</f>
        <v>0</v>
      </c>
      <c r="W117" s="21">
        <f t="shared" si="118"/>
        <v>7821800</v>
      </c>
    </row>
    <row r="118" spans="1:23" ht="37.5" customHeight="1" x14ac:dyDescent="0.25">
      <c r="A118" s="219" t="s">
        <v>199</v>
      </c>
      <c r="B118" s="467" t="s">
        <v>875</v>
      </c>
      <c r="C118" s="21">
        <v>8011575</v>
      </c>
      <c r="D118" s="21"/>
      <c r="E118" s="21"/>
      <c r="F118" s="21"/>
      <c r="G118" s="21">
        <f t="shared" si="143"/>
        <v>8011575</v>
      </c>
      <c r="H118" s="21"/>
      <c r="I118" s="21">
        <f t="shared" si="130"/>
        <v>8011575</v>
      </c>
      <c r="J118" s="21"/>
      <c r="K118" s="21">
        <f t="shared" ref="K118" si="165">I118+J118</f>
        <v>8011575</v>
      </c>
      <c r="L118" s="21"/>
      <c r="M118" s="21">
        <f t="shared" ref="M118" si="166">K118+L118</f>
        <v>8011575</v>
      </c>
      <c r="N118" s="580"/>
      <c r="O118" s="580"/>
      <c r="R118" s="21">
        <v>7821800</v>
      </c>
      <c r="S118" s="21"/>
      <c r="T118" s="21">
        <f t="shared" si="93"/>
        <v>7821800</v>
      </c>
      <c r="U118" s="21">
        <v>7821800</v>
      </c>
      <c r="V118" s="21"/>
      <c r="W118" s="21">
        <f t="shared" si="118"/>
        <v>7821800</v>
      </c>
    </row>
    <row r="119" spans="1:23" s="590" customFormat="1" ht="14.25" customHeight="1" x14ac:dyDescent="0.25">
      <c r="A119" s="468" t="s">
        <v>876</v>
      </c>
      <c r="B119" s="468" t="s">
        <v>157</v>
      </c>
      <c r="C119" s="584">
        <f>C120+C126</f>
        <v>12541702</v>
      </c>
      <c r="D119" s="584">
        <f t="shared" ref="D119:H119" si="167">D120+D126</f>
        <v>0</v>
      </c>
      <c r="E119" s="584">
        <f t="shared" si="167"/>
        <v>0</v>
      </c>
      <c r="F119" s="584">
        <f t="shared" si="167"/>
        <v>0</v>
      </c>
      <c r="G119" s="584">
        <f t="shared" si="167"/>
        <v>12541702</v>
      </c>
      <c r="H119" s="584">
        <f t="shared" si="167"/>
        <v>-39699</v>
      </c>
      <c r="I119" s="584">
        <f>I120+I124+I126</f>
        <v>12502003</v>
      </c>
      <c r="J119" s="584">
        <f t="shared" ref="J119" si="168">J120+J124+J126</f>
        <v>1212050</v>
      </c>
      <c r="K119" s="584">
        <f>K120+K122+K124+K126</f>
        <v>13714053</v>
      </c>
      <c r="L119" s="584">
        <f t="shared" ref="L119:M119" si="169">L120+L122+L124+L126</f>
        <v>261321.25</v>
      </c>
      <c r="M119" s="584">
        <f t="shared" si="169"/>
        <v>13975374.25</v>
      </c>
      <c r="N119" s="585"/>
      <c r="O119" s="585"/>
      <c r="R119" s="584">
        <f>R120+R126</f>
        <v>434142</v>
      </c>
      <c r="S119" s="584">
        <f t="shared" ref="S119:W119" si="170">S120+S126</f>
        <v>0</v>
      </c>
      <c r="T119" s="584">
        <f t="shared" si="170"/>
        <v>434142</v>
      </c>
      <c r="U119" s="584">
        <f t="shared" si="170"/>
        <v>414947</v>
      </c>
      <c r="V119" s="584">
        <f t="shared" si="170"/>
        <v>0</v>
      </c>
      <c r="W119" s="584">
        <f t="shared" si="170"/>
        <v>414947</v>
      </c>
    </row>
    <row r="120" spans="1:23" ht="37.5" customHeight="1" x14ac:dyDescent="0.25">
      <c r="A120" s="467" t="s">
        <v>877</v>
      </c>
      <c r="B120" s="467" t="s">
        <v>878</v>
      </c>
      <c r="C120" s="21">
        <f t="shared" ref="C120:M120" si="171">C121</f>
        <v>12112800</v>
      </c>
      <c r="D120" s="21"/>
      <c r="E120" s="21"/>
      <c r="F120" s="21">
        <f t="shared" si="171"/>
        <v>0</v>
      </c>
      <c r="G120" s="21">
        <f t="shared" si="171"/>
        <v>12112800</v>
      </c>
      <c r="H120" s="21">
        <f t="shared" si="171"/>
        <v>0</v>
      </c>
      <c r="I120" s="21">
        <f t="shared" si="171"/>
        <v>12112800</v>
      </c>
      <c r="J120" s="21">
        <f t="shared" si="171"/>
        <v>12050</v>
      </c>
      <c r="K120" s="21">
        <f t="shared" si="171"/>
        <v>12124850</v>
      </c>
      <c r="L120" s="21">
        <f t="shared" si="171"/>
        <v>0</v>
      </c>
      <c r="M120" s="21">
        <f t="shared" si="171"/>
        <v>12124850</v>
      </c>
      <c r="N120" s="580"/>
      <c r="O120" s="580"/>
      <c r="R120" s="21">
        <f t="shared" ref="R120:S120" si="172">R121</f>
        <v>0</v>
      </c>
      <c r="S120" s="21">
        <f t="shared" si="172"/>
        <v>0</v>
      </c>
      <c r="T120" s="21">
        <f t="shared" si="93"/>
        <v>0</v>
      </c>
      <c r="U120" s="21">
        <f t="shared" ref="U120:V120" si="173">U121</f>
        <v>0</v>
      </c>
      <c r="V120" s="21">
        <f t="shared" si="173"/>
        <v>0</v>
      </c>
      <c r="W120" s="21">
        <f t="shared" si="118"/>
        <v>0</v>
      </c>
    </row>
    <row r="121" spans="1:23" ht="52.5" customHeight="1" x14ac:dyDescent="0.25">
      <c r="A121" s="467" t="s">
        <v>202</v>
      </c>
      <c r="B121" s="467" t="s">
        <v>203</v>
      </c>
      <c r="C121" s="21">
        <f>'[1]От пос'!D11</f>
        <v>12112800</v>
      </c>
      <c r="D121" s="21"/>
      <c r="E121" s="21"/>
      <c r="F121" s="21"/>
      <c r="G121" s="21">
        <f t="shared" si="143"/>
        <v>12112800</v>
      </c>
      <c r="H121" s="21"/>
      <c r="I121" s="21">
        <f t="shared" si="130"/>
        <v>12112800</v>
      </c>
      <c r="J121" s="21">
        <f>-55000+75000-7950</f>
        <v>12050</v>
      </c>
      <c r="K121" s="21">
        <f t="shared" ref="K121:K127" si="174">I121+J121</f>
        <v>12124850</v>
      </c>
      <c r="L121" s="21"/>
      <c r="M121" s="21">
        <f t="shared" ref="M121" si="175">K121+L121</f>
        <v>12124850</v>
      </c>
      <c r="N121" s="580"/>
      <c r="O121" s="580"/>
      <c r="R121" s="21"/>
      <c r="S121" s="21"/>
      <c r="T121" s="21">
        <f t="shared" si="93"/>
        <v>0</v>
      </c>
      <c r="U121" s="21"/>
      <c r="V121" s="21"/>
      <c r="W121" s="21">
        <f t="shared" si="118"/>
        <v>0</v>
      </c>
    </row>
    <row r="122" spans="1:23" ht="60.75" customHeight="1" x14ac:dyDescent="0.25">
      <c r="A122" s="467" t="s">
        <v>879</v>
      </c>
      <c r="B122" s="467" t="s">
        <v>880</v>
      </c>
      <c r="C122" s="21"/>
      <c r="D122" s="21"/>
      <c r="E122" s="21"/>
      <c r="F122" s="21"/>
      <c r="G122" s="21"/>
      <c r="H122" s="21"/>
      <c r="I122" s="21"/>
      <c r="J122" s="21"/>
      <c r="K122" s="21">
        <f>K123</f>
        <v>0</v>
      </c>
      <c r="L122" s="21">
        <f t="shared" ref="L122:M122" si="176">L123</f>
        <v>261321.25</v>
      </c>
      <c r="M122" s="21">
        <f t="shared" si="176"/>
        <v>261321.25</v>
      </c>
      <c r="N122" s="580"/>
      <c r="O122" s="580"/>
      <c r="R122" s="21"/>
      <c r="S122" s="21"/>
      <c r="T122" s="21"/>
      <c r="U122" s="21"/>
      <c r="V122" s="21"/>
      <c r="W122" s="21"/>
    </row>
    <row r="123" spans="1:23" ht="47.25" customHeight="1" x14ac:dyDescent="0.25">
      <c r="A123" s="467" t="s">
        <v>881</v>
      </c>
      <c r="B123" s="467" t="s">
        <v>882</v>
      </c>
      <c r="C123" s="21"/>
      <c r="D123" s="21"/>
      <c r="E123" s="21"/>
      <c r="F123" s="21"/>
      <c r="G123" s="21"/>
      <c r="H123" s="21"/>
      <c r="I123" s="21"/>
      <c r="J123" s="21"/>
      <c r="K123" s="21"/>
      <c r="L123" s="21">
        <v>261321.25</v>
      </c>
      <c r="M123" s="21">
        <f>K123+L123</f>
        <v>261321.25</v>
      </c>
      <c r="N123" s="580"/>
      <c r="O123" s="580"/>
      <c r="R123" s="21"/>
      <c r="S123" s="21"/>
      <c r="T123" s="21"/>
      <c r="U123" s="21"/>
      <c r="V123" s="21"/>
      <c r="W123" s="21"/>
    </row>
    <row r="124" spans="1:23" ht="39.75" customHeight="1" x14ac:dyDescent="0.25">
      <c r="A124" s="467" t="s">
        <v>883</v>
      </c>
      <c r="B124" s="467" t="s">
        <v>884</v>
      </c>
      <c r="C124" s="21"/>
      <c r="D124" s="21"/>
      <c r="E124" s="21"/>
      <c r="F124" s="21"/>
      <c r="G124" s="21"/>
      <c r="H124" s="21"/>
      <c r="I124" s="21">
        <f>I125</f>
        <v>0</v>
      </c>
      <c r="J124" s="21">
        <f t="shared" ref="J124:M124" si="177">J125</f>
        <v>1200000</v>
      </c>
      <c r="K124" s="21">
        <f t="shared" si="177"/>
        <v>1200000</v>
      </c>
      <c r="L124" s="21">
        <f t="shared" si="177"/>
        <v>0</v>
      </c>
      <c r="M124" s="21">
        <f t="shared" si="177"/>
        <v>1200000</v>
      </c>
      <c r="N124" s="580"/>
      <c r="O124" s="580"/>
      <c r="R124" s="21"/>
      <c r="S124" s="21"/>
      <c r="T124" s="21"/>
      <c r="U124" s="21"/>
      <c r="V124" s="21"/>
      <c r="W124" s="21"/>
    </row>
    <row r="125" spans="1:23" ht="46.5" customHeight="1" x14ac:dyDescent="0.25">
      <c r="A125" s="467" t="s">
        <v>885</v>
      </c>
      <c r="B125" s="467" t="s">
        <v>886</v>
      </c>
      <c r="C125" s="21"/>
      <c r="D125" s="21"/>
      <c r="E125" s="21"/>
      <c r="F125" s="21"/>
      <c r="G125" s="21"/>
      <c r="H125" s="21"/>
      <c r="I125" s="21"/>
      <c r="J125" s="21">
        <v>1200000</v>
      </c>
      <c r="K125" s="21">
        <f t="shared" si="174"/>
        <v>1200000</v>
      </c>
      <c r="L125" s="21"/>
      <c r="M125" s="21">
        <f t="shared" ref="M125:M127" si="178">K125+L125</f>
        <v>1200000</v>
      </c>
      <c r="N125" s="580"/>
      <c r="O125" s="580"/>
      <c r="R125" s="21"/>
      <c r="S125" s="21"/>
      <c r="T125" s="21"/>
      <c r="U125" s="21"/>
      <c r="V125" s="21"/>
      <c r="W125" s="21"/>
    </row>
    <row r="126" spans="1:23" ht="13.5" customHeight="1" x14ac:dyDescent="0.25">
      <c r="A126" s="467" t="s">
        <v>887</v>
      </c>
      <c r="B126" s="467" t="s">
        <v>888</v>
      </c>
      <c r="C126" s="21">
        <f>C127</f>
        <v>428902</v>
      </c>
      <c r="D126" s="21"/>
      <c r="E126" s="21"/>
      <c r="F126" s="21">
        <f t="shared" ref="F126:L126" si="179">F127</f>
        <v>0</v>
      </c>
      <c r="G126" s="21">
        <f t="shared" si="179"/>
        <v>428902</v>
      </c>
      <c r="H126" s="21">
        <f t="shared" si="179"/>
        <v>-39699</v>
      </c>
      <c r="I126" s="21">
        <f t="shared" si="130"/>
        <v>389203</v>
      </c>
      <c r="J126" s="21">
        <f t="shared" si="179"/>
        <v>0</v>
      </c>
      <c r="K126" s="21">
        <f t="shared" si="174"/>
        <v>389203</v>
      </c>
      <c r="L126" s="21">
        <f t="shared" si="179"/>
        <v>0</v>
      </c>
      <c r="M126" s="21">
        <f t="shared" si="178"/>
        <v>389203</v>
      </c>
      <c r="N126" s="580"/>
      <c r="O126" s="580"/>
      <c r="R126" s="21">
        <f>R127</f>
        <v>434142</v>
      </c>
      <c r="S126" s="21">
        <f t="shared" ref="S126" si="180">S127</f>
        <v>0</v>
      </c>
      <c r="T126" s="21">
        <f t="shared" si="93"/>
        <v>434142</v>
      </c>
      <c r="U126" s="21">
        <f>U127</f>
        <v>414947</v>
      </c>
      <c r="V126" s="21">
        <f t="shared" ref="V126" si="181">V127</f>
        <v>0</v>
      </c>
      <c r="W126" s="21">
        <f t="shared" si="118"/>
        <v>414947</v>
      </c>
    </row>
    <row r="127" spans="1:23" ht="25.5" customHeight="1" x14ac:dyDescent="0.25">
      <c r="A127" s="467" t="s">
        <v>374</v>
      </c>
      <c r="B127" s="467" t="s">
        <v>375</v>
      </c>
      <c r="C127" s="21">
        <f>'[1]6 Вед15'!J68</f>
        <v>428902</v>
      </c>
      <c r="D127" s="21"/>
      <c r="E127" s="21"/>
      <c r="F127" s="21"/>
      <c r="G127" s="21">
        <f>C127+F127</f>
        <v>428902</v>
      </c>
      <c r="H127" s="21">
        <v>-39699</v>
      </c>
      <c r="I127" s="21">
        <f t="shared" si="130"/>
        <v>389203</v>
      </c>
      <c r="J127" s="21"/>
      <c r="K127" s="21">
        <f t="shared" si="174"/>
        <v>389203</v>
      </c>
      <c r="L127" s="21"/>
      <c r="M127" s="21">
        <f t="shared" si="178"/>
        <v>389203</v>
      </c>
      <c r="N127" s="580"/>
      <c r="O127" s="580"/>
      <c r="R127" s="21">
        <v>434142</v>
      </c>
      <c r="S127" s="21"/>
      <c r="T127" s="21">
        <f t="shared" si="93"/>
        <v>434142</v>
      </c>
      <c r="U127" s="21">
        <v>414947</v>
      </c>
      <c r="V127" s="21"/>
      <c r="W127" s="21">
        <f>U127+V127</f>
        <v>414947</v>
      </c>
    </row>
    <row r="128" spans="1:23" s="598" customFormat="1" ht="24.75" customHeight="1" x14ac:dyDescent="0.25">
      <c r="A128" s="106"/>
      <c r="B128" s="105" t="s">
        <v>889</v>
      </c>
      <c r="C128" s="596">
        <f>C9+C70</f>
        <v>234246433</v>
      </c>
      <c r="D128" s="596"/>
      <c r="E128" s="596"/>
      <c r="F128" s="596">
        <f t="shared" ref="F128:M128" si="182">F9+F70</f>
        <v>4802500</v>
      </c>
      <c r="G128" s="596">
        <f t="shared" si="182"/>
        <v>239048933</v>
      </c>
      <c r="H128" s="596">
        <f t="shared" si="182"/>
        <v>-4115019</v>
      </c>
      <c r="I128" s="596">
        <f t="shared" si="182"/>
        <v>234933914</v>
      </c>
      <c r="J128" s="596">
        <f t="shared" si="182"/>
        <v>-2547950</v>
      </c>
      <c r="K128" s="596">
        <f t="shared" si="182"/>
        <v>232385964</v>
      </c>
      <c r="L128" s="596">
        <f t="shared" si="182"/>
        <v>16088001.16</v>
      </c>
      <c r="M128" s="596">
        <f t="shared" si="182"/>
        <v>248473965.16</v>
      </c>
      <c r="N128" s="597"/>
      <c r="O128" s="597"/>
      <c r="R128" s="596">
        <f t="shared" ref="R128:W128" si="183">R9+R70</f>
        <v>230823280</v>
      </c>
      <c r="S128" s="596">
        <f t="shared" si="183"/>
        <v>-5599900</v>
      </c>
      <c r="T128" s="596">
        <f t="shared" si="183"/>
        <v>225223380</v>
      </c>
      <c r="U128" s="596">
        <f t="shared" si="183"/>
        <v>229348073</v>
      </c>
      <c r="V128" s="596">
        <f t="shared" si="183"/>
        <v>-5153400</v>
      </c>
      <c r="W128" s="596">
        <f t="shared" si="183"/>
        <v>224194673</v>
      </c>
    </row>
    <row r="129" spans="1:22" ht="24.75" customHeight="1" x14ac:dyDescent="0.25">
      <c r="A129" s="64"/>
      <c r="B129" s="6"/>
      <c r="C129" s="9"/>
      <c r="D129" s="9"/>
      <c r="E129" s="9"/>
      <c r="F129" s="599"/>
      <c r="G129" s="193"/>
      <c r="H129" s="599">
        <f>SUM(H130:H147)</f>
        <v>-4115019</v>
      </c>
      <c r="I129" s="193"/>
      <c r="J129" s="599">
        <f>SUM(J130:J147)</f>
        <v>0</v>
      </c>
      <c r="K129" s="193"/>
      <c r="L129" s="599">
        <f>SUM(L130:L147)</f>
        <v>0</v>
      </c>
      <c r="M129" s="193"/>
      <c r="N129" s="193"/>
      <c r="O129" s="193"/>
      <c r="S129" s="599">
        <f>SUM(S130:S147)</f>
        <v>-5599900</v>
      </c>
      <c r="V129" s="599">
        <f>SUM(V130:V147)</f>
        <v>-5153400</v>
      </c>
    </row>
    <row r="130" spans="1:22" ht="12.75" customHeight="1" x14ac:dyDescent="0.25">
      <c r="A130" s="64"/>
      <c r="B130" s="6"/>
      <c r="C130" s="9"/>
      <c r="D130" s="9"/>
      <c r="E130" s="9"/>
      <c r="F130" s="9"/>
      <c r="G130" s="9"/>
      <c r="H130" s="9">
        <v>-2589800</v>
      </c>
      <c r="I130" s="9"/>
      <c r="J130" s="9"/>
      <c r="K130" s="9"/>
      <c r="L130" s="9"/>
      <c r="M130" s="9"/>
      <c r="N130" s="9"/>
      <c r="O130" s="9"/>
      <c r="S130" s="564">
        <v>-2958200</v>
      </c>
      <c r="V130" s="564">
        <v>-3416500</v>
      </c>
    </row>
    <row r="131" spans="1:22" ht="12.75" customHeight="1" x14ac:dyDescent="0.25">
      <c r="A131" s="64"/>
      <c r="B131" s="6"/>
      <c r="C131" s="6"/>
      <c r="D131" s="6"/>
      <c r="E131" s="6"/>
      <c r="G131" s="66" t="s">
        <v>181</v>
      </c>
      <c r="H131" s="564">
        <v>-1690900</v>
      </c>
      <c r="I131" s="66" t="s">
        <v>181</v>
      </c>
      <c r="K131" s="66" t="s">
        <v>181</v>
      </c>
      <c r="M131" s="66" t="s">
        <v>181</v>
      </c>
      <c r="S131" s="564">
        <v>-1362800</v>
      </c>
      <c r="V131" s="564">
        <v>-853000</v>
      </c>
    </row>
    <row r="132" spans="1:22" ht="12.75" customHeight="1" x14ac:dyDescent="0.25">
      <c r="A132" s="64"/>
      <c r="B132" s="6"/>
      <c r="C132" s="6"/>
      <c r="D132" s="6"/>
      <c r="E132" s="6"/>
      <c r="H132" s="564">
        <v>-860700</v>
      </c>
      <c r="S132" s="564">
        <v>-1278900</v>
      </c>
      <c r="V132" s="564">
        <v>-883900</v>
      </c>
    </row>
    <row r="133" spans="1:22" ht="12.75" customHeight="1" x14ac:dyDescent="0.25">
      <c r="H133" s="564">
        <v>-59619</v>
      </c>
    </row>
    <row r="134" spans="1:22" ht="12.75" customHeight="1" x14ac:dyDescent="0.25">
      <c r="H134" s="564">
        <v>-74105</v>
      </c>
    </row>
    <row r="135" spans="1:22" ht="12.75" customHeight="1" x14ac:dyDescent="0.25">
      <c r="H135" s="564">
        <v>249959</v>
      </c>
    </row>
    <row r="136" spans="1:22" ht="12.75" customHeight="1" x14ac:dyDescent="0.25">
      <c r="H136" s="564">
        <v>-46060</v>
      </c>
    </row>
    <row r="137" spans="1:22" ht="12.75" customHeight="1" x14ac:dyDescent="0.25">
      <c r="H137" s="564">
        <v>-12145</v>
      </c>
    </row>
    <row r="138" spans="1:22" ht="12.75" customHeight="1" x14ac:dyDescent="0.25">
      <c r="H138" s="564">
        <v>808050</v>
      </c>
      <c r="I138" s="564"/>
      <c r="K138" s="564"/>
      <c r="M138" s="564"/>
      <c r="N138" s="564"/>
      <c r="O138" s="564"/>
    </row>
    <row r="139" spans="1:22" ht="12.75" customHeight="1" x14ac:dyDescent="0.25">
      <c r="H139" s="564">
        <v>-39699</v>
      </c>
      <c r="I139" s="564"/>
      <c r="K139" s="564"/>
      <c r="M139" s="564"/>
      <c r="N139" s="564"/>
      <c r="O139" s="564"/>
    </row>
    <row r="140" spans="1:22" ht="12.75" customHeight="1" x14ac:dyDescent="0.25">
      <c r="H140" s="564">
        <v>200000</v>
      </c>
      <c r="I140" s="564"/>
      <c r="K140" s="564"/>
      <c r="M140" s="564"/>
      <c r="N140" s="564"/>
      <c r="O140" s="564"/>
    </row>
    <row r="141" spans="1:22" ht="12.75" customHeight="1" x14ac:dyDescent="0.25">
      <c r="I141" s="564"/>
      <c r="K141" s="564"/>
      <c r="M141" s="564"/>
      <c r="N141" s="564"/>
      <c r="O141" s="564"/>
    </row>
    <row r="142" spans="1:22" ht="12.75" customHeight="1" x14ac:dyDescent="0.25">
      <c r="I142" s="564"/>
      <c r="K142" s="564"/>
      <c r="M142" s="564"/>
      <c r="N142" s="564"/>
      <c r="O142" s="564"/>
    </row>
    <row r="143" spans="1:22" ht="12.75" customHeight="1" x14ac:dyDescent="0.25">
      <c r="I143" s="564"/>
      <c r="K143" s="564"/>
      <c r="M143" s="564"/>
      <c r="N143" s="564"/>
      <c r="O143" s="564"/>
    </row>
    <row r="144" spans="1:22" ht="12.75" customHeight="1" x14ac:dyDescent="0.25">
      <c r="I144" s="564"/>
      <c r="K144" s="564"/>
      <c r="M144" s="564"/>
      <c r="N144" s="564"/>
      <c r="O144" s="564"/>
    </row>
    <row r="145" spans="7:15" ht="48.75" customHeight="1" x14ac:dyDescent="0.25">
      <c r="I145" s="564"/>
      <c r="K145" s="564"/>
      <c r="M145" s="564"/>
      <c r="N145" s="564"/>
      <c r="O145" s="564"/>
    </row>
    <row r="146" spans="7:15" ht="48.75" customHeight="1" x14ac:dyDescent="0.25">
      <c r="G146" s="564"/>
      <c r="I146" s="564"/>
      <c r="K146" s="564"/>
      <c r="M146" s="564"/>
      <c r="N146" s="564"/>
      <c r="O146" s="564"/>
    </row>
    <row r="147" spans="7:15" ht="49.5" customHeight="1" x14ac:dyDescent="0.25">
      <c r="G147" s="564"/>
      <c r="I147" s="564"/>
      <c r="K147" s="564"/>
      <c r="M147" s="564"/>
      <c r="N147" s="564"/>
      <c r="O147" s="564"/>
    </row>
    <row r="148" spans="7:15" ht="50.25" customHeight="1" x14ac:dyDescent="0.25">
      <c r="G148" s="564"/>
      <c r="I148" s="564"/>
      <c r="K148" s="564"/>
      <c r="M148" s="564"/>
      <c r="N148" s="564"/>
      <c r="O148" s="564"/>
    </row>
    <row r="149" spans="7:15" ht="15" customHeight="1" x14ac:dyDescent="0.25">
      <c r="G149" s="564"/>
      <c r="I149" s="564"/>
      <c r="K149" s="564"/>
      <c r="M149" s="564"/>
      <c r="N149" s="564"/>
      <c r="O149" s="564"/>
    </row>
    <row r="150" spans="7:15" ht="15" customHeight="1" x14ac:dyDescent="0.25">
      <c r="G150" s="564"/>
      <c r="I150" s="564"/>
      <c r="K150" s="564"/>
      <c r="M150" s="564"/>
      <c r="N150" s="564"/>
      <c r="O150" s="564"/>
    </row>
    <row r="151" spans="7:15" ht="63" customHeight="1" x14ac:dyDescent="0.25">
      <c r="G151" s="564"/>
      <c r="I151" s="564"/>
      <c r="K151" s="564"/>
      <c r="M151" s="564"/>
      <c r="N151" s="564"/>
      <c r="O151" s="564"/>
    </row>
    <row r="152" spans="7:15" ht="21" customHeight="1" x14ac:dyDescent="0.25">
      <c r="G152" s="564"/>
      <c r="I152" s="564"/>
      <c r="K152" s="564"/>
      <c r="M152" s="564"/>
      <c r="N152" s="564"/>
      <c r="O152" s="564"/>
    </row>
    <row r="153" spans="7:15" ht="48" customHeight="1" x14ac:dyDescent="0.25">
      <c r="G153" s="564"/>
      <c r="I153" s="564"/>
      <c r="K153" s="564"/>
      <c r="M153" s="564"/>
      <c r="N153" s="564"/>
      <c r="O153" s="564"/>
    </row>
    <row r="154" spans="7:15" ht="48" customHeight="1" x14ac:dyDescent="0.25">
      <c r="G154" s="564"/>
      <c r="I154" s="564"/>
      <c r="K154" s="564"/>
      <c r="M154" s="564"/>
      <c r="N154" s="564"/>
      <c r="O154" s="564"/>
    </row>
    <row r="155" spans="7:15" ht="14.25" customHeight="1" x14ac:dyDescent="0.25">
      <c r="G155" s="564"/>
      <c r="I155" s="564"/>
      <c r="K155" s="564"/>
      <c r="M155" s="564"/>
      <c r="N155" s="564"/>
      <c r="O155" s="564"/>
    </row>
    <row r="156" spans="7:15" ht="27" customHeight="1" x14ac:dyDescent="0.25">
      <c r="G156" s="564"/>
      <c r="I156" s="564"/>
      <c r="K156" s="564"/>
      <c r="M156" s="564"/>
      <c r="N156" s="564"/>
      <c r="O156" s="564"/>
    </row>
    <row r="157" spans="7:15" ht="18" customHeight="1" x14ac:dyDescent="0.25">
      <c r="G157" s="564"/>
      <c r="I157" s="564"/>
      <c r="K157" s="564"/>
      <c r="M157" s="564"/>
      <c r="N157" s="564"/>
      <c r="O157" s="564"/>
    </row>
  </sheetData>
  <mergeCells count="1">
    <mergeCell ref="A3:M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R306"/>
  <sheetViews>
    <sheetView topLeftCell="A3" zoomScale="90" zoomScaleNormal="90" workbookViewId="0">
      <selection activeCell="U12" sqref="U12"/>
    </sheetView>
  </sheetViews>
  <sheetFormatPr defaultRowHeight="12" x14ac:dyDescent="0.25"/>
  <cols>
    <col min="1" max="1" width="2.140625" style="6" customWidth="1"/>
    <col min="2" max="2" width="67.85546875" style="6" customWidth="1"/>
    <col min="3" max="3" width="4" style="6" hidden="1" customWidth="1"/>
    <col min="4" max="5" width="4" style="6" customWidth="1"/>
    <col min="6" max="6" width="4.140625" style="64" customWidth="1"/>
    <col min="7" max="8" width="4" style="64" hidden="1" customWidth="1"/>
    <col min="9" max="9" width="5.85546875" style="64" customWidth="1"/>
    <col min="10" max="10" width="4" style="6" customWidth="1"/>
    <col min="11" max="11" width="16.140625" style="6" hidden="1" customWidth="1"/>
    <col min="12" max="13" width="13.5703125" style="6" hidden="1" customWidth="1"/>
    <col min="14" max="14" width="14.42578125" style="6" customWidth="1"/>
    <col min="15" max="15" width="13.28515625" style="6" hidden="1" customWidth="1"/>
    <col min="16" max="16" width="12.7109375" style="6" hidden="1" customWidth="1"/>
    <col min="17" max="17" width="14.42578125" style="6" customWidth="1"/>
    <col min="18" max="18" width="13.28515625" style="6" customWidth="1"/>
    <col min="19" max="234" width="9.140625" style="6"/>
    <col min="235" max="235" width="1.42578125" style="6" customWidth="1"/>
    <col min="236" max="236" width="59.5703125" style="6" customWidth="1"/>
    <col min="237" max="237" width="9.140625" style="6" customWidth="1"/>
    <col min="238" max="239" width="3.85546875" style="6" customWidth="1"/>
    <col min="240" max="240" width="10.5703125" style="6" customWidth="1"/>
    <col min="241" max="241" width="3.85546875" style="6" customWidth="1"/>
    <col min="242" max="244" width="14.42578125" style="6" customWidth="1"/>
    <col min="245" max="245" width="4.140625" style="6" customWidth="1"/>
    <col min="246" max="246" width="15" style="6" customWidth="1"/>
    <col min="247" max="248" width="9.140625" style="6" customWidth="1"/>
    <col min="249" max="249" width="11.5703125" style="6" customWidth="1"/>
    <col min="250" max="250" width="18.140625" style="6" customWidth="1"/>
    <col min="251" max="251" width="13.140625" style="6" customWidth="1"/>
    <col min="252" max="252" width="12.28515625" style="6" customWidth="1"/>
    <col min="253" max="490" width="9.140625" style="6"/>
    <col min="491" max="491" width="1.42578125" style="6" customWidth="1"/>
    <col min="492" max="492" width="59.5703125" style="6" customWidth="1"/>
    <col min="493" max="493" width="9.140625" style="6" customWidth="1"/>
    <col min="494" max="495" width="3.85546875" style="6" customWidth="1"/>
    <col min="496" max="496" width="10.5703125" style="6" customWidth="1"/>
    <col min="497" max="497" width="3.85546875" style="6" customWidth="1"/>
    <col min="498" max="500" width="14.42578125" style="6" customWidth="1"/>
    <col min="501" max="501" width="4.140625" style="6" customWidth="1"/>
    <col min="502" max="502" width="15" style="6" customWidth="1"/>
    <col min="503" max="504" width="9.140625" style="6" customWidth="1"/>
    <col min="505" max="505" width="11.5703125" style="6" customWidth="1"/>
    <col min="506" max="506" width="18.140625" style="6" customWidth="1"/>
    <col min="507" max="507" width="13.140625" style="6" customWidth="1"/>
    <col min="508" max="508" width="12.28515625" style="6" customWidth="1"/>
    <col min="509" max="746" width="9.140625" style="6"/>
    <col min="747" max="747" width="1.42578125" style="6" customWidth="1"/>
    <col min="748" max="748" width="59.5703125" style="6" customWidth="1"/>
    <col min="749" max="749" width="9.140625" style="6" customWidth="1"/>
    <col min="750" max="751" width="3.85546875" style="6" customWidth="1"/>
    <col min="752" max="752" width="10.5703125" style="6" customWidth="1"/>
    <col min="753" max="753" width="3.85546875" style="6" customWidth="1"/>
    <col min="754" max="756" width="14.42578125" style="6" customWidth="1"/>
    <col min="757" max="757" width="4.140625" style="6" customWidth="1"/>
    <col min="758" max="758" width="15" style="6" customWidth="1"/>
    <col min="759" max="760" width="9.140625" style="6" customWidth="1"/>
    <col min="761" max="761" width="11.5703125" style="6" customWidth="1"/>
    <col min="762" max="762" width="18.140625" style="6" customWidth="1"/>
    <col min="763" max="763" width="13.140625" style="6" customWidth="1"/>
    <col min="764" max="764" width="12.28515625" style="6" customWidth="1"/>
    <col min="765" max="1002" width="9.140625" style="6"/>
    <col min="1003" max="1003" width="1.42578125" style="6" customWidth="1"/>
    <col min="1004" max="1004" width="59.5703125" style="6" customWidth="1"/>
    <col min="1005" max="1005" width="9.140625" style="6" customWidth="1"/>
    <col min="1006" max="1007" width="3.85546875" style="6" customWidth="1"/>
    <col min="1008" max="1008" width="10.5703125" style="6" customWidth="1"/>
    <col min="1009" max="1009" width="3.85546875" style="6" customWidth="1"/>
    <col min="1010" max="1012" width="14.42578125" style="6" customWidth="1"/>
    <col min="1013" max="1013" width="4.140625" style="6" customWidth="1"/>
    <col min="1014" max="1014" width="15" style="6" customWidth="1"/>
    <col min="1015" max="1016" width="9.140625" style="6" customWidth="1"/>
    <col min="1017" max="1017" width="11.5703125" style="6" customWidth="1"/>
    <col min="1018" max="1018" width="18.140625" style="6" customWidth="1"/>
    <col min="1019" max="1019" width="13.140625" style="6" customWidth="1"/>
    <col min="1020" max="1020" width="12.28515625" style="6" customWidth="1"/>
    <col min="1021" max="1258" width="9.140625" style="6"/>
    <col min="1259" max="1259" width="1.42578125" style="6" customWidth="1"/>
    <col min="1260" max="1260" width="59.5703125" style="6" customWidth="1"/>
    <col min="1261" max="1261" width="9.140625" style="6" customWidth="1"/>
    <col min="1262" max="1263" width="3.85546875" style="6" customWidth="1"/>
    <col min="1264" max="1264" width="10.5703125" style="6" customWidth="1"/>
    <col min="1265" max="1265" width="3.85546875" style="6" customWidth="1"/>
    <col min="1266" max="1268" width="14.42578125" style="6" customWidth="1"/>
    <col min="1269" max="1269" width="4.140625" style="6" customWidth="1"/>
    <col min="1270" max="1270" width="15" style="6" customWidth="1"/>
    <col min="1271" max="1272" width="9.140625" style="6" customWidth="1"/>
    <col min="1273" max="1273" width="11.5703125" style="6" customWidth="1"/>
    <col min="1274" max="1274" width="18.140625" style="6" customWidth="1"/>
    <col min="1275" max="1275" width="13.140625" style="6" customWidth="1"/>
    <col min="1276" max="1276" width="12.28515625" style="6" customWidth="1"/>
    <col min="1277" max="1514" width="9.140625" style="6"/>
    <col min="1515" max="1515" width="1.42578125" style="6" customWidth="1"/>
    <col min="1516" max="1516" width="59.5703125" style="6" customWidth="1"/>
    <col min="1517" max="1517" width="9.140625" style="6" customWidth="1"/>
    <col min="1518" max="1519" width="3.85546875" style="6" customWidth="1"/>
    <col min="1520" max="1520" width="10.5703125" style="6" customWidth="1"/>
    <col min="1521" max="1521" width="3.85546875" style="6" customWidth="1"/>
    <col min="1522" max="1524" width="14.42578125" style="6" customWidth="1"/>
    <col min="1525" max="1525" width="4.140625" style="6" customWidth="1"/>
    <col min="1526" max="1526" width="15" style="6" customWidth="1"/>
    <col min="1527" max="1528" width="9.140625" style="6" customWidth="1"/>
    <col min="1529" max="1529" width="11.5703125" style="6" customWidth="1"/>
    <col min="1530" max="1530" width="18.140625" style="6" customWidth="1"/>
    <col min="1531" max="1531" width="13.140625" style="6" customWidth="1"/>
    <col min="1532" max="1532" width="12.28515625" style="6" customWidth="1"/>
    <col min="1533" max="1770" width="9.140625" style="6"/>
    <col min="1771" max="1771" width="1.42578125" style="6" customWidth="1"/>
    <col min="1772" max="1772" width="59.5703125" style="6" customWidth="1"/>
    <col min="1773" max="1773" width="9.140625" style="6" customWidth="1"/>
    <col min="1774" max="1775" width="3.85546875" style="6" customWidth="1"/>
    <col min="1776" max="1776" width="10.5703125" style="6" customWidth="1"/>
    <col min="1777" max="1777" width="3.85546875" style="6" customWidth="1"/>
    <col min="1778" max="1780" width="14.42578125" style="6" customWidth="1"/>
    <col min="1781" max="1781" width="4.140625" style="6" customWidth="1"/>
    <col min="1782" max="1782" width="15" style="6" customWidth="1"/>
    <col min="1783" max="1784" width="9.140625" style="6" customWidth="1"/>
    <col min="1785" max="1785" width="11.5703125" style="6" customWidth="1"/>
    <col min="1786" max="1786" width="18.140625" style="6" customWidth="1"/>
    <col min="1787" max="1787" width="13.140625" style="6" customWidth="1"/>
    <col min="1788" max="1788" width="12.28515625" style="6" customWidth="1"/>
    <col min="1789" max="2026" width="9.140625" style="6"/>
    <col min="2027" max="2027" width="1.42578125" style="6" customWidth="1"/>
    <col min="2028" max="2028" width="59.5703125" style="6" customWidth="1"/>
    <col min="2029" max="2029" width="9.140625" style="6" customWidth="1"/>
    <col min="2030" max="2031" width="3.85546875" style="6" customWidth="1"/>
    <col min="2032" max="2032" width="10.5703125" style="6" customWidth="1"/>
    <col min="2033" max="2033" width="3.85546875" style="6" customWidth="1"/>
    <col min="2034" max="2036" width="14.42578125" style="6" customWidth="1"/>
    <col min="2037" max="2037" width="4.140625" style="6" customWidth="1"/>
    <col min="2038" max="2038" width="15" style="6" customWidth="1"/>
    <col min="2039" max="2040" width="9.140625" style="6" customWidth="1"/>
    <col min="2041" max="2041" width="11.5703125" style="6" customWidth="1"/>
    <col min="2042" max="2042" width="18.140625" style="6" customWidth="1"/>
    <col min="2043" max="2043" width="13.140625" style="6" customWidth="1"/>
    <col min="2044" max="2044" width="12.28515625" style="6" customWidth="1"/>
    <col min="2045" max="2282" width="9.140625" style="6"/>
    <col min="2283" max="2283" width="1.42578125" style="6" customWidth="1"/>
    <col min="2284" max="2284" width="59.5703125" style="6" customWidth="1"/>
    <col min="2285" max="2285" width="9.140625" style="6" customWidth="1"/>
    <col min="2286" max="2287" width="3.85546875" style="6" customWidth="1"/>
    <col min="2288" max="2288" width="10.5703125" style="6" customWidth="1"/>
    <col min="2289" max="2289" width="3.85546875" style="6" customWidth="1"/>
    <col min="2290" max="2292" width="14.42578125" style="6" customWidth="1"/>
    <col min="2293" max="2293" width="4.140625" style="6" customWidth="1"/>
    <col min="2294" max="2294" width="15" style="6" customWidth="1"/>
    <col min="2295" max="2296" width="9.140625" style="6" customWidth="1"/>
    <col min="2297" max="2297" width="11.5703125" style="6" customWidth="1"/>
    <col min="2298" max="2298" width="18.140625" style="6" customWidth="1"/>
    <col min="2299" max="2299" width="13.140625" style="6" customWidth="1"/>
    <col min="2300" max="2300" width="12.28515625" style="6" customWidth="1"/>
    <col min="2301" max="2538" width="9.140625" style="6"/>
    <col min="2539" max="2539" width="1.42578125" style="6" customWidth="1"/>
    <col min="2540" max="2540" width="59.5703125" style="6" customWidth="1"/>
    <col min="2541" max="2541" width="9.140625" style="6" customWidth="1"/>
    <col min="2542" max="2543" width="3.85546875" style="6" customWidth="1"/>
    <col min="2544" max="2544" width="10.5703125" style="6" customWidth="1"/>
    <col min="2545" max="2545" width="3.85546875" style="6" customWidth="1"/>
    <col min="2546" max="2548" width="14.42578125" style="6" customWidth="1"/>
    <col min="2549" max="2549" width="4.140625" style="6" customWidth="1"/>
    <col min="2550" max="2550" width="15" style="6" customWidth="1"/>
    <col min="2551" max="2552" width="9.140625" style="6" customWidth="1"/>
    <col min="2553" max="2553" width="11.5703125" style="6" customWidth="1"/>
    <col min="2554" max="2554" width="18.140625" style="6" customWidth="1"/>
    <col min="2555" max="2555" width="13.140625" style="6" customWidth="1"/>
    <col min="2556" max="2556" width="12.28515625" style="6" customWidth="1"/>
    <col min="2557" max="2794" width="9.140625" style="6"/>
    <col min="2795" max="2795" width="1.42578125" style="6" customWidth="1"/>
    <col min="2796" max="2796" width="59.5703125" style="6" customWidth="1"/>
    <col min="2797" max="2797" width="9.140625" style="6" customWidth="1"/>
    <col min="2798" max="2799" width="3.85546875" style="6" customWidth="1"/>
    <col min="2800" max="2800" width="10.5703125" style="6" customWidth="1"/>
    <col min="2801" max="2801" width="3.85546875" style="6" customWidth="1"/>
    <col min="2802" max="2804" width="14.42578125" style="6" customWidth="1"/>
    <col min="2805" max="2805" width="4.140625" style="6" customWidth="1"/>
    <col min="2806" max="2806" width="15" style="6" customWidth="1"/>
    <col min="2807" max="2808" width="9.140625" style="6" customWidth="1"/>
    <col min="2809" max="2809" width="11.5703125" style="6" customWidth="1"/>
    <col min="2810" max="2810" width="18.140625" style="6" customWidth="1"/>
    <col min="2811" max="2811" width="13.140625" style="6" customWidth="1"/>
    <col min="2812" max="2812" width="12.28515625" style="6" customWidth="1"/>
    <col min="2813" max="3050" width="9.140625" style="6"/>
    <col min="3051" max="3051" width="1.42578125" style="6" customWidth="1"/>
    <col min="3052" max="3052" width="59.5703125" style="6" customWidth="1"/>
    <col min="3053" max="3053" width="9.140625" style="6" customWidth="1"/>
    <col min="3054" max="3055" width="3.85546875" style="6" customWidth="1"/>
    <col min="3056" max="3056" width="10.5703125" style="6" customWidth="1"/>
    <col min="3057" max="3057" width="3.85546875" style="6" customWidth="1"/>
    <col min="3058" max="3060" width="14.42578125" style="6" customWidth="1"/>
    <col min="3061" max="3061" width="4.140625" style="6" customWidth="1"/>
    <col min="3062" max="3062" width="15" style="6" customWidth="1"/>
    <col min="3063" max="3064" width="9.140625" style="6" customWidth="1"/>
    <col min="3065" max="3065" width="11.5703125" style="6" customWidth="1"/>
    <col min="3066" max="3066" width="18.140625" style="6" customWidth="1"/>
    <col min="3067" max="3067" width="13.140625" style="6" customWidth="1"/>
    <col min="3068" max="3068" width="12.28515625" style="6" customWidth="1"/>
    <col min="3069" max="3306" width="9.140625" style="6"/>
    <col min="3307" max="3307" width="1.42578125" style="6" customWidth="1"/>
    <col min="3308" max="3308" width="59.5703125" style="6" customWidth="1"/>
    <col min="3309" max="3309" width="9.140625" style="6" customWidth="1"/>
    <col min="3310" max="3311" width="3.85546875" style="6" customWidth="1"/>
    <col min="3312" max="3312" width="10.5703125" style="6" customWidth="1"/>
    <col min="3313" max="3313" width="3.85546875" style="6" customWidth="1"/>
    <col min="3314" max="3316" width="14.42578125" style="6" customWidth="1"/>
    <col min="3317" max="3317" width="4.140625" style="6" customWidth="1"/>
    <col min="3318" max="3318" width="15" style="6" customWidth="1"/>
    <col min="3319" max="3320" width="9.140625" style="6" customWidth="1"/>
    <col min="3321" max="3321" width="11.5703125" style="6" customWidth="1"/>
    <col min="3322" max="3322" width="18.140625" style="6" customWidth="1"/>
    <col min="3323" max="3323" width="13.140625" style="6" customWidth="1"/>
    <col min="3324" max="3324" width="12.28515625" style="6" customWidth="1"/>
    <col min="3325" max="3562" width="9.140625" style="6"/>
    <col min="3563" max="3563" width="1.42578125" style="6" customWidth="1"/>
    <col min="3564" max="3564" width="59.5703125" style="6" customWidth="1"/>
    <col min="3565" max="3565" width="9.140625" style="6" customWidth="1"/>
    <col min="3566" max="3567" width="3.85546875" style="6" customWidth="1"/>
    <col min="3568" max="3568" width="10.5703125" style="6" customWidth="1"/>
    <col min="3569" max="3569" width="3.85546875" style="6" customWidth="1"/>
    <col min="3570" max="3572" width="14.42578125" style="6" customWidth="1"/>
    <col min="3573" max="3573" width="4.140625" style="6" customWidth="1"/>
    <col min="3574" max="3574" width="15" style="6" customWidth="1"/>
    <col min="3575" max="3576" width="9.140625" style="6" customWidth="1"/>
    <col min="3577" max="3577" width="11.5703125" style="6" customWidth="1"/>
    <col min="3578" max="3578" width="18.140625" style="6" customWidth="1"/>
    <col min="3579" max="3579" width="13.140625" style="6" customWidth="1"/>
    <col min="3580" max="3580" width="12.28515625" style="6" customWidth="1"/>
    <col min="3581" max="3818" width="9.140625" style="6"/>
    <col min="3819" max="3819" width="1.42578125" style="6" customWidth="1"/>
    <col min="3820" max="3820" width="59.5703125" style="6" customWidth="1"/>
    <col min="3821" max="3821" width="9.140625" style="6" customWidth="1"/>
    <col min="3822" max="3823" width="3.85546875" style="6" customWidth="1"/>
    <col min="3824" max="3824" width="10.5703125" style="6" customWidth="1"/>
    <col min="3825" max="3825" width="3.85546875" style="6" customWidth="1"/>
    <col min="3826" max="3828" width="14.42578125" style="6" customWidth="1"/>
    <col min="3829" max="3829" width="4.140625" style="6" customWidth="1"/>
    <col min="3830" max="3830" width="15" style="6" customWidth="1"/>
    <col min="3831" max="3832" width="9.140625" style="6" customWidth="1"/>
    <col min="3833" max="3833" width="11.5703125" style="6" customWidth="1"/>
    <col min="3834" max="3834" width="18.140625" style="6" customWidth="1"/>
    <col min="3835" max="3835" width="13.140625" style="6" customWidth="1"/>
    <col min="3836" max="3836" width="12.28515625" style="6" customWidth="1"/>
    <col min="3837" max="4074" width="9.140625" style="6"/>
    <col min="4075" max="4075" width="1.42578125" style="6" customWidth="1"/>
    <col min="4076" max="4076" width="59.5703125" style="6" customWidth="1"/>
    <col min="4077" max="4077" width="9.140625" style="6" customWidth="1"/>
    <col min="4078" max="4079" width="3.85546875" style="6" customWidth="1"/>
    <col min="4080" max="4080" width="10.5703125" style="6" customWidth="1"/>
    <col min="4081" max="4081" width="3.85546875" style="6" customWidth="1"/>
    <col min="4082" max="4084" width="14.42578125" style="6" customWidth="1"/>
    <col min="4085" max="4085" width="4.140625" style="6" customWidth="1"/>
    <col min="4086" max="4086" width="15" style="6" customWidth="1"/>
    <col min="4087" max="4088" width="9.140625" style="6" customWidth="1"/>
    <col min="4089" max="4089" width="11.5703125" style="6" customWidth="1"/>
    <col min="4090" max="4090" width="18.140625" style="6" customWidth="1"/>
    <col min="4091" max="4091" width="13.140625" style="6" customWidth="1"/>
    <col min="4092" max="4092" width="12.28515625" style="6" customWidth="1"/>
    <col min="4093" max="4330" width="9.140625" style="6"/>
    <col min="4331" max="4331" width="1.42578125" style="6" customWidth="1"/>
    <col min="4332" max="4332" width="59.5703125" style="6" customWidth="1"/>
    <col min="4333" max="4333" width="9.140625" style="6" customWidth="1"/>
    <col min="4334" max="4335" width="3.85546875" style="6" customWidth="1"/>
    <col min="4336" max="4336" width="10.5703125" style="6" customWidth="1"/>
    <col min="4337" max="4337" width="3.85546875" style="6" customWidth="1"/>
    <col min="4338" max="4340" width="14.42578125" style="6" customWidth="1"/>
    <col min="4341" max="4341" width="4.140625" style="6" customWidth="1"/>
    <col min="4342" max="4342" width="15" style="6" customWidth="1"/>
    <col min="4343" max="4344" width="9.140625" style="6" customWidth="1"/>
    <col min="4345" max="4345" width="11.5703125" style="6" customWidth="1"/>
    <col min="4346" max="4346" width="18.140625" style="6" customWidth="1"/>
    <col min="4347" max="4347" width="13.140625" style="6" customWidth="1"/>
    <col min="4348" max="4348" width="12.28515625" style="6" customWidth="1"/>
    <col min="4349" max="4586" width="9.140625" style="6"/>
    <col min="4587" max="4587" width="1.42578125" style="6" customWidth="1"/>
    <col min="4588" max="4588" width="59.5703125" style="6" customWidth="1"/>
    <col min="4589" max="4589" width="9.140625" style="6" customWidth="1"/>
    <col min="4590" max="4591" width="3.85546875" style="6" customWidth="1"/>
    <col min="4592" max="4592" width="10.5703125" style="6" customWidth="1"/>
    <col min="4593" max="4593" width="3.85546875" style="6" customWidth="1"/>
    <col min="4594" max="4596" width="14.42578125" style="6" customWidth="1"/>
    <col min="4597" max="4597" width="4.140625" style="6" customWidth="1"/>
    <col min="4598" max="4598" width="15" style="6" customWidth="1"/>
    <col min="4599" max="4600" width="9.140625" style="6" customWidth="1"/>
    <col min="4601" max="4601" width="11.5703125" style="6" customWidth="1"/>
    <col min="4602" max="4602" width="18.140625" style="6" customWidth="1"/>
    <col min="4603" max="4603" width="13.140625" style="6" customWidth="1"/>
    <col min="4604" max="4604" width="12.28515625" style="6" customWidth="1"/>
    <col min="4605" max="4842" width="9.140625" style="6"/>
    <col min="4843" max="4843" width="1.42578125" style="6" customWidth="1"/>
    <col min="4844" max="4844" width="59.5703125" style="6" customWidth="1"/>
    <col min="4845" max="4845" width="9.140625" style="6" customWidth="1"/>
    <col min="4846" max="4847" width="3.85546875" style="6" customWidth="1"/>
    <col min="4848" max="4848" width="10.5703125" style="6" customWidth="1"/>
    <col min="4849" max="4849" width="3.85546875" style="6" customWidth="1"/>
    <col min="4850" max="4852" width="14.42578125" style="6" customWidth="1"/>
    <col min="4853" max="4853" width="4.140625" style="6" customWidth="1"/>
    <col min="4854" max="4854" width="15" style="6" customWidth="1"/>
    <col min="4855" max="4856" width="9.140625" style="6" customWidth="1"/>
    <col min="4857" max="4857" width="11.5703125" style="6" customWidth="1"/>
    <col min="4858" max="4858" width="18.140625" style="6" customWidth="1"/>
    <col min="4859" max="4859" width="13.140625" style="6" customWidth="1"/>
    <col min="4860" max="4860" width="12.28515625" style="6" customWidth="1"/>
    <col min="4861" max="5098" width="9.140625" style="6"/>
    <col min="5099" max="5099" width="1.42578125" style="6" customWidth="1"/>
    <col min="5100" max="5100" width="59.5703125" style="6" customWidth="1"/>
    <col min="5101" max="5101" width="9.140625" style="6" customWidth="1"/>
    <col min="5102" max="5103" width="3.85546875" style="6" customWidth="1"/>
    <col min="5104" max="5104" width="10.5703125" style="6" customWidth="1"/>
    <col min="5105" max="5105" width="3.85546875" style="6" customWidth="1"/>
    <col min="5106" max="5108" width="14.42578125" style="6" customWidth="1"/>
    <col min="5109" max="5109" width="4.140625" style="6" customWidth="1"/>
    <col min="5110" max="5110" width="15" style="6" customWidth="1"/>
    <col min="5111" max="5112" width="9.140625" style="6" customWidth="1"/>
    <col min="5113" max="5113" width="11.5703125" style="6" customWidth="1"/>
    <col min="5114" max="5114" width="18.140625" style="6" customWidth="1"/>
    <col min="5115" max="5115" width="13.140625" style="6" customWidth="1"/>
    <col min="5116" max="5116" width="12.28515625" style="6" customWidth="1"/>
    <col min="5117" max="5354" width="9.140625" style="6"/>
    <col min="5355" max="5355" width="1.42578125" style="6" customWidth="1"/>
    <col min="5356" max="5356" width="59.5703125" style="6" customWidth="1"/>
    <col min="5357" max="5357" width="9.140625" style="6" customWidth="1"/>
    <col min="5358" max="5359" width="3.85546875" style="6" customWidth="1"/>
    <col min="5360" max="5360" width="10.5703125" style="6" customWidth="1"/>
    <col min="5361" max="5361" width="3.85546875" style="6" customWidth="1"/>
    <col min="5362" max="5364" width="14.42578125" style="6" customWidth="1"/>
    <col min="5365" max="5365" width="4.140625" style="6" customWidth="1"/>
    <col min="5366" max="5366" width="15" style="6" customWidth="1"/>
    <col min="5367" max="5368" width="9.140625" style="6" customWidth="1"/>
    <col min="5369" max="5369" width="11.5703125" style="6" customWidth="1"/>
    <col min="5370" max="5370" width="18.140625" style="6" customWidth="1"/>
    <col min="5371" max="5371" width="13.140625" style="6" customWidth="1"/>
    <col min="5372" max="5372" width="12.28515625" style="6" customWidth="1"/>
    <col min="5373" max="5610" width="9.140625" style="6"/>
    <col min="5611" max="5611" width="1.42578125" style="6" customWidth="1"/>
    <col min="5612" max="5612" width="59.5703125" style="6" customWidth="1"/>
    <col min="5613" max="5613" width="9.140625" style="6" customWidth="1"/>
    <col min="5614" max="5615" width="3.85546875" style="6" customWidth="1"/>
    <col min="5616" max="5616" width="10.5703125" style="6" customWidth="1"/>
    <col min="5617" max="5617" width="3.85546875" style="6" customWidth="1"/>
    <col min="5618" max="5620" width="14.42578125" style="6" customWidth="1"/>
    <col min="5621" max="5621" width="4.140625" style="6" customWidth="1"/>
    <col min="5622" max="5622" width="15" style="6" customWidth="1"/>
    <col min="5623" max="5624" width="9.140625" style="6" customWidth="1"/>
    <col min="5625" max="5625" width="11.5703125" style="6" customWidth="1"/>
    <col min="5626" max="5626" width="18.140625" style="6" customWidth="1"/>
    <col min="5627" max="5627" width="13.140625" style="6" customWidth="1"/>
    <col min="5628" max="5628" width="12.28515625" style="6" customWidth="1"/>
    <col min="5629" max="5866" width="9.140625" style="6"/>
    <col min="5867" max="5867" width="1.42578125" style="6" customWidth="1"/>
    <col min="5868" max="5868" width="59.5703125" style="6" customWidth="1"/>
    <col min="5869" max="5869" width="9.140625" style="6" customWidth="1"/>
    <col min="5870" max="5871" width="3.85546875" style="6" customWidth="1"/>
    <col min="5872" max="5872" width="10.5703125" style="6" customWidth="1"/>
    <col min="5873" max="5873" width="3.85546875" style="6" customWidth="1"/>
    <col min="5874" max="5876" width="14.42578125" style="6" customWidth="1"/>
    <col min="5877" max="5877" width="4.140625" style="6" customWidth="1"/>
    <col min="5878" max="5878" width="15" style="6" customWidth="1"/>
    <col min="5879" max="5880" width="9.140625" style="6" customWidth="1"/>
    <col min="5881" max="5881" width="11.5703125" style="6" customWidth="1"/>
    <col min="5882" max="5882" width="18.140625" style="6" customWidth="1"/>
    <col min="5883" max="5883" width="13.140625" style="6" customWidth="1"/>
    <col min="5884" max="5884" width="12.28515625" style="6" customWidth="1"/>
    <col min="5885" max="6122" width="9.140625" style="6"/>
    <col min="6123" max="6123" width="1.42578125" style="6" customWidth="1"/>
    <col min="6124" max="6124" width="59.5703125" style="6" customWidth="1"/>
    <col min="6125" max="6125" width="9.140625" style="6" customWidth="1"/>
    <col min="6126" max="6127" width="3.85546875" style="6" customWidth="1"/>
    <col min="6128" max="6128" width="10.5703125" style="6" customWidth="1"/>
    <col min="6129" max="6129" width="3.85546875" style="6" customWidth="1"/>
    <col min="6130" max="6132" width="14.42578125" style="6" customWidth="1"/>
    <col min="6133" max="6133" width="4.140625" style="6" customWidth="1"/>
    <col min="6134" max="6134" width="15" style="6" customWidth="1"/>
    <col min="6135" max="6136" width="9.140625" style="6" customWidth="1"/>
    <col min="6137" max="6137" width="11.5703125" style="6" customWidth="1"/>
    <col min="6138" max="6138" width="18.140625" style="6" customWidth="1"/>
    <col min="6139" max="6139" width="13.140625" style="6" customWidth="1"/>
    <col min="6140" max="6140" width="12.28515625" style="6" customWidth="1"/>
    <col min="6141" max="6378" width="9.140625" style="6"/>
    <col min="6379" max="6379" width="1.42578125" style="6" customWidth="1"/>
    <col min="6380" max="6380" width="59.5703125" style="6" customWidth="1"/>
    <col min="6381" max="6381" width="9.140625" style="6" customWidth="1"/>
    <col min="6382" max="6383" width="3.85546875" style="6" customWidth="1"/>
    <col min="6384" max="6384" width="10.5703125" style="6" customWidth="1"/>
    <col min="6385" max="6385" width="3.85546875" style="6" customWidth="1"/>
    <col min="6386" max="6388" width="14.42578125" style="6" customWidth="1"/>
    <col min="6389" max="6389" width="4.140625" style="6" customWidth="1"/>
    <col min="6390" max="6390" width="15" style="6" customWidth="1"/>
    <col min="6391" max="6392" width="9.140625" style="6" customWidth="1"/>
    <col min="6393" max="6393" width="11.5703125" style="6" customWidth="1"/>
    <col min="6394" max="6394" width="18.140625" style="6" customWidth="1"/>
    <col min="6395" max="6395" width="13.140625" style="6" customWidth="1"/>
    <col min="6396" max="6396" width="12.28515625" style="6" customWidth="1"/>
    <col min="6397" max="6634" width="9.140625" style="6"/>
    <col min="6635" max="6635" width="1.42578125" style="6" customWidth="1"/>
    <col min="6636" max="6636" width="59.5703125" style="6" customWidth="1"/>
    <col min="6637" max="6637" width="9.140625" style="6" customWidth="1"/>
    <col min="6638" max="6639" width="3.85546875" style="6" customWidth="1"/>
    <col min="6640" max="6640" width="10.5703125" style="6" customWidth="1"/>
    <col min="6641" max="6641" width="3.85546875" style="6" customWidth="1"/>
    <col min="6642" max="6644" width="14.42578125" style="6" customWidth="1"/>
    <col min="6645" max="6645" width="4.140625" style="6" customWidth="1"/>
    <col min="6646" max="6646" width="15" style="6" customWidth="1"/>
    <col min="6647" max="6648" width="9.140625" style="6" customWidth="1"/>
    <col min="6649" max="6649" width="11.5703125" style="6" customWidth="1"/>
    <col min="6650" max="6650" width="18.140625" style="6" customWidth="1"/>
    <col min="6651" max="6651" width="13.140625" style="6" customWidth="1"/>
    <col min="6652" max="6652" width="12.28515625" style="6" customWidth="1"/>
    <col min="6653" max="6890" width="9.140625" style="6"/>
    <col min="6891" max="6891" width="1.42578125" style="6" customWidth="1"/>
    <col min="6892" max="6892" width="59.5703125" style="6" customWidth="1"/>
    <col min="6893" max="6893" width="9.140625" style="6" customWidth="1"/>
    <col min="6894" max="6895" width="3.85546875" style="6" customWidth="1"/>
    <col min="6896" max="6896" width="10.5703125" style="6" customWidth="1"/>
    <col min="6897" max="6897" width="3.85546875" style="6" customWidth="1"/>
    <col min="6898" max="6900" width="14.42578125" style="6" customWidth="1"/>
    <col min="6901" max="6901" width="4.140625" style="6" customWidth="1"/>
    <col min="6902" max="6902" width="15" style="6" customWidth="1"/>
    <col min="6903" max="6904" width="9.140625" style="6" customWidth="1"/>
    <col min="6905" max="6905" width="11.5703125" style="6" customWidth="1"/>
    <col min="6906" max="6906" width="18.140625" style="6" customWidth="1"/>
    <col min="6907" max="6907" width="13.140625" style="6" customWidth="1"/>
    <col min="6908" max="6908" width="12.28515625" style="6" customWidth="1"/>
    <col min="6909" max="7146" width="9.140625" style="6"/>
    <col min="7147" max="7147" width="1.42578125" style="6" customWidth="1"/>
    <col min="7148" max="7148" width="59.5703125" style="6" customWidth="1"/>
    <col min="7149" max="7149" width="9.140625" style="6" customWidth="1"/>
    <col min="7150" max="7151" width="3.85546875" style="6" customWidth="1"/>
    <col min="7152" max="7152" width="10.5703125" style="6" customWidth="1"/>
    <col min="7153" max="7153" width="3.85546875" style="6" customWidth="1"/>
    <col min="7154" max="7156" width="14.42578125" style="6" customWidth="1"/>
    <col min="7157" max="7157" width="4.140625" style="6" customWidth="1"/>
    <col min="7158" max="7158" width="15" style="6" customWidth="1"/>
    <col min="7159" max="7160" width="9.140625" style="6" customWidth="1"/>
    <col min="7161" max="7161" width="11.5703125" style="6" customWidth="1"/>
    <col min="7162" max="7162" width="18.140625" style="6" customWidth="1"/>
    <col min="7163" max="7163" width="13.140625" style="6" customWidth="1"/>
    <col min="7164" max="7164" width="12.28515625" style="6" customWidth="1"/>
    <col min="7165" max="7402" width="9.140625" style="6"/>
    <col min="7403" max="7403" width="1.42578125" style="6" customWidth="1"/>
    <col min="7404" max="7404" width="59.5703125" style="6" customWidth="1"/>
    <col min="7405" max="7405" width="9.140625" style="6" customWidth="1"/>
    <col min="7406" max="7407" width="3.85546875" style="6" customWidth="1"/>
    <col min="7408" max="7408" width="10.5703125" style="6" customWidth="1"/>
    <col min="7409" max="7409" width="3.85546875" style="6" customWidth="1"/>
    <col min="7410" max="7412" width="14.42578125" style="6" customWidth="1"/>
    <col min="7413" max="7413" width="4.140625" style="6" customWidth="1"/>
    <col min="7414" max="7414" width="15" style="6" customWidth="1"/>
    <col min="7415" max="7416" width="9.140625" style="6" customWidth="1"/>
    <col min="7417" max="7417" width="11.5703125" style="6" customWidth="1"/>
    <col min="7418" max="7418" width="18.140625" style="6" customWidth="1"/>
    <col min="7419" max="7419" width="13.140625" style="6" customWidth="1"/>
    <col min="7420" max="7420" width="12.28515625" style="6" customWidth="1"/>
    <col min="7421" max="7658" width="9.140625" style="6"/>
    <col min="7659" max="7659" width="1.42578125" style="6" customWidth="1"/>
    <col min="7660" max="7660" width="59.5703125" style="6" customWidth="1"/>
    <col min="7661" max="7661" width="9.140625" style="6" customWidth="1"/>
    <col min="7662" max="7663" width="3.85546875" style="6" customWidth="1"/>
    <col min="7664" max="7664" width="10.5703125" style="6" customWidth="1"/>
    <col min="7665" max="7665" width="3.85546875" style="6" customWidth="1"/>
    <col min="7666" max="7668" width="14.42578125" style="6" customWidth="1"/>
    <col min="7669" max="7669" width="4.140625" style="6" customWidth="1"/>
    <col min="7670" max="7670" width="15" style="6" customWidth="1"/>
    <col min="7671" max="7672" width="9.140625" style="6" customWidth="1"/>
    <col min="7673" max="7673" width="11.5703125" style="6" customWidth="1"/>
    <col min="7674" max="7674" width="18.140625" style="6" customWidth="1"/>
    <col min="7675" max="7675" width="13.140625" style="6" customWidth="1"/>
    <col min="7676" max="7676" width="12.28515625" style="6" customWidth="1"/>
    <col min="7677" max="7914" width="9.140625" style="6"/>
    <col min="7915" max="7915" width="1.42578125" style="6" customWidth="1"/>
    <col min="7916" max="7916" width="59.5703125" style="6" customWidth="1"/>
    <col min="7917" max="7917" width="9.140625" style="6" customWidth="1"/>
    <col min="7918" max="7919" width="3.85546875" style="6" customWidth="1"/>
    <col min="7920" max="7920" width="10.5703125" style="6" customWidth="1"/>
    <col min="7921" max="7921" width="3.85546875" style="6" customWidth="1"/>
    <col min="7922" max="7924" width="14.42578125" style="6" customWidth="1"/>
    <col min="7925" max="7925" width="4.140625" style="6" customWidth="1"/>
    <col min="7926" max="7926" width="15" style="6" customWidth="1"/>
    <col min="7927" max="7928" width="9.140625" style="6" customWidth="1"/>
    <col min="7929" max="7929" width="11.5703125" style="6" customWidth="1"/>
    <col min="7930" max="7930" width="18.140625" style="6" customWidth="1"/>
    <col min="7931" max="7931" width="13.140625" style="6" customWidth="1"/>
    <col min="7932" max="7932" width="12.28515625" style="6" customWidth="1"/>
    <col min="7933" max="8170" width="9.140625" style="6"/>
    <col min="8171" max="8171" width="1.42578125" style="6" customWidth="1"/>
    <col min="8172" max="8172" width="59.5703125" style="6" customWidth="1"/>
    <col min="8173" max="8173" width="9.140625" style="6" customWidth="1"/>
    <col min="8174" max="8175" width="3.85546875" style="6" customWidth="1"/>
    <col min="8176" max="8176" width="10.5703125" style="6" customWidth="1"/>
    <col min="8177" max="8177" width="3.85546875" style="6" customWidth="1"/>
    <col min="8178" max="8180" width="14.42578125" style="6" customWidth="1"/>
    <col min="8181" max="8181" width="4.140625" style="6" customWidth="1"/>
    <col min="8182" max="8182" width="15" style="6" customWidth="1"/>
    <col min="8183" max="8184" width="9.140625" style="6" customWidth="1"/>
    <col min="8185" max="8185" width="11.5703125" style="6" customWidth="1"/>
    <col min="8186" max="8186" width="18.140625" style="6" customWidth="1"/>
    <col min="8187" max="8187" width="13.140625" style="6" customWidth="1"/>
    <col min="8188" max="8188" width="12.28515625" style="6" customWidth="1"/>
    <col min="8189" max="8426" width="9.140625" style="6"/>
    <col min="8427" max="8427" width="1.42578125" style="6" customWidth="1"/>
    <col min="8428" max="8428" width="59.5703125" style="6" customWidth="1"/>
    <col min="8429" max="8429" width="9.140625" style="6" customWidth="1"/>
    <col min="8430" max="8431" width="3.85546875" style="6" customWidth="1"/>
    <col min="8432" max="8432" width="10.5703125" style="6" customWidth="1"/>
    <col min="8433" max="8433" width="3.85546875" style="6" customWidth="1"/>
    <col min="8434" max="8436" width="14.42578125" style="6" customWidth="1"/>
    <col min="8437" max="8437" width="4.140625" style="6" customWidth="1"/>
    <col min="8438" max="8438" width="15" style="6" customWidth="1"/>
    <col min="8439" max="8440" width="9.140625" style="6" customWidth="1"/>
    <col min="8441" max="8441" width="11.5703125" style="6" customWidth="1"/>
    <col min="8442" max="8442" width="18.140625" style="6" customWidth="1"/>
    <col min="8443" max="8443" width="13.140625" style="6" customWidth="1"/>
    <col min="8444" max="8444" width="12.28515625" style="6" customWidth="1"/>
    <col min="8445" max="8682" width="9.140625" style="6"/>
    <col min="8683" max="8683" width="1.42578125" style="6" customWidth="1"/>
    <col min="8684" max="8684" width="59.5703125" style="6" customWidth="1"/>
    <col min="8685" max="8685" width="9.140625" style="6" customWidth="1"/>
    <col min="8686" max="8687" width="3.85546875" style="6" customWidth="1"/>
    <col min="8688" max="8688" width="10.5703125" style="6" customWidth="1"/>
    <col min="8689" max="8689" width="3.85546875" style="6" customWidth="1"/>
    <col min="8690" max="8692" width="14.42578125" style="6" customWidth="1"/>
    <col min="8693" max="8693" width="4.140625" style="6" customWidth="1"/>
    <col min="8694" max="8694" width="15" style="6" customWidth="1"/>
    <col min="8695" max="8696" width="9.140625" style="6" customWidth="1"/>
    <col min="8697" max="8697" width="11.5703125" style="6" customWidth="1"/>
    <col min="8698" max="8698" width="18.140625" style="6" customWidth="1"/>
    <col min="8699" max="8699" width="13.140625" style="6" customWidth="1"/>
    <col min="8700" max="8700" width="12.28515625" style="6" customWidth="1"/>
    <col min="8701" max="8938" width="9.140625" style="6"/>
    <col min="8939" max="8939" width="1.42578125" style="6" customWidth="1"/>
    <col min="8940" max="8940" width="59.5703125" style="6" customWidth="1"/>
    <col min="8941" max="8941" width="9.140625" style="6" customWidth="1"/>
    <col min="8942" max="8943" width="3.85546875" style="6" customWidth="1"/>
    <col min="8944" max="8944" width="10.5703125" style="6" customWidth="1"/>
    <col min="8945" max="8945" width="3.85546875" style="6" customWidth="1"/>
    <col min="8946" max="8948" width="14.42578125" style="6" customWidth="1"/>
    <col min="8949" max="8949" width="4.140625" style="6" customWidth="1"/>
    <col min="8950" max="8950" width="15" style="6" customWidth="1"/>
    <col min="8951" max="8952" width="9.140625" style="6" customWidth="1"/>
    <col min="8953" max="8953" width="11.5703125" style="6" customWidth="1"/>
    <col min="8954" max="8954" width="18.140625" style="6" customWidth="1"/>
    <col min="8955" max="8955" width="13.140625" style="6" customWidth="1"/>
    <col min="8956" max="8956" width="12.28515625" style="6" customWidth="1"/>
    <col min="8957" max="9194" width="9.140625" style="6"/>
    <col min="9195" max="9195" width="1.42578125" style="6" customWidth="1"/>
    <col min="9196" max="9196" width="59.5703125" style="6" customWidth="1"/>
    <col min="9197" max="9197" width="9.140625" style="6" customWidth="1"/>
    <col min="9198" max="9199" width="3.85546875" style="6" customWidth="1"/>
    <col min="9200" max="9200" width="10.5703125" style="6" customWidth="1"/>
    <col min="9201" max="9201" width="3.85546875" style="6" customWidth="1"/>
    <col min="9202" max="9204" width="14.42578125" style="6" customWidth="1"/>
    <col min="9205" max="9205" width="4.140625" style="6" customWidth="1"/>
    <col min="9206" max="9206" width="15" style="6" customWidth="1"/>
    <col min="9207" max="9208" width="9.140625" style="6" customWidth="1"/>
    <col min="9209" max="9209" width="11.5703125" style="6" customWidth="1"/>
    <col min="9210" max="9210" width="18.140625" style="6" customWidth="1"/>
    <col min="9211" max="9211" width="13.140625" style="6" customWidth="1"/>
    <col min="9212" max="9212" width="12.28515625" style="6" customWidth="1"/>
    <col min="9213" max="9450" width="9.140625" style="6"/>
    <col min="9451" max="9451" width="1.42578125" style="6" customWidth="1"/>
    <col min="9452" max="9452" width="59.5703125" style="6" customWidth="1"/>
    <col min="9453" max="9453" width="9.140625" style="6" customWidth="1"/>
    <col min="9454" max="9455" width="3.85546875" style="6" customWidth="1"/>
    <col min="9456" max="9456" width="10.5703125" style="6" customWidth="1"/>
    <col min="9457" max="9457" width="3.85546875" style="6" customWidth="1"/>
    <col min="9458" max="9460" width="14.42578125" style="6" customWidth="1"/>
    <col min="9461" max="9461" width="4.140625" style="6" customWidth="1"/>
    <col min="9462" max="9462" width="15" style="6" customWidth="1"/>
    <col min="9463" max="9464" width="9.140625" style="6" customWidth="1"/>
    <col min="9465" max="9465" width="11.5703125" style="6" customWidth="1"/>
    <col min="9466" max="9466" width="18.140625" style="6" customWidth="1"/>
    <col min="9467" max="9467" width="13.140625" style="6" customWidth="1"/>
    <col min="9468" max="9468" width="12.28515625" style="6" customWidth="1"/>
    <col min="9469" max="9706" width="9.140625" style="6"/>
    <col min="9707" max="9707" width="1.42578125" style="6" customWidth="1"/>
    <col min="9708" max="9708" width="59.5703125" style="6" customWidth="1"/>
    <col min="9709" max="9709" width="9.140625" style="6" customWidth="1"/>
    <col min="9710" max="9711" width="3.85546875" style="6" customWidth="1"/>
    <col min="9712" max="9712" width="10.5703125" style="6" customWidth="1"/>
    <col min="9713" max="9713" width="3.85546875" style="6" customWidth="1"/>
    <col min="9714" max="9716" width="14.42578125" style="6" customWidth="1"/>
    <col min="9717" max="9717" width="4.140625" style="6" customWidth="1"/>
    <col min="9718" max="9718" width="15" style="6" customWidth="1"/>
    <col min="9719" max="9720" width="9.140625" style="6" customWidth="1"/>
    <col min="9721" max="9721" width="11.5703125" style="6" customWidth="1"/>
    <col min="9722" max="9722" width="18.140625" style="6" customWidth="1"/>
    <col min="9723" max="9723" width="13.140625" style="6" customWidth="1"/>
    <col min="9724" max="9724" width="12.28515625" style="6" customWidth="1"/>
    <col min="9725" max="9962" width="9.140625" style="6"/>
    <col min="9963" max="9963" width="1.42578125" style="6" customWidth="1"/>
    <col min="9964" max="9964" width="59.5703125" style="6" customWidth="1"/>
    <col min="9965" max="9965" width="9.140625" style="6" customWidth="1"/>
    <col min="9966" max="9967" width="3.85546875" style="6" customWidth="1"/>
    <col min="9968" max="9968" width="10.5703125" style="6" customWidth="1"/>
    <col min="9969" max="9969" width="3.85546875" style="6" customWidth="1"/>
    <col min="9970" max="9972" width="14.42578125" style="6" customWidth="1"/>
    <col min="9973" max="9973" width="4.140625" style="6" customWidth="1"/>
    <col min="9974" max="9974" width="15" style="6" customWidth="1"/>
    <col min="9975" max="9976" width="9.140625" style="6" customWidth="1"/>
    <col min="9977" max="9977" width="11.5703125" style="6" customWidth="1"/>
    <col min="9978" max="9978" width="18.140625" style="6" customWidth="1"/>
    <col min="9979" max="9979" width="13.140625" style="6" customWidth="1"/>
    <col min="9980" max="9980" width="12.28515625" style="6" customWidth="1"/>
    <col min="9981" max="10218" width="9.140625" style="6"/>
    <col min="10219" max="10219" width="1.42578125" style="6" customWidth="1"/>
    <col min="10220" max="10220" width="59.5703125" style="6" customWidth="1"/>
    <col min="10221" max="10221" width="9.140625" style="6" customWidth="1"/>
    <col min="10222" max="10223" width="3.85546875" style="6" customWidth="1"/>
    <col min="10224" max="10224" width="10.5703125" style="6" customWidth="1"/>
    <col min="10225" max="10225" width="3.85546875" style="6" customWidth="1"/>
    <col min="10226" max="10228" width="14.42578125" style="6" customWidth="1"/>
    <col min="10229" max="10229" width="4.140625" style="6" customWidth="1"/>
    <col min="10230" max="10230" width="15" style="6" customWidth="1"/>
    <col min="10231" max="10232" width="9.140625" style="6" customWidth="1"/>
    <col min="10233" max="10233" width="11.5703125" style="6" customWidth="1"/>
    <col min="10234" max="10234" width="18.140625" style="6" customWidth="1"/>
    <col min="10235" max="10235" width="13.140625" style="6" customWidth="1"/>
    <col min="10236" max="10236" width="12.28515625" style="6" customWidth="1"/>
    <col min="10237" max="10474" width="9.140625" style="6"/>
    <col min="10475" max="10475" width="1.42578125" style="6" customWidth="1"/>
    <col min="10476" max="10476" width="59.5703125" style="6" customWidth="1"/>
    <col min="10477" max="10477" width="9.140625" style="6" customWidth="1"/>
    <col min="10478" max="10479" width="3.85546875" style="6" customWidth="1"/>
    <col min="10480" max="10480" width="10.5703125" style="6" customWidth="1"/>
    <col min="10481" max="10481" width="3.85546875" style="6" customWidth="1"/>
    <col min="10482" max="10484" width="14.42578125" style="6" customWidth="1"/>
    <col min="10485" max="10485" width="4.140625" style="6" customWidth="1"/>
    <col min="10486" max="10486" width="15" style="6" customWidth="1"/>
    <col min="10487" max="10488" width="9.140625" style="6" customWidth="1"/>
    <col min="10489" max="10489" width="11.5703125" style="6" customWidth="1"/>
    <col min="10490" max="10490" width="18.140625" style="6" customWidth="1"/>
    <col min="10491" max="10491" width="13.140625" style="6" customWidth="1"/>
    <col min="10492" max="10492" width="12.28515625" style="6" customWidth="1"/>
    <col min="10493" max="10730" width="9.140625" style="6"/>
    <col min="10731" max="10731" width="1.42578125" style="6" customWidth="1"/>
    <col min="10732" max="10732" width="59.5703125" style="6" customWidth="1"/>
    <col min="10733" max="10733" width="9.140625" style="6" customWidth="1"/>
    <col min="10734" max="10735" width="3.85546875" style="6" customWidth="1"/>
    <col min="10736" max="10736" width="10.5703125" style="6" customWidth="1"/>
    <col min="10737" max="10737" width="3.85546875" style="6" customWidth="1"/>
    <col min="10738" max="10740" width="14.42578125" style="6" customWidth="1"/>
    <col min="10741" max="10741" width="4.140625" style="6" customWidth="1"/>
    <col min="10742" max="10742" width="15" style="6" customWidth="1"/>
    <col min="10743" max="10744" width="9.140625" style="6" customWidth="1"/>
    <col min="10745" max="10745" width="11.5703125" style="6" customWidth="1"/>
    <col min="10746" max="10746" width="18.140625" style="6" customWidth="1"/>
    <col min="10747" max="10747" width="13.140625" style="6" customWidth="1"/>
    <col min="10748" max="10748" width="12.28515625" style="6" customWidth="1"/>
    <col min="10749" max="10986" width="9.140625" style="6"/>
    <col min="10987" max="10987" width="1.42578125" style="6" customWidth="1"/>
    <col min="10988" max="10988" width="59.5703125" style="6" customWidth="1"/>
    <col min="10989" max="10989" width="9.140625" style="6" customWidth="1"/>
    <col min="10990" max="10991" width="3.85546875" style="6" customWidth="1"/>
    <col min="10992" max="10992" width="10.5703125" style="6" customWidth="1"/>
    <col min="10993" max="10993" width="3.85546875" style="6" customWidth="1"/>
    <col min="10994" max="10996" width="14.42578125" style="6" customWidth="1"/>
    <col min="10997" max="10997" width="4.140625" style="6" customWidth="1"/>
    <col min="10998" max="10998" width="15" style="6" customWidth="1"/>
    <col min="10999" max="11000" width="9.140625" style="6" customWidth="1"/>
    <col min="11001" max="11001" width="11.5703125" style="6" customWidth="1"/>
    <col min="11002" max="11002" width="18.140625" style="6" customWidth="1"/>
    <col min="11003" max="11003" width="13.140625" style="6" customWidth="1"/>
    <col min="11004" max="11004" width="12.28515625" style="6" customWidth="1"/>
    <col min="11005" max="11242" width="9.140625" style="6"/>
    <col min="11243" max="11243" width="1.42578125" style="6" customWidth="1"/>
    <col min="11244" max="11244" width="59.5703125" style="6" customWidth="1"/>
    <col min="11245" max="11245" width="9.140625" style="6" customWidth="1"/>
    <col min="11246" max="11247" width="3.85546875" style="6" customWidth="1"/>
    <col min="11248" max="11248" width="10.5703125" style="6" customWidth="1"/>
    <col min="11249" max="11249" width="3.85546875" style="6" customWidth="1"/>
    <col min="11250" max="11252" width="14.42578125" style="6" customWidth="1"/>
    <col min="11253" max="11253" width="4.140625" style="6" customWidth="1"/>
    <col min="11254" max="11254" width="15" style="6" customWidth="1"/>
    <col min="11255" max="11256" width="9.140625" style="6" customWidth="1"/>
    <col min="11257" max="11257" width="11.5703125" style="6" customWidth="1"/>
    <col min="11258" max="11258" width="18.140625" style="6" customWidth="1"/>
    <col min="11259" max="11259" width="13.140625" style="6" customWidth="1"/>
    <col min="11260" max="11260" width="12.28515625" style="6" customWidth="1"/>
    <col min="11261" max="11498" width="9.140625" style="6"/>
    <col min="11499" max="11499" width="1.42578125" style="6" customWidth="1"/>
    <col min="11500" max="11500" width="59.5703125" style="6" customWidth="1"/>
    <col min="11501" max="11501" width="9.140625" style="6" customWidth="1"/>
    <col min="11502" max="11503" width="3.85546875" style="6" customWidth="1"/>
    <col min="11504" max="11504" width="10.5703125" style="6" customWidth="1"/>
    <col min="11505" max="11505" width="3.85546875" style="6" customWidth="1"/>
    <col min="11506" max="11508" width="14.42578125" style="6" customWidth="1"/>
    <col min="11509" max="11509" width="4.140625" style="6" customWidth="1"/>
    <col min="11510" max="11510" width="15" style="6" customWidth="1"/>
    <col min="11511" max="11512" width="9.140625" style="6" customWidth="1"/>
    <col min="11513" max="11513" width="11.5703125" style="6" customWidth="1"/>
    <col min="11514" max="11514" width="18.140625" style="6" customWidth="1"/>
    <col min="11515" max="11515" width="13.140625" style="6" customWidth="1"/>
    <col min="11516" max="11516" width="12.28515625" style="6" customWidth="1"/>
    <col min="11517" max="11754" width="9.140625" style="6"/>
    <col min="11755" max="11755" width="1.42578125" style="6" customWidth="1"/>
    <col min="11756" max="11756" width="59.5703125" style="6" customWidth="1"/>
    <col min="11757" max="11757" width="9.140625" style="6" customWidth="1"/>
    <col min="11758" max="11759" width="3.85546875" style="6" customWidth="1"/>
    <col min="11760" max="11760" width="10.5703125" style="6" customWidth="1"/>
    <col min="11761" max="11761" width="3.85546875" style="6" customWidth="1"/>
    <col min="11762" max="11764" width="14.42578125" style="6" customWidth="1"/>
    <col min="11765" max="11765" width="4.140625" style="6" customWidth="1"/>
    <col min="11766" max="11766" width="15" style="6" customWidth="1"/>
    <col min="11767" max="11768" width="9.140625" style="6" customWidth="1"/>
    <col min="11769" max="11769" width="11.5703125" style="6" customWidth="1"/>
    <col min="11770" max="11770" width="18.140625" style="6" customWidth="1"/>
    <col min="11771" max="11771" width="13.140625" style="6" customWidth="1"/>
    <col min="11772" max="11772" width="12.28515625" style="6" customWidth="1"/>
    <col min="11773" max="12010" width="9.140625" style="6"/>
    <col min="12011" max="12011" width="1.42578125" style="6" customWidth="1"/>
    <col min="12012" max="12012" width="59.5703125" style="6" customWidth="1"/>
    <col min="12013" max="12013" width="9.140625" style="6" customWidth="1"/>
    <col min="12014" max="12015" width="3.85546875" style="6" customWidth="1"/>
    <col min="12016" max="12016" width="10.5703125" style="6" customWidth="1"/>
    <col min="12017" max="12017" width="3.85546875" style="6" customWidth="1"/>
    <col min="12018" max="12020" width="14.42578125" style="6" customWidth="1"/>
    <col min="12021" max="12021" width="4.140625" style="6" customWidth="1"/>
    <col min="12022" max="12022" width="15" style="6" customWidth="1"/>
    <col min="12023" max="12024" width="9.140625" style="6" customWidth="1"/>
    <col min="12025" max="12025" width="11.5703125" style="6" customWidth="1"/>
    <col min="12026" max="12026" width="18.140625" style="6" customWidth="1"/>
    <col min="12027" max="12027" width="13.140625" style="6" customWidth="1"/>
    <col min="12028" max="12028" width="12.28515625" style="6" customWidth="1"/>
    <col min="12029" max="12266" width="9.140625" style="6"/>
    <col min="12267" max="12267" width="1.42578125" style="6" customWidth="1"/>
    <col min="12268" max="12268" width="59.5703125" style="6" customWidth="1"/>
    <col min="12269" max="12269" width="9.140625" style="6" customWidth="1"/>
    <col min="12270" max="12271" width="3.85546875" style="6" customWidth="1"/>
    <col min="12272" max="12272" width="10.5703125" style="6" customWidth="1"/>
    <col min="12273" max="12273" width="3.85546875" style="6" customWidth="1"/>
    <col min="12274" max="12276" width="14.42578125" style="6" customWidth="1"/>
    <col min="12277" max="12277" width="4.140625" style="6" customWidth="1"/>
    <col min="12278" max="12278" width="15" style="6" customWidth="1"/>
    <col min="12279" max="12280" width="9.140625" style="6" customWidth="1"/>
    <col min="12281" max="12281" width="11.5703125" style="6" customWidth="1"/>
    <col min="12282" max="12282" width="18.140625" style="6" customWidth="1"/>
    <col min="12283" max="12283" width="13.140625" style="6" customWidth="1"/>
    <col min="12284" max="12284" width="12.28515625" style="6" customWidth="1"/>
    <col min="12285" max="12522" width="9.140625" style="6"/>
    <col min="12523" max="12523" width="1.42578125" style="6" customWidth="1"/>
    <col min="12524" max="12524" width="59.5703125" style="6" customWidth="1"/>
    <col min="12525" max="12525" width="9.140625" style="6" customWidth="1"/>
    <col min="12526" max="12527" width="3.85546875" style="6" customWidth="1"/>
    <col min="12528" max="12528" width="10.5703125" style="6" customWidth="1"/>
    <col min="12529" max="12529" width="3.85546875" style="6" customWidth="1"/>
    <col min="12530" max="12532" width="14.42578125" style="6" customWidth="1"/>
    <col min="12533" max="12533" width="4.140625" style="6" customWidth="1"/>
    <col min="12534" max="12534" width="15" style="6" customWidth="1"/>
    <col min="12535" max="12536" width="9.140625" style="6" customWidth="1"/>
    <col min="12537" max="12537" width="11.5703125" style="6" customWidth="1"/>
    <col min="12538" max="12538" width="18.140625" style="6" customWidth="1"/>
    <col min="12539" max="12539" width="13.140625" style="6" customWidth="1"/>
    <col min="12540" max="12540" width="12.28515625" style="6" customWidth="1"/>
    <col min="12541" max="12778" width="9.140625" style="6"/>
    <col min="12779" max="12779" width="1.42578125" style="6" customWidth="1"/>
    <col min="12780" max="12780" width="59.5703125" style="6" customWidth="1"/>
    <col min="12781" max="12781" width="9.140625" style="6" customWidth="1"/>
    <col min="12782" max="12783" width="3.85546875" style="6" customWidth="1"/>
    <col min="12784" max="12784" width="10.5703125" style="6" customWidth="1"/>
    <col min="12785" max="12785" width="3.85546875" style="6" customWidth="1"/>
    <col min="12786" max="12788" width="14.42578125" style="6" customWidth="1"/>
    <col min="12789" max="12789" width="4.140625" style="6" customWidth="1"/>
    <col min="12790" max="12790" width="15" style="6" customWidth="1"/>
    <col min="12791" max="12792" width="9.140625" style="6" customWidth="1"/>
    <col min="12793" max="12793" width="11.5703125" style="6" customWidth="1"/>
    <col min="12794" max="12794" width="18.140625" style="6" customWidth="1"/>
    <col min="12795" max="12795" width="13.140625" style="6" customWidth="1"/>
    <col min="12796" max="12796" width="12.28515625" style="6" customWidth="1"/>
    <col min="12797" max="13034" width="9.140625" style="6"/>
    <col min="13035" max="13035" width="1.42578125" style="6" customWidth="1"/>
    <col min="13036" max="13036" width="59.5703125" style="6" customWidth="1"/>
    <col min="13037" max="13037" width="9.140625" style="6" customWidth="1"/>
    <col min="13038" max="13039" width="3.85546875" style="6" customWidth="1"/>
    <col min="13040" max="13040" width="10.5703125" style="6" customWidth="1"/>
    <col min="13041" max="13041" width="3.85546875" style="6" customWidth="1"/>
    <col min="13042" max="13044" width="14.42578125" style="6" customWidth="1"/>
    <col min="13045" max="13045" width="4.140625" style="6" customWidth="1"/>
    <col min="13046" max="13046" width="15" style="6" customWidth="1"/>
    <col min="13047" max="13048" width="9.140625" style="6" customWidth="1"/>
    <col min="13049" max="13049" width="11.5703125" style="6" customWidth="1"/>
    <col min="13050" max="13050" width="18.140625" style="6" customWidth="1"/>
    <col min="13051" max="13051" width="13.140625" style="6" customWidth="1"/>
    <col min="13052" max="13052" width="12.28515625" style="6" customWidth="1"/>
    <col min="13053" max="13290" width="9.140625" style="6"/>
    <col min="13291" max="13291" width="1.42578125" style="6" customWidth="1"/>
    <col min="13292" max="13292" width="59.5703125" style="6" customWidth="1"/>
    <col min="13293" max="13293" width="9.140625" style="6" customWidth="1"/>
    <col min="13294" max="13295" width="3.85546875" style="6" customWidth="1"/>
    <col min="13296" max="13296" width="10.5703125" style="6" customWidth="1"/>
    <col min="13297" max="13297" width="3.85546875" style="6" customWidth="1"/>
    <col min="13298" max="13300" width="14.42578125" style="6" customWidth="1"/>
    <col min="13301" max="13301" width="4.140625" style="6" customWidth="1"/>
    <col min="13302" max="13302" width="15" style="6" customWidth="1"/>
    <col min="13303" max="13304" width="9.140625" style="6" customWidth="1"/>
    <col min="13305" max="13305" width="11.5703125" style="6" customWidth="1"/>
    <col min="13306" max="13306" width="18.140625" style="6" customWidth="1"/>
    <col min="13307" max="13307" width="13.140625" style="6" customWidth="1"/>
    <col min="13308" max="13308" width="12.28515625" style="6" customWidth="1"/>
    <col min="13309" max="13546" width="9.140625" style="6"/>
    <col min="13547" max="13547" width="1.42578125" style="6" customWidth="1"/>
    <col min="13548" max="13548" width="59.5703125" style="6" customWidth="1"/>
    <col min="13549" max="13549" width="9.140625" style="6" customWidth="1"/>
    <col min="13550" max="13551" width="3.85546875" style="6" customWidth="1"/>
    <col min="13552" max="13552" width="10.5703125" style="6" customWidth="1"/>
    <col min="13553" max="13553" width="3.85546875" style="6" customWidth="1"/>
    <col min="13554" max="13556" width="14.42578125" style="6" customWidth="1"/>
    <col min="13557" max="13557" width="4.140625" style="6" customWidth="1"/>
    <col min="13558" max="13558" width="15" style="6" customWidth="1"/>
    <col min="13559" max="13560" width="9.140625" style="6" customWidth="1"/>
    <col min="13561" max="13561" width="11.5703125" style="6" customWidth="1"/>
    <col min="13562" max="13562" width="18.140625" style="6" customWidth="1"/>
    <col min="13563" max="13563" width="13.140625" style="6" customWidth="1"/>
    <col min="13564" max="13564" width="12.28515625" style="6" customWidth="1"/>
    <col min="13565" max="13802" width="9.140625" style="6"/>
    <col min="13803" max="13803" width="1.42578125" style="6" customWidth="1"/>
    <col min="13804" max="13804" width="59.5703125" style="6" customWidth="1"/>
    <col min="13805" max="13805" width="9.140625" style="6" customWidth="1"/>
    <col min="13806" max="13807" width="3.85546875" style="6" customWidth="1"/>
    <col min="13808" max="13808" width="10.5703125" style="6" customWidth="1"/>
    <col min="13809" max="13809" width="3.85546875" style="6" customWidth="1"/>
    <col min="13810" max="13812" width="14.42578125" style="6" customWidth="1"/>
    <col min="13813" max="13813" width="4.140625" style="6" customWidth="1"/>
    <col min="13814" max="13814" width="15" style="6" customWidth="1"/>
    <col min="13815" max="13816" width="9.140625" style="6" customWidth="1"/>
    <col min="13817" max="13817" width="11.5703125" style="6" customWidth="1"/>
    <col min="13818" max="13818" width="18.140625" style="6" customWidth="1"/>
    <col min="13819" max="13819" width="13.140625" style="6" customWidth="1"/>
    <col min="13820" max="13820" width="12.28515625" style="6" customWidth="1"/>
    <col min="13821" max="14058" width="9.140625" style="6"/>
    <col min="14059" max="14059" width="1.42578125" style="6" customWidth="1"/>
    <col min="14060" max="14060" width="59.5703125" style="6" customWidth="1"/>
    <col min="14061" max="14061" width="9.140625" style="6" customWidth="1"/>
    <col min="14062" max="14063" width="3.85546875" style="6" customWidth="1"/>
    <col min="14064" max="14064" width="10.5703125" style="6" customWidth="1"/>
    <col min="14065" max="14065" width="3.85546875" style="6" customWidth="1"/>
    <col min="14066" max="14068" width="14.42578125" style="6" customWidth="1"/>
    <col min="14069" max="14069" width="4.140625" style="6" customWidth="1"/>
    <col min="14070" max="14070" width="15" style="6" customWidth="1"/>
    <col min="14071" max="14072" width="9.140625" style="6" customWidth="1"/>
    <col min="14073" max="14073" width="11.5703125" style="6" customWidth="1"/>
    <col min="14074" max="14074" width="18.140625" style="6" customWidth="1"/>
    <col min="14075" max="14075" width="13.140625" style="6" customWidth="1"/>
    <col min="14076" max="14076" width="12.28515625" style="6" customWidth="1"/>
    <col min="14077" max="14314" width="9.140625" style="6"/>
    <col min="14315" max="14315" width="1.42578125" style="6" customWidth="1"/>
    <col min="14316" max="14316" width="59.5703125" style="6" customWidth="1"/>
    <col min="14317" max="14317" width="9.140625" style="6" customWidth="1"/>
    <col min="14318" max="14319" width="3.85546875" style="6" customWidth="1"/>
    <col min="14320" max="14320" width="10.5703125" style="6" customWidth="1"/>
    <col min="14321" max="14321" width="3.85546875" style="6" customWidth="1"/>
    <col min="14322" max="14324" width="14.42578125" style="6" customWidth="1"/>
    <col min="14325" max="14325" width="4.140625" style="6" customWidth="1"/>
    <col min="14326" max="14326" width="15" style="6" customWidth="1"/>
    <col min="14327" max="14328" width="9.140625" style="6" customWidth="1"/>
    <col min="14329" max="14329" width="11.5703125" style="6" customWidth="1"/>
    <col min="14330" max="14330" width="18.140625" style="6" customWidth="1"/>
    <col min="14331" max="14331" width="13.140625" style="6" customWidth="1"/>
    <col min="14332" max="14332" width="12.28515625" style="6" customWidth="1"/>
    <col min="14333" max="14570" width="9.140625" style="6"/>
    <col min="14571" max="14571" width="1.42578125" style="6" customWidth="1"/>
    <col min="14572" max="14572" width="59.5703125" style="6" customWidth="1"/>
    <col min="14573" max="14573" width="9.140625" style="6" customWidth="1"/>
    <col min="14574" max="14575" width="3.85546875" style="6" customWidth="1"/>
    <col min="14576" max="14576" width="10.5703125" style="6" customWidth="1"/>
    <col min="14577" max="14577" width="3.85546875" style="6" customWidth="1"/>
    <col min="14578" max="14580" width="14.42578125" style="6" customWidth="1"/>
    <col min="14581" max="14581" width="4.140625" style="6" customWidth="1"/>
    <col min="14582" max="14582" width="15" style="6" customWidth="1"/>
    <col min="14583" max="14584" width="9.140625" style="6" customWidth="1"/>
    <col min="14585" max="14585" width="11.5703125" style="6" customWidth="1"/>
    <col min="14586" max="14586" width="18.140625" style="6" customWidth="1"/>
    <col min="14587" max="14587" width="13.140625" style="6" customWidth="1"/>
    <col min="14588" max="14588" width="12.28515625" style="6" customWidth="1"/>
    <col min="14589" max="14826" width="9.140625" style="6"/>
    <col min="14827" max="14827" width="1.42578125" style="6" customWidth="1"/>
    <col min="14828" max="14828" width="59.5703125" style="6" customWidth="1"/>
    <col min="14829" max="14829" width="9.140625" style="6" customWidth="1"/>
    <col min="14830" max="14831" width="3.85546875" style="6" customWidth="1"/>
    <col min="14832" max="14832" width="10.5703125" style="6" customWidth="1"/>
    <col min="14833" max="14833" width="3.85546875" style="6" customWidth="1"/>
    <col min="14834" max="14836" width="14.42578125" style="6" customWidth="1"/>
    <col min="14837" max="14837" width="4.140625" style="6" customWidth="1"/>
    <col min="14838" max="14838" width="15" style="6" customWidth="1"/>
    <col min="14839" max="14840" width="9.140625" style="6" customWidth="1"/>
    <col min="14841" max="14841" width="11.5703125" style="6" customWidth="1"/>
    <col min="14842" max="14842" width="18.140625" style="6" customWidth="1"/>
    <col min="14843" max="14843" width="13.140625" style="6" customWidth="1"/>
    <col min="14844" max="14844" width="12.28515625" style="6" customWidth="1"/>
    <col min="14845" max="15082" width="9.140625" style="6"/>
    <col min="15083" max="15083" width="1.42578125" style="6" customWidth="1"/>
    <col min="15084" max="15084" width="59.5703125" style="6" customWidth="1"/>
    <col min="15085" max="15085" width="9.140625" style="6" customWidth="1"/>
    <col min="15086" max="15087" width="3.85546875" style="6" customWidth="1"/>
    <col min="15088" max="15088" width="10.5703125" style="6" customWidth="1"/>
    <col min="15089" max="15089" width="3.85546875" style="6" customWidth="1"/>
    <col min="15090" max="15092" width="14.42578125" style="6" customWidth="1"/>
    <col min="15093" max="15093" width="4.140625" style="6" customWidth="1"/>
    <col min="15094" max="15094" width="15" style="6" customWidth="1"/>
    <col min="15095" max="15096" width="9.140625" style="6" customWidth="1"/>
    <col min="15097" max="15097" width="11.5703125" style="6" customWidth="1"/>
    <col min="15098" max="15098" width="18.140625" style="6" customWidth="1"/>
    <col min="15099" max="15099" width="13.140625" style="6" customWidth="1"/>
    <col min="15100" max="15100" width="12.28515625" style="6" customWidth="1"/>
    <col min="15101" max="15338" width="9.140625" style="6"/>
    <col min="15339" max="15339" width="1.42578125" style="6" customWidth="1"/>
    <col min="15340" max="15340" width="59.5703125" style="6" customWidth="1"/>
    <col min="15341" max="15341" width="9.140625" style="6" customWidth="1"/>
    <col min="15342" max="15343" width="3.85546875" style="6" customWidth="1"/>
    <col min="15344" max="15344" width="10.5703125" style="6" customWidth="1"/>
    <col min="15345" max="15345" width="3.85546875" style="6" customWidth="1"/>
    <col min="15346" max="15348" width="14.42578125" style="6" customWidth="1"/>
    <col min="15349" max="15349" width="4.140625" style="6" customWidth="1"/>
    <col min="15350" max="15350" width="15" style="6" customWidth="1"/>
    <col min="15351" max="15352" width="9.140625" style="6" customWidth="1"/>
    <col min="15353" max="15353" width="11.5703125" style="6" customWidth="1"/>
    <col min="15354" max="15354" width="18.140625" style="6" customWidth="1"/>
    <col min="15355" max="15355" width="13.140625" style="6" customWidth="1"/>
    <col min="15356" max="15356" width="12.28515625" style="6" customWidth="1"/>
    <col min="15357" max="15594" width="9.140625" style="6"/>
    <col min="15595" max="15595" width="1.42578125" style="6" customWidth="1"/>
    <col min="15596" max="15596" width="59.5703125" style="6" customWidth="1"/>
    <col min="15597" max="15597" width="9.140625" style="6" customWidth="1"/>
    <col min="15598" max="15599" width="3.85546875" style="6" customWidth="1"/>
    <col min="15600" max="15600" width="10.5703125" style="6" customWidth="1"/>
    <col min="15601" max="15601" width="3.85546875" style="6" customWidth="1"/>
    <col min="15602" max="15604" width="14.42578125" style="6" customWidth="1"/>
    <col min="15605" max="15605" width="4.140625" style="6" customWidth="1"/>
    <col min="15606" max="15606" width="15" style="6" customWidth="1"/>
    <col min="15607" max="15608" width="9.140625" style="6" customWidth="1"/>
    <col min="15609" max="15609" width="11.5703125" style="6" customWidth="1"/>
    <col min="15610" max="15610" width="18.140625" style="6" customWidth="1"/>
    <col min="15611" max="15611" width="13.140625" style="6" customWidth="1"/>
    <col min="15612" max="15612" width="12.28515625" style="6" customWidth="1"/>
    <col min="15613" max="15850" width="9.140625" style="6"/>
    <col min="15851" max="15851" width="1.42578125" style="6" customWidth="1"/>
    <col min="15852" max="15852" width="59.5703125" style="6" customWidth="1"/>
    <col min="15853" max="15853" width="9.140625" style="6" customWidth="1"/>
    <col min="15854" max="15855" width="3.85546875" style="6" customWidth="1"/>
    <col min="15856" max="15856" width="10.5703125" style="6" customWidth="1"/>
    <col min="15857" max="15857" width="3.85546875" style="6" customWidth="1"/>
    <col min="15858" max="15860" width="14.42578125" style="6" customWidth="1"/>
    <col min="15861" max="15861" width="4.140625" style="6" customWidth="1"/>
    <col min="15862" max="15862" width="15" style="6" customWidth="1"/>
    <col min="15863" max="15864" width="9.140625" style="6" customWidth="1"/>
    <col min="15865" max="15865" width="11.5703125" style="6" customWidth="1"/>
    <col min="15866" max="15866" width="18.140625" style="6" customWidth="1"/>
    <col min="15867" max="15867" width="13.140625" style="6" customWidth="1"/>
    <col min="15868" max="15868" width="12.28515625" style="6" customWidth="1"/>
    <col min="15869" max="16106" width="9.140625" style="6"/>
    <col min="16107" max="16107" width="1.42578125" style="6" customWidth="1"/>
    <col min="16108" max="16108" width="59.5703125" style="6" customWidth="1"/>
    <col min="16109" max="16109" width="9.140625" style="6" customWidth="1"/>
    <col min="16110" max="16111" width="3.85546875" style="6" customWidth="1"/>
    <col min="16112" max="16112" width="10.5703125" style="6" customWidth="1"/>
    <col min="16113" max="16113" width="3.85546875" style="6" customWidth="1"/>
    <col min="16114" max="16116" width="14.42578125" style="6" customWidth="1"/>
    <col min="16117" max="16117" width="4.140625" style="6" customWidth="1"/>
    <col min="16118" max="16118" width="15" style="6" customWidth="1"/>
    <col min="16119" max="16120" width="9.140625" style="6" customWidth="1"/>
    <col min="16121" max="16121" width="11.5703125" style="6" customWidth="1"/>
    <col min="16122" max="16122" width="18.140625" style="6" customWidth="1"/>
    <col min="16123" max="16123" width="13.140625" style="6" customWidth="1"/>
    <col min="16124" max="16124" width="12.28515625" style="6" customWidth="1"/>
    <col min="16125" max="16384" width="9.140625" style="6"/>
  </cols>
  <sheetData>
    <row r="1" spans="1:18" hidden="1" x14ac:dyDescent="0.25">
      <c r="E1" s="545" t="s">
        <v>424</v>
      </c>
      <c r="F1" s="545"/>
      <c r="G1" s="545"/>
      <c r="H1" s="545"/>
      <c r="I1" s="545"/>
      <c r="J1" s="545"/>
      <c r="K1" s="545"/>
      <c r="L1" s="545"/>
    </row>
    <row r="2" spans="1:18" ht="39" hidden="1" customHeight="1" x14ac:dyDescent="0.25">
      <c r="E2" s="536" t="s">
        <v>597</v>
      </c>
      <c r="F2" s="536"/>
      <c r="G2" s="536"/>
      <c r="H2" s="536"/>
      <c r="I2" s="536"/>
      <c r="J2" s="536"/>
      <c r="K2" s="536"/>
      <c r="L2" s="536"/>
      <c r="M2" s="536"/>
      <c r="N2" s="536"/>
      <c r="O2" s="536"/>
      <c r="P2" s="536"/>
      <c r="Q2" s="536"/>
    </row>
    <row r="3" spans="1:18" s="396" customFormat="1" ht="14.25" customHeight="1" x14ac:dyDescent="0.2">
      <c r="D3" s="397"/>
      <c r="E3" s="535" t="s">
        <v>548</v>
      </c>
      <c r="F3" s="535"/>
      <c r="G3" s="535"/>
      <c r="H3" s="535"/>
      <c r="I3" s="535"/>
      <c r="J3" s="535"/>
      <c r="K3" s="535"/>
      <c r="L3" s="535"/>
      <c r="M3" s="535"/>
      <c r="N3" s="535"/>
      <c r="O3" s="535"/>
      <c r="P3" s="391"/>
      <c r="Q3" s="391"/>
      <c r="R3" s="391"/>
    </row>
    <row r="4" spans="1:18" s="94" customFormat="1" ht="27" customHeight="1" x14ac:dyDescent="0.25">
      <c r="B4" s="165"/>
      <c r="C4" s="165"/>
      <c r="D4" s="180"/>
      <c r="E4" s="536" t="s">
        <v>462</v>
      </c>
      <c r="F4" s="536"/>
      <c r="G4" s="536"/>
      <c r="H4" s="536"/>
      <c r="I4" s="536"/>
      <c r="J4" s="536"/>
      <c r="K4" s="536"/>
      <c r="L4" s="536"/>
      <c r="M4" s="536"/>
      <c r="N4" s="536"/>
      <c r="O4" s="536"/>
      <c r="P4" s="536"/>
      <c r="Q4" s="536"/>
      <c r="R4" s="186"/>
    </row>
    <row r="5" spans="1:18" s="94" customFormat="1" ht="43.5" customHeight="1" x14ac:dyDescent="0.25">
      <c r="A5" s="504" t="s">
        <v>633</v>
      </c>
      <c r="B5" s="504"/>
      <c r="C5" s="504"/>
      <c r="D5" s="504"/>
      <c r="E5" s="504"/>
      <c r="F5" s="504"/>
      <c r="G5" s="504"/>
      <c r="H5" s="504"/>
      <c r="I5" s="504"/>
      <c r="J5" s="504"/>
      <c r="K5" s="504"/>
      <c r="L5" s="504"/>
      <c r="M5" s="504"/>
      <c r="N5" s="504"/>
      <c r="O5" s="504"/>
      <c r="P5" s="504"/>
      <c r="Q5" s="504"/>
      <c r="R5" s="246"/>
    </row>
    <row r="6" spans="1:18" x14ac:dyDescent="0.25">
      <c r="A6" s="4"/>
      <c r="B6" s="4"/>
      <c r="C6" s="4"/>
      <c r="D6" s="4"/>
      <c r="E6" s="4"/>
      <c r="F6" s="392"/>
      <c r="G6" s="540" t="s">
        <v>503</v>
      </c>
      <c r="H6" s="540"/>
      <c r="I6" s="392"/>
      <c r="J6" s="4"/>
      <c r="K6" s="74"/>
    </row>
    <row r="7" spans="1:18" s="95" customFormat="1" ht="24.75" customHeight="1" x14ac:dyDescent="0.25">
      <c r="A7" s="505" t="s">
        <v>10</v>
      </c>
      <c r="B7" s="505"/>
      <c r="C7" s="383"/>
      <c r="D7" s="383" t="s">
        <v>549</v>
      </c>
      <c r="E7" s="383" t="s">
        <v>550</v>
      </c>
      <c r="F7" s="383" t="s">
        <v>207</v>
      </c>
      <c r="G7" s="200" t="s">
        <v>11</v>
      </c>
      <c r="H7" s="200" t="s">
        <v>12</v>
      </c>
      <c r="I7" s="90" t="s">
        <v>208</v>
      </c>
      <c r="J7" s="90" t="s">
        <v>14</v>
      </c>
      <c r="K7" s="383" t="s">
        <v>420</v>
      </c>
      <c r="L7" s="219">
        <v>2016</v>
      </c>
      <c r="M7" s="219" t="s">
        <v>618</v>
      </c>
      <c r="N7" s="219" t="s">
        <v>631</v>
      </c>
      <c r="O7" s="219">
        <v>2017</v>
      </c>
      <c r="P7" s="219" t="s">
        <v>618</v>
      </c>
      <c r="Q7" s="219" t="s">
        <v>632</v>
      </c>
    </row>
    <row r="8" spans="1:18" ht="26.25" customHeight="1" x14ac:dyDescent="0.25">
      <c r="A8" s="531" t="s">
        <v>511</v>
      </c>
      <c r="B8" s="531"/>
      <c r="C8" s="389"/>
      <c r="D8" s="389">
        <v>51</v>
      </c>
      <c r="E8" s="389"/>
      <c r="F8" s="389"/>
      <c r="G8" s="7"/>
      <c r="H8" s="7"/>
      <c r="I8" s="7"/>
      <c r="J8" s="7"/>
      <c r="K8" s="97">
        <f>K9+K82+K87+K110+K115+K123+K136+K141</f>
        <v>64055337</v>
      </c>
      <c r="L8" s="97">
        <f>L9+L82+L87+L110+L115+L123+L136+L141</f>
        <v>46916560</v>
      </c>
      <c r="M8" s="97">
        <f t="shared" ref="M8:N8" si="0">M9+M82+M87+M110+M115+M123+M136+M141</f>
        <v>-4321000</v>
      </c>
      <c r="N8" s="97">
        <f t="shared" si="0"/>
        <v>42595560</v>
      </c>
      <c r="O8" s="97">
        <f t="shared" ref="O8" si="1">O9+O82+O87+O110+O115+O123+O136+O141</f>
        <v>45777580</v>
      </c>
      <c r="P8" s="97">
        <f t="shared" ref="P8" si="2">P9+P82+P87+P110+P115+P123+P136+P141</f>
        <v>-4269500</v>
      </c>
      <c r="Q8" s="97">
        <f t="shared" ref="Q8" si="3">Q9+Q82+Q87+Q110+Q115+Q123+Q136+Q141</f>
        <v>41508080</v>
      </c>
    </row>
    <row r="9" spans="1:18" x14ac:dyDescent="0.25">
      <c r="A9" s="512" t="s">
        <v>15</v>
      </c>
      <c r="B9" s="512"/>
      <c r="C9" s="75"/>
      <c r="D9" s="75">
        <v>51</v>
      </c>
      <c r="E9" s="75">
        <v>0</v>
      </c>
      <c r="F9" s="75">
        <v>851</v>
      </c>
      <c r="G9" s="11"/>
      <c r="H9" s="11"/>
      <c r="I9" s="1"/>
      <c r="J9" s="1"/>
      <c r="K9" s="36">
        <f>K10+K13+K22+K25+K30+K35+K38+K41+K44+K49+K54+K57+K60+K65+K68+K73+K76+K79</f>
        <v>37033462</v>
      </c>
      <c r="L9" s="36">
        <f>L10+L13+L22+L25+L30+L35+L38+L41+L44+L49+L54+L57+L60+L65+L68+L73+L76+L79</f>
        <v>32176960</v>
      </c>
      <c r="M9" s="36">
        <f t="shared" ref="M9" si="4">M10+M13+M22+M25+M30+M35+M38+M41+M44+M49+M54+M57+M60+M65+M68+M73+M76+M79</f>
        <v>-4321000</v>
      </c>
      <c r="N9" s="36">
        <f>N10+N13+N22+N25+N30+N35+N38+N41+N44+N49+N54+N57+N60+N65+N68+N73+N76+N79</f>
        <v>27855960</v>
      </c>
      <c r="O9" s="36">
        <f t="shared" ref="O9" si="5">O10+O13+O22+O25+O30+O35+O38+O41+O44+O49+O54+O57+O60+O65+O68+O73+O76+O79</f>
        <v>31037980</v>
      </c>
      <c r="P9" s="36">
        <f t="shared" ref="P9" si="6">P10+P13+P22+P25+P30+P35+P38+P41+P44+P49+P54+P57+P60+P65+P68+P73+P76+P79</f>
        <v>-4269500</v>
      </c>
      <c r="Q9" s="36">
        <f t="shared" ref="Q9" si="7">Q10+Q13+Q22+Q25+Q30+Q35+Q38+Q41+Q44+Q49+Q54+Q57+Q60+Q65+Q68+Q73+Q76+Q79</f>
        <v>26768480</v>
      </c>
    </row>
    <row r="10" spans="1:18" ht="27" customHeight="1" x14ac:dyDescent="0.25">
      <c r="A10" s="509" t="s">
        <v>19</v>
      </c>
      <c r="B10" s="509"/>
      <c r="C10" s="382"/>
      <c r="D10" s="219">
        <v>51</v>
      </c>
      <c r="E10" s="219">
        <v>0</v>
      </c>
      <c r="F10" s="219">
        <v>851</v>
      </c>
      <c r="G10" s="1" t="s">
        <v>17</v>
      </c>
      <c r="H10" s="1" t="s">
        <v>6</v>
      </c>
      <c r="I10" s="1" t="s">
        <v>209</v>
      </c>
      <c r="J10" s="1"/>
      <c r="K10" s="2">
        <f t="shared" ref="K10:O11" si="8">K11</f>
        <v>946200</v>
      </c>
      <c r="L10" s="2">
        <f t="shared" si="8"/>
        <v>946200</v>
      </c>
      <c r="M10" s="2"/>
      <c r="N10" s="2">
        <f t="shared" ref="N10:N55" si="9">L10+M10</f>
        <v>946200</v>
      </c>
      <c r="O10" s="2">
        <f t="shared" si="8"/>
        <v>946200</v>
      </c>
      <c r="P10" s="15"/>
      <c r="Q10" s="2">
        <f t="shared" ref="Q10:Q48" si="10">O10+P10</f>
        <v>946200</v>
      </c>
    </row>
    <row r="11" spans="1:18" ht="38.25" customHeight="1" x14ac:dyDescent="0.25">
      <c r="A11" s="382"/>
      <c r="B11" s="387" t="s">
        <v>21</v>
      </c>
      <c r="C11" s="382"/>
      <c r="D11" s="219">
        <v>51</v>
      </c>
      <c r="E11" s="219">
        <v>0</v>
      </c>
      <c r="F11" s="219">
        <v>851</v>
      </c>
      <c r="G11" s="1" t="s">
        <v>22</v>
      </c>
      <c r="H11" s="1" t="s">
        <v>6</v>
      </c>
      <c r="I11" s="1" t="s">
        <v>209</v>
      </c>
      <c r="J11" s="1" t="s">
        <v>23</v>
      </c>
      <c r="K11" s="2">
        <f t="shared" si="8"/>
        <v>946200</v>
      </c>
      <c r="L11" s="2">
        <f t="shared" si="8"/>
        <v>946200</v>
      </c>
      <c r="M11" s="2"/>
      <c r="N11" s="2">
        <f t="shared" si="9"/>
        <v>946200</v>
      </c>
      <c r="O11" s="2">
        <f t="shared" si="8"/>
        <v>946200</v>
      </c>
      <c r="P11" s="15"/>
      <c r="Q11" s="2">
        <f t="shared" si="10"/>
        <v>946200</v>
      </c>
    </row>
    <row r="12" spans="1:18" ht="16.5" customHeight="1" x14ac:dyDescent="0.25">
      <c r="A12" s="15"/>
      <c r="B12" s="387" t="s">
        <v>24</v>
      </c>
      <c r="C12" s="387"/>
      <c r="D12" s="219">
        <v>51</v>
      </c>
      <c r="E12" s="219">
        <v>0</v>
      </c>
      <c r="F12" s="219">
        <v>851</v>
      </c>
      <c r="G12" s="1" t="s">
        <v>17</v>
      </c>
      <c r="H12" s="1" t="s">
        <v>6</v>
      </c>
      <c r="I12" s="1" t="s">
        <v>209</v>
      </c>
      <c r="J12" s="1" t="s">
        <v>25</v>
      </c>
      <c r="K12" s="2">
        <f>'6 Вед15'!J11</f>
        <v>946200</v>
      </c>
      <c r="L12" s="2">
        <v>946200</v>
      </c>
      <c r="M12" s="2"/>
      <c r="N12" s="2">
        <f t="shared" si="9"/>
        <v>946200</v>
      </c>
      <c r="O12" s="2">
        <v>946200</v>
      </c>
      <c r="P12" s="15"/>
      <c r="Q12" s="2">
        <f t="shared" si="10"/>
        <v>946200</v>
      </c>
    </row>
    <row r="13" spans="1:18" ht="27" customHeight="1" x14ac:dyDescent="0.25">
      <c r="A13" s="509" t="s">
        <v>26</v>
      </c>
      <c r="B13" s="509"/>
      <c r="C13" s="219"/>
      <c r="D13" s="219">
        <v>51</v>
      </c>
      <c r="E13" s="219">
        <v>0</v>
      </c>
      <c r="F13" s="219">
        <v>851</v>
      </c>
      <c r="G13" s="1" t="s">
        <v>22</v>
      </c>
      <c r="H13" s="1" t="s">
        <v>6</v>
      </c>
      <c r="I13" s="1" t="s">
        <v>435</v>
      </c>
      <c r="J13" s="1"/>
      <c r="K13" s="2">
        <f t="shared" ref="K13:O13" si="11">K14+K16+K18</f>
        <v>16387680</v>
      </c>
      <c r="L13" s="2">
        <f>L14+L16+L18</f>
        <v>16387378</v>
      </c>
      <c r="M13" s="2">
        <f t="shared" ref="M13:N13" si="12">M14+M16+M18</f>
        <v>0</v>
      </c>
      <c r="N13" s="2">
        <f t="shared" si="12"/>
        <v>16387378</v>
      </c>
      <c r="O13" s="2">
        <f t="shared" si="11"/>
        <v>16387378</v>
      </c>
      <c r="P13" s="15"/>
      <c r="Q13" s="2">
        <f t="shared" si="10"/>
        <v>16387378</v>
      </c>
    </row>
    <row r="14" spans="1:18" ht="37.5" customHeight="1" x14ac:dyDescent="0.25">
      <c r="A14" s="15"/>
      <c r="B14" s="387" t="s">
        <v>21</v>
      </c>
      <c r="C14" s="219"/>
      <c r="D14" s="219">
        <v>51</v>
      </c>
      <c r="E14" s="219">
        <v>0</v>
      </c>
      <c r="F14" s="219">
        <v>851</v>
      </c>
      <c r="G14" s="1" t="s">
        <v>17</v>
      </c>
      <c r="H14" s="1" t="s">
        <v>6</v>
      </c>
      <c r="I14" s="1" t="s">
        <v>435</v>
      </c>
      <c r="J14" s="1" t="s">
        <v>23</v>
      </c>
      <c r="K14" s="2">
        <f t="shared" ref="K14:O14" si="13">K15</f>
        <v>11544100</v>
      </c>
      <c r="L14" s="2">
        <f t="shared" si="13"/>
        <v>11544100</v>
      </c>
      <c r="M14" s="2"/>
      <c r="N14" s="2">
        <f t="shared" si="9"/>
        <v>11544100</v>
      </c>
      <c r="O14" s="2">
        <f t="shared" si="13"/>
        <v>11544100</v>
      </c>
      <c r="P14" s="15"/>
      <c r="Q14" s="2">
        <f t="shared" si="10"/>
        <v>11544100</v>
      </c>
    </row>
    <row r="15" spans="1:18" ht="15" customHeight="1" x14ac:dyDescent="0.25">
      <c r="A15" s="15"/>
      <c r="B15" s="387" t="s">
        <v>24</v>
      </c>
      <c r="C15" s="219"/>
      <c r="D15" s="219">
        <v>51</v>
      </c>
      <c r="E15" s="219">
        <v>0</v>
      </c>
      <c r="F15" s="219">
        <v>851</v>
      </c>
      <c r="G15" s="1" t="s">
        <v>17</v>
      </c>
      <c r="H15" s="1" t="s">
        <v>6</v>
      </c>
      <c r="I15" s="1" t="s">
        <v>435</v>
      </c>
      <c r="J15" s="1" t="s">
        <v>25</v>
      </c>
      <c r="K15" s="2">
        <f>'6 Вед15'!J14</f>
        <v>11544100</v>
      </c>
      <c r="L15" s="2">
        <v>11544100</v>
      </c>
      <c r="M15" s="2"/>
      <c r="N15" s="2">
        <f t="shared" si="9"/>
        <v>11544100</v>
      </c>
      <c r="O15" s="2">
        <v>11544100</v>
      </c>
      <c r="P15" s="15"/>
      <c r="Q15" s="2">
        <f t="shared" si="10"/>
        <v>11544100</v>
      </c>
    </row>
    <row r="16" spans="1:18" ht="15" customHeight="1" x14ac:dyDescent="0.25">
      <c r="A16" s="15"/>
      <c r="B16" s="382" t="s">
        <v>27</v>
      </c>
      <c r="C16" s="219"/>
      <c r="D16" s="219">
        <v>51</v>
      </c>
      <c r="E16" s="219">
        <v>0</v>
      </c>
      <c r="F16" s="219">
        <v>851</v>
      </c>
      <c r="G16" s="1" t="s">
        <v>17</v>
      </c>
      <c r="H16" s="1" t="s">
        <v>6</v>
      </c>
      <c r="I16" s="1" t="s">
        <v>435</v>
      </c>
      <c r="J16" s="1" t="s">
        <v>28</v>
      </c>
      <c r="K16" s="2">
        <f>'6 Вед15'!J15</f>
        <v>3777580</v>
      </c>
      <c r="L16" s="2">
        <f>L17</f>
        <v>3777280</v>
      </c>
      <c r="M16" s="2"/>
      <c r="N16" s="2">
        <f t="shared" si="9"/>
        <v>3777280</v>
      </c>
      <c r="O16" s="2">
        <f>O17</f>
        <v>3777280</v>
      </c>
      <c r="P16" s="2"/>
      <c r="Q16" s="2">
        <f t="shared" ref="Q16" si="14">Q17</f>
        <v>3777280</v>
      </c>
    </row>
    <row r="17" spans="1:17" ht="25.5" customHeight="1" x14ac:dyDescent="0.25">
      <c r="A17" s="15"/>
      <c r="B17" s="382" t="s">
        <v>29</v>
      </c>
      <c r="C17" s="219"/>
      <c r="D17" s="219">
        <v>51</v>
      </c>
      <c r="E17" s="219">
        <v>0</v>
      </c>
      <c r="F17" s="219">
        <v>851</v>
      </c>
      <c r="G17" s="1" t="s">
        <v>17</v>
      </c>
      <c r="H17" s="1" t="s">
        <v>6</v>
      </c>
      <c r="I17" s="1" t="s">
        <v>435</v>
      </c>
      <c r="J17" s="1" t="s">
        <v>30</v>
      </c>
      <c r="K17" s="2">
        <f>'6 Вед15'!J16</f>
        <v>3777580</v>
      </c>
      <c r="L17" s="2">
        <v>3777280</v>
      </c>
      <c r="M17" s="2"/>
      <c r="N17" s="2">
        <f t="shared" si="9"/>
        <v>3777280</v>
      </c>
      <c r="O17" s="2">
        <v>3777280</v>
      </c>
      <c r="P17" s="15"/>
      <c r="Q17" s="2">
        <f t="shared" si="10"/>
        <v>3777280</v>
      </c>
    </row>
    <row r="18" spans="1:17" ht="14.25" customHeight="1" x14ac:dyDescent="0.25">
      <c r="A18" s="15"/>
      <c r="B18" s="382" t="s">
        <v>31</v>
      </c>
      <c r="C18" s="219"/>
      <c r="D18" s="219">
        <v>51</v>
      </c>
      <c r="E18" s="219">
        <v>0</v>
      </c>
      <c r="F18" s="219">
        <v>851</v>
      </c>
      <c r="G18" s="1" t="s">
        <v>17</v>
      </c>
      <c r="H18" s="1" t="s">
        <v>6</v>
      </c>
      <c r="I18" s="1" t="s">
        <v>435</v>
      </c>
      <c r="J18" s="1" t="s">
        <v>32</v>
      </c>
      <c r="K18" s="2">
        <f>K19+K20+K21</f>
        <v>1066000</v>
      </c>
      <c r="L18" s="2">
        <f t="shared" ref="L18:O18" si="15">L19+L20+L21</f>
        <v>1065998</v>
      </c>
      <c r="M18" s="2"/>
      <c r="N18" s="2">
        <f t="shared" si="9"/>
        <v>1065998</v>
      </c>
      <c r="O18" s="2">
        <f t="shared" si="15"/>
        <v>1065998</v>
      </c>
      <c r="P18" s="15"/>
      <c r="Q18" s="2">
        <f t="shared" si="10"/>
        <v>1065998</v>
      </c>
    </row>
    <row r="19" spans="1:17" ht="14.25" customHeight="1" x14ac:dyDescent="0.25">
      <c r="A19" s="15"/>
      <c r="B19" s="382" t="s">
        <v>33</v>
      </c>
      <c r="C19" s="219"/>
      <c r="D19" s="219">
        <v>51</v>
      </c>
      <c r="E19" s="219">
        <v>0</v>
      </c>
      <c r="F19" s="219">
        <v>851</v>
      </c>
      <c r="G19" s="1" t="s">
        <v>17</v>
      </c>
      <c r="H19" s="1" t="s">
        <v>6</v>
      </c>
      <c r="I19" s="1" t="s">
        <v>435</v>
      </c>
      <c r="J19" s="1" t="s">
        <v>34</v>
      </c>
      <c r="K19" s="2">
        <f>'6 Вед15'!J18</f>
        <v>945200</v>
      </c>
      <c r="L19" s="2">
        <v>945198</v>
      </c>
      <c r="M19" s="2"/>
      <c r="N19" s="2">
        <f t="shared" si="9"/>
        <v>945198</v>
      </c>
      <c r="O19" s="2">
        <v>945198</v>
      </c>
      <c r="P19" s="15"/>
      <c r="Q19" s="2">
        <f t="shared" si="10"/>
        <v>945198</v>
      </c>
    </row>
    <row r="20" spans="1:17" ht="14.25" customHeight="1" x14ac:dyDescent="0.25">
      <c r="A20" s="15"/>
      <c r="B20" s="387" t="s">
        <v>466</v>
      </c>
      <c r="C20" s="219"/>
      <c r="D20" s="219">
        <v>51</v>
      </c>
      <c r="E20" s="219">
        <v>0</v>
      </c>
      <c r="F20" s="219">
        <v>851</v>
      </c>
      <c r="G20" s="1" t="s">
        <v>22</v>
      </c>
      <c r="H20" s="1" t="s">
        <v>6</v>
      </c>
      <c r="I20" s="1" t="s">
        <v>435</v>
      </c>
      <c r="J20" s="1" t="s">
        <v>35</v>
      </c>
      <c r="K20" s="2">
        <f>'6 Вед15'!J19</f>
        <v>70800</v>
      </c>
      <c r="L20" s="2">
        <v>70800</v>
      </c>
      <c r="M20" s="2"/>
      <c r="N20" s="2">
        <f t="shared" si="9"/>
        <v>70800</v>
      </c>
      <c r="O20" s="2">
        <v>70800</v>
      </c>
      <c r="P20" s="15"/>
      <c r="Q20" s="2">
        <f t="shared" si="10"/>
        <v>70800</v>
      </c>
    </row>
    <row r="21" spans="1:17" ht="14.25" customHeight="1" x14ac:dyDescent="0.25">
      <c r="A21" s="15"/>
      <c r="B21" s="382" t="s">
        <v>465</v>
      </c>
      <c r="C21" s="219"/>
      <c r="D21" s="219">
        <v>51</v>
      </c>
      <c r="E21" s="219">
        <v>0</v>
      </c>
      <c r="F21" s="219">
        <v>851</v>
      </c>
      <c r="G21" s="1" t="s">
        <v>22</v>
      </c>
      <c r="H21" s="1" t="s">
        <v>6</v>
      </c>
      <c r="I21" s="1" t="s">
        <v>435</v>
      </c>
      <c r="J21" s="1" t="s">
        <v>464</v>
      </c>
      <c r="K21" s="2">
        <f>'6 Вед15'!J20</f>
        <v>50000</v>
      </c>
      <c r="L21" s="2">
        <v>50000</v>
      </c>
      <c r="M21" s="2"/>
      <c r="N21" s="2">
        <f t="shared" si="9"/>
        <v>50000</v>
      </c>
      <c r="O21" s="2">
        <v>50000</v>
      </c>
      <c r="P21" s="15"/>
      <c r="Q21" s="2">
        <f t="shared" si="10"/>
        <v>50000</v>
      </c>
    </row>
    <row r="22" spans="1:17" ht="37.5" customHeight="1" x14ac:dyDescent="0.25">
      <c r="A22" s="509" t="s">
        <v>479</v>
      </c>
      <c r="B22" s="509"/>
      <c r="C22" s="382"/>
      <c r="D22" s="219">
        <v>51</v>
      </c>
      <c r="E22" s="219">
        <v>0</v>
      </c>
      <c r="F22" s="219">
        <v>851</v>
      </c>
      <c r="G22" s="1" t="s">
        <v>17</v>
      </c>
      <c r="H22" s="1" t="s">
        <v>6</v>
      </c>
      <c r="I22" s="1" t="s">
        <v>484</v>
      </c>
      <c r="J22" s="1"/>
      <c r="K22" s="2">
        <f t="shared" ref="K22:O23" si="16">K23</f>
        <v>2500</v>
      </c>
      <c r="L22" s="2">
        <f t="shared" si="16"/>
        <v>0</v>
      </c>
      <c r="M22" s="2"/>
      <c r="N22" s="2">
        <f t="shared" si="9"/>
        <v>0</v>
      </c>
      <c r="O22" s="2">
        <f t="shared" si="16"/>
        <v>0</v>
      </c>
      <c r="P22" s="15"/>
      <c r="Q22" s="2">
        <f t="shared" si="10"/>
        <v>0</v>
      </c>
    </row>
    <row r="23" spans="1:17" ht="15" customHeight="1" x14ac:dyDescent="0.25">
      <c r="A23" s="15"/>
      <c r="B23" s="382" t="s">
        <v>27</v>
      </c>
      <c r="C23" s="387"/>
      <c r="D23" s="219">
        <v>51</v>
      </c>
      <c r="E23" s="219">
        <v>0</v>
      </c>
      <c r="F23" s="219">
        <v>851</v>
      </c>
      <c r="G23" s="1" t="s">
        <v>17</v>
      </c>
      <c r="H23" s="1" t="s">
        <v>6</v>
      </c>
      <c r="I23" s="1" t="s">
        <v>484</v>
      </c>
      <c r="J23" s="1" t="s">
        <v>28</v>
      </c>
      <c r="K23" s="2">
        <f t="shared" si="16"/>
        <v>2500</v>
      </c>
      <c r="L23" s="2">
        <f t="shared" si="16"/>
        <v>0</v>
      </c>
      <c r="M23" s="2"/>
      <c r="N23" s="2">
        <f t="shared" si="9"/>
        <v>0</v>
      </c>
      <c r="O23" s="2">
        <f t="shared" si="16"/>
        <v>0</v>
      </c>
      <c r="P23" s="15"/>
      <c r="Q23" s="2">
        <f t="shared" si="10"/>
        <v>0</v>
      </c>
    </row>
    <row r="24" spans="1:17" ht="24" customHeight="1" x14ac:dyDescent="0.25">
      <c r="A24" s="15"/>
      <c r="B24" s="382" t="s">
        <v>29</v>
      </c>
      <c r="C24" s="382"/>
      <c r="D24" s="219">
        <v>51</v>
      </c>
      <c r="E24" s="219">
        <v>0</v>
      </c>
      <c r="F24" s="219">
        <v>851</v>
      </c>
      <c r="G24" s="1" t="s">
        <v>17</v>
      </c>
      <c r="H24" s="1" t="s">
        <v>6</v>
      </c>
      <c r="I24" s="1" t="s">
        <v>484</v>
      </c>
      <c r="J24" s="1" t="s">
        <v>30</v>
      </c>
      <c r="K24" s="2">
        <f>'6 Вед15'!J23</f>
        <v>2500</v>
      </c>
      <c r="L24" s="2"/>
      <c r="M24" s="2"/>
      <c r="N24" s="2">
        <f t="shared" si="9"/>
        <v>0</v>
      </c>
      <c r="O24" s="2"/>
      <c r="P24" s="15"/>
      <c r="Q24" s="2">
        <f t="shared" si="10"/>
        <v>0</v>
      </c>
    </row>
    <row r="25" spans="1:17" s="13" customFormat="1" ht="14.25" customHeight="1" x14ac:dyDescent="0.25">
      <c r="A25" s="509" t="s">
        <v>442</v>
      </c>
      <c r="B25" s="509"/>
      <c r="C25" s="385"/>
      <c r="D25" s="219">
        <v>51</v>
      </c>
      <c r="E25" s="219">
        <v>0</v>
      </c>
      <c r="F25" s="219">
        <v>851</v>
      </c>
      <c r="G25" s="1" t="s">
        <v>3</v>
      </c>
      <c r="H25" s="1" t="s">
        <v>57</v>
      </c>
      <c r="I25" s="1" t="s">
        <v>215</v>
      </c>
      <c r="J25" s="11"/>
      <c r="K25" s="2">
        <f>K26+K28</f>
        <v>1332400</v>
      </c>
      <c r="L25" s="2">
        <f t="shared" ref="L25:O25" si="17">L26+L28</f>
        <v>1332400</v>
      </c>
      <c r="M25" s="2"/>
      <c r="N25" s="2">
        <f t="shared" si="9"/>
        <v>1332400</v>
      </c>
      <c r="O25" s="2">
        <f t="shared" si="17"/>
        <v>1332400</v>
      </c>
      <c r="P25" s="390"/>
      <c r="Q25" s="2">
        <f t="shared" si="10"/>
        <v>1332400</v>
      </c>
    </row>
    <row r="26" spans="1:17" ht="38.25" customHeight="1" x14ac:dyDescent="0.25">
      <c r="A26" s="382"/>
      <c r="B26" s="387" t="s">
        <v>21</v>
      </c>
      <c r="C26" s="382"/>
      <c r="D26" s="219">
        <v>51</v>
      </c>
      <c r="E26" s="219">
        <v>0</v>
      </c>
      <c r="F26" s="219">
        <v>851</v>
      </c>
      <c r="G26" s="1" t="s">
        <v>3</v>
      </c>
      <c r="H26" s="18" t="s">
        <v>57</v>
      </c>
      <c r="I26" s="18" t="s">
        <v>215</v>
      </c>
      <c r="J26" s="1" t="s">
        <v>23</v>
      </c>
      <c r="K26" s="2">
        <f t="shared" ref="K26:O26" si="18">K27</f>
        <v>1246000</v>
      </c>
      <c r="L26" s="2">
        <f t="shared" si="18"/>
        <v>1246000</v>
      </c>
      <c r="M26" s="2"/>
      <c r="N26" s="2">
        <f t="shared" si="9"/>
        <v>1246000</v>
      </c>
      <c r="O26" s="2">
        <f t="shared" si="18"/>
        <v>1246000</v>
      </c>
      <c r="P26" s="15"/>
      <c r="Q26" s="2">
        <f t="shared" si="10"/>
        <v>1246000</v>
      </c>
    </row>
    <row r="27" spans="1:17" x14ac:dyDescent="0.25">
      <c r="A27" s="382"/>
      <c r="B27" s="382" t="s">
        <v>59</v>
      </c>
      <c r="C27" s="382"/>
      <c r="D27" s="219">
        <v>51</v>
      </c>
      <c r="E27" s="219">
        <v>0</v>
      </c>
      <c r="F27" s="219">
        <v>851</v>
      </c>
      <c r="G27" s="1" t="s">
        <v>3</v>
      </c>
      <c r="H27" s="18" t="s">
        <v>57</v>
      </c>
      <c r="I27" s="18" t="s">
        <v>215</v>
      </c>
      <c r="J27" s="1" t="s">
        <v>60</v>
      </c>
      <c r="K27" s="2">
        <f>'6 Вед15'!J75</f>
        <v>1246000</v>
      </c>
      <c r="L27" s="2">
        <v>1246000</v>
      </c>
      <c r="M27" s="2"/>
      <c r="N27" s="2">
        <f t="shared" si="9"/>
        <v>1246000</v>
      </c>
      <c r="O27" s="2">
        <v>1246000</v>
      </c>
      <c r="P27" s="15"/>
      <c r="Q27" s="2">
        <f t="shared" si="10"/>
        <v>1246000</v>
      </c>
    </row>
    <row r="28" spans="1:17" ht="16.5" customHeight="1" x14ac:dyDescent="0.25">
      <c r="A28" s="15"/>
      <c r="B28" s="382" t="s">
        <v>27</v>
      </c>
      <c r="C28" s="387"/>
      <c r="D28" s="219">
        <v>51</v>
      </c>
      <c r="E28" s="219">
        <v>0</v>
      </c>
      <c r="F28" s="219">
        <v>851</v>
      </c>
      <c r="G28" s="1" t="s">
        <v>3</v>
      </c>
      <c r="H28" s="18" t="s">
        <v>57</v>
      </c>
      <c r="I28" s="18" t="s">
        <v>215</v>
      </c>
      <c r="J28" s="1" t="s">
        <v>28</v>
      </c>
      <c r="K28" s="2">
        <f>'6 Вед15'!J76</f>
        <v>86400</v>
      </c>
      <c r="L28" s="2">
        <f>L29</f>
        <v>86400</v>
      </c>
      <c r="M28" s="2">
        <f t="shared" ref="M28:Q28" si="19">M29</f>
        <v>0</v>
      </c>
      <c r="N28" s="2">
        <f t="shared" si="19"/>
        <v>86400</v>
      </c>
      <c r="O28" s="2">
        <f t="shared" si="19"/>
        <v>86400</v>
      </c>
      <c r="P28" s="2">
        <f t="shared" si="19"/>
        <v>0</v>
      </c>
      <c r="Q28" s="2">
        <f t="shared" si="19"/>
        <v>86400</v>
      </c>
    </row>
    <row r="29" spans="1:17" ht="24" x14ac:dyDescent="0.25">
      <c r="A29" s="15"/>
      <c r="B29" s="382" t="s">
        <v>29</v>
      </c>
      <c r="C29" s="382"/>
      <c r="D29" s="219">
        <v>51</v>
      </c>
      <c r="E29" s="219">
        <v>0</v>
      </c>
      <c r="F29" s="219">
        <v>851</v>
      </c>
      <c r="G29" s="1" t="s">
        <v>3</v>
      </c>
      <c r="H29" s="18" t="s">
        <v>57</v>
      </c>
      <c r="I29" s="18" t="s">
        <v>215</v>
      </c>
      <c r="J29" s="1" t="s">
        <v>30</v>
      </c>
      <c r="K29" s="2">
        <f>'6 Вед15'!J77</f>
        <v>86400</v>
      </c>
      <c r="L29" s="2">
        <v>86400</v>
      </c>
      <c r="M29" s="2"/>
      <c r="N29" s="2">
        <f t="shared" si="9"/>
        <v>86400</v>
      </c>
      <c r="O29" s="2">
        <v>86400</v>
      </c>
      <c r="P29" s="15"/>
      <c r="Q29" s="2">
        <f t="shared" si="10"/>
        <v>86400</v>
      </c>
    </row>
    <row r="30" spans="1:17" ht="47.25" customHeight="1" x14ac:dyDescent="0.25">
      <c r="A30" s="509" t="s">
        <v>45</v>
      </c>
      <c r="B30" s="509"/>
      <c r="C30" s="219"/>
      <c r="D30" s="219">
        <v>51</v>
      </c>
      <c r="E30" s="219">
        <v>0</v>
      </c>
      <c r="F30" s="219">
        <v>851</v>
      </c>
      <c r="G30" s="1" t="s">
        <v>17</v>
      </c>
      <c r="H30" s="1" t="s">
        <v>44</v>
      </c>
      <c r="I30" s="1" t="s">
        <v>210</v>
      </c>
      <c r="J30" s="1"/>
      <c r="K30" s="2">
        <f t="shared" ref="K30:O30" si="20">K31+K33</f>
        <v>340700</v>
      </c>
      <c r="L30" s="2">
        <f t="shared" si="20"/>
        <v>340700</v>
      </c>
      <c r="M30" s="2"/>
      <c r="N30" s="2">
        <f t="shared" si="9"/>
        <v>340700</v>
      </c>
      <c r="O30" s="2">
        <f t="shared" si="20"/>
        <v>340700</v>
      </c>
      <c r="P30" s="15"/>
      <c r="Q30" s="2">
        <f t="shared" si="10"/>
        <v>340700</v>
      </c>
    </row>
    <row r="31" spans="1:17" ht="38.25" customHeight="1" x14ac:dyDescent="0.25">
      <c r="A31" s="15"/>
      <c r="B31" s="387" t="s">
        <v>21</v>
      </c>
      <c r="C31" s="219"/>
      <c r="D31" s="219">
        <v>51</v>
      </c>
      <c r="E31" s="219">
        <v>0</v>
      </c>
      <c r="F31" s="219">
        <v>851</v>
      </c>
      <c r="G31" s="1" t="s">
        <v>17</v>
      </c>
      <c r="H31" s="1" t="s">
        <v>44</v>
      </c>
      <c r="I31" s="1" t="s">
        <v>210</v>
      </c>
      <c r="J31" s="1" t="s">
        <v>23</v>
      </c>
      <c r="K31" s="2">
        <f t="shared" ref="K31:O31" si="21">K32</f>
        <v>216840</v>
      </c>
      <c r="L31" s="2">
        <f t="shared" si="21"/>
        <v>216840</v>
      </c>
      <c r="M31" s="2"/>
      <c r="N31" s="2">
        <f t="shared" si="9"/>
        <v>216840</v>
      </c>
      <c r="O31" s="2">
        <f t="shared" si="21"/>
        <v>216840</v>
      </c>
      <c r="P31" s="15"/>
      <c r="Q31" s="2">
        <f t="shared" si="10"/>
        <v>216840</v>
      </c>
    </row>
    <row r="32" spans="1:17" ht="15.75" customHeight="1" x14ac:dyDescent="0.25">
      <c r="A32" s="15"/>
      <c r="B32" s="387" t="s">
        <v>24</v>
      </c>
      <c r="C32" s="219"/>
      <c r="D32" s="219">
        <v>51</v>
      </c>
      <c r="E32" s="219">
        <v>0</v>
      </c>
      <c r="F32" s="219">
        <v>851</v>
      </c>
      <c r="G32" s="1" t="s">
        <v>17</v>
      </c>
      <c r="H32" s="1" t="s">
        <v>44</v>
      </c>
      <c r="I32" s="1" t="s">
        <v>210</v>
      </c>
      <c r="J32" s="1" t="s">
        <v>25</v>
      </c>
      <c r="K32" s="2">
        <f>'6 Вед15'!J39</f>
        <v>216840</v>
      </c>
      <c r="L32" s="2">
        <v>216840</v>
      </c>
      <c r="M32" s="2"/>
      <c r="N32" s="2">
        <f t="shared" si="9"/>
        <v>216840</v>
      </c>
      <c r="O32" s="2">
        <v>216840</v>
      </c>
      <c r="P32" s="15"/>
      <c r="Q32" s="2">
        <f t="shared" si="10"/>
        <v>216840</v>
      </c>
    </row>
    <row r="33" spans="1:17" ht="15.75" customHeight="1" x14ac:dyDescent="0.25">
      <c r="A33" s="15"/>
      <c r="B33" s="382" t="s">
        <v>27</v>
      </c>
      <c r="C33" s="219"/>
      <c r="D33" s="219">
        <v>51</v>
      </c>
      <c r="E33" s="219">
        <v>0</v>
      </c>
      <c r="F33" s="219">
        <v>851</v>
      </c>
      <c r="G33" s="1" t="s">
        <v>17</v>
      </c>
      <c r="H33" s="1" t="s">
        <v>44</v>
      </c>
      <c r="I33" s="1" t="s">
        <v>210</v>
      </c>
      <c r="J33" s="1" t="s">
        <v>28</v>
      </c>
      <c r="K33" s="2">
        <f>'6 Вед15'!J40</f>
        <v>123860</v>
      </c>
      <c r="L33" s="2">
        <f>L34</f>
        <v>123860</v>
      </c>
      <c r="M33" s="2">
        <f t="shared" ref="M33:P33" si="22">M34</f>
        <v>0</v>
      </c>
      <c r="N33" s="2">
        <f t="shared" si="22"/>
        <v>123860</v>
      </c>
      <c r="O33" s="2">
        <f t="shared" si="22"/>
        <v>123860</v>
      </c>
      <c r="P33" s="2">
        <f t="shared" si="22"/>
        <v>0</v>
      </c>
      <c r="Q33" s="2">
        <f t="shared" si="10"/>
        <v>123860</v>
      </c>
    </row>
    <row r="34" spans="1:17" ht="28.5" customHeight="1" x14ac:dyDescent="0.25">
      <c r="A34" s="15"/>
      <c r="B34" s="382" t="s">
        <v>29</v>
      </c>
      <c r="C34" s="219"/>
      <c r="D34" s="219">
        <v>51</v>
      </c>
      <c r="E34" s="219">
        <v>0</v>
      </c>
      <c r="F34" s="219">
        <v>851</v>
      </c>
      <c r="G34" s="1" t="s">
        <v>17</v>
      </c>
      <c r="H34" s="1" t="s">
        <v>44</v>
      </c>
      <c r="I34" s="1" t="s">
        <v>210</v>
      </c>
      <c r="J34" s="1" t="s">
        <v>30</v>
      </c>
      <c r="K34" s="2">
        <f>'6 Вед15'!J41</f>
        <v>123860</v>
      </c>
      <c r="L34" s="2">
        <v>123860</v>
      </c>
      <c r="M34" s="2"/>
      <c r="N34" s="2">
        <f t="shared" si="9"/>
        <v>123860</v>
      </c>
      <c r="O34" s="2">
        <v>123860</v>
      </c>
      <c r="P34" s="15"/>
      <c r="Q34" s="2">
        <f t="shared" si="10"/>
        <v>123860</v>
      </c>
    </row>
    <row r="35" spans="1:17" s="13" customFormat="1" ht="64.5" customHeight="1" x14ac:dyDescent="0.25">
      <c r="A35" s="509" t="s">
        <v>473</v>
      </c>
      <c r="B35" s="509"/>
      <c r="C35" s="385"/>
      <c r="D35" s="63">
        <v>51</v>
      </c>
      <c r="E35" s="63">
        <v>0</v>
      </c>
      <c r="F35" s="219">
        <v>851</v>
      </c>
      <c r="G35" s="1" t="s">
        <v>6</v>
      </c>
      <c r="H35" s="1" t="s">
        <v>63</v>
      </c>
      <c r="I35" s="1" t="s">
        <v>487</v>
      </c>
      <c r="J35" s="1"/>
      <c r="K35" s="2">
        <f>K36</f>
        <v>11140</v>
      </c>
      <c r="L35" s="2">
        <f t="shared" ref="L35:O36" si="23">L36</f>
        <v>11140</v>
      </c>
      <c r="M35" s="2"/>
      <c r="N35" s="2">
        <f t="shared" si="9"/>
        <v>11140</v>
      </c>
      <c r="O35" s="2">
        <f t="shared" si="23"/>
        <v>11140</v>
      </c>
      <c r="P35" s="390"/>
      <c r="Q35" s="2">
        <f t="shared" si="10"/>
        <v>11140</v>
      </c>
    </row>
    <row r="36" spans="1:17" s="13" customFormat="1" ht="12" customHeight="1" x14ac:dyDescent="0.25">
      <c r="A36" s="385"/>
      <c r="B36" s="382" t="s">
        <v>27</v>
      </c>
      <c r="C36" s="387"/>
      <c r="D36" s="63">
        <v>51</v>
      </c>
      <c r="E36" s="63">
        <v>0</v>
      </c>
      <c r="F36" s="219">
        <v>851</v>
      </c>
      <c r="G36" s="1" t="s">
        <v>6</v>
      </c>
      <c r="H36" s="1" t="s">
        <v>63</v>
      </c>
      <c r="I36" s="1" t="s">
        <v>487</v>
      </c>
      <c r="J36" s="1" t="s">
        <v>28</v>
      </c>
      <c r="K36" s="2">
        <f>K37</f>
        <v>11140</v>
      </c>
      <c r="L36" s="2">
        <f t="shared" si="23"/>
        <v>11140</v>
      </c>
      <c r="M36" s="2"/>
      <c r="N36" s="2">
        <f t="shared" si="9"/>
        <v>11140</v>
      </c>
      <c r="O36" s="2">
        <f t="shared" si="23"/>
        <v>11140</v>
      </c>
      <c r="P36" s="390"/>
      <c r="Q36" s="2">
        <f t="shared" si="10"/>
        <v>11140</v>
      </c>
    </row>
    <row r="37" spans="1:17" s="13" customFormat="1" ht="24" x14ac:dyDescent="0.25">
      <c r="A37" s="385"/>
      <c r="B37" s="382" t="s">
        <v>29</v>
      </c>
      <c r="C37" s="382"/>
      <c r="D37" s="63">
        <v>51</v>
      </c>
      <c r="E37" s="63">
        <v>0</v>
      </c>
      <c r="F37" s="219">
        <v>851</v>
      </c>
      <c r="G37" s="1" t="s">
        <v>6</v>
      </c>
      <c r="H37" s="1" t="s">
        <v>63</v>
      </c>
      <c r="I37" s="1" t="s">
        <v>487</v>
      </c>
      <c r="J37" s="1" t="s">
        <v>30</v>
      </c>
      <c r="K37" s="2">
        <f>'6 Вед15'!J85</f>
        <v>11140</v>
      </c>
      <c r="L37" s="2">
        <v>11140</v>
      </c>
      <c r="M37" s="2"/>
      <c r="N37" s="2">
        <f t="shared" si="9"/>
        <v>11140</v>
      </c>
      <c r="O37" s="2">
        <v>11140</v>
      </c>
      <c r="P37" s="390"/>
      <c r="Q37" s="2">
        <f t="shared" si="10"/>
        <v>11140</v>
      </c>
    </row>
    <row r="38" spans="1:17" ht="27" customHeight="1" x14ac:dyDescent="0.25">
      <c r="A38" s="509" t="s">
        <v>51</v>
      </c>
      <c r="B38" s="509"/>
      <c r="C38" s="382"/>
      <c r="D38" s="219">
        <v>51</v>
      </c>
      <c r="E38" s="219">
        <v>0</v>
      </c>
      <c r="F38" s="219">
        <v>851</v>
      </c>
      <c r="G38" s="1" t="s">
        <v>22</v>
      </c>
      <c r="H38" s="18" t="s">
        <v>44</v>
      </c>
      <c r="I38" s="18" t="s">
        <v>213</v>
      </c>
      <c r="J38" s="1"/>
      <c r="K38" s="2">
        <f t="shared" ref="K38:O39" si="24">K39</f>
        <v>450000</v>
      </c>
      <c r="L38" s="2">
        <f t="shared" si="24"/>
        <v>450000</v>
      </c>
      <c r="M38" s="2"/>
      <c r="N38" s="2">
        <f t="shared" si="9"/>
        <v>450000</v>
      </c>
      <c r="O38" s="2">
        <f t="shared" si="24"/>
        <v>450000</v>
      </c>
      <c r="P38" s="15"/>
      <c r="Q38" s="2">
        <f t="shared" si="10"/>
        <v>450000</v>
      </c>
    </row>
    <row r="39" spans="1:17" ht="18" customHeight="1" x14ac:dyDescent="0.25">
      <c r="A39" s="15"/>
      <c r="B39" s="382" t="s">
        <v>27</v>
      </c>
      <c r="C39" s="387"/>
      <c r="D39" s="219">
        <v>51</v>
      </c>
      <c r="E39" s="219">
        <v>0</v>
      </c>
      <c r="F39" s="219">
        <v>851</v>
      </c>
      <c r="G39" s="1" t="s">
        <v>17</v>
      </c>
      <c r="H39" s="1" t="s">
        <v>44</v>
      </c>
      <c r="I39" s="1" t="s">
        <v>213</v>
      </c>
      <c r="J39" s="1" t="s">
        <v>28</v>
      </c>
      <c r="K39" s="2">
        <f t="shared" si="24"/>
        <v>450000</v>
      </c>
      <c r="L39" s="2">
        <f t="shared" si="24"/>
        <v>450000</v>
      </c>
      <c r="M39" s="2"/>
      <c r="N39" s="2">
        <f t="shared" si="9"/>
        <v>450000</v>
      </c>
      <c r="O39" s="2">
        <f t="shared" si="24"/>
        <v>450000</v>
      </c>
      <c r="P39" s="15"/>
      <c r="Q39" s="2">
        <f t="shared" si="10"/>
        <v>450000</v>
      </c>
    </row>
    <row r="40" spans="1:17" ht="26.25" customHeight="1" x14ac:dyDescent="0.25">
      <c r="A40" s="15"/>
      <c r="B40" s="382" t="s">
        <v>29</v>
      </c>
      <c r="C40" s="382"/>
      <c r="D40" s="219">
        <v>51</v>
      </c>
      <c r="E40" s="219">
        <v>0</v>
      </c>
      <c r="F40" s="219">
        <v>851</v>
      </c>
      <c r="G40" s="1" t="s">
        <v>17</v>
      </c>
      <c r="H40" s="1" t="s">
        <v>44</v>
      </c>
      <c r="I40" s="1" t="s">
        <v>213</v>
      </c>
      <c r="J40" s="1" t="s">
        <v>30</v>
      </c>
      <c r="K40" s="2">
        <f>'6 Вед15'!J44</f>
        <v>450000</v>
      </c>
      <c r="L40" s="2">
        <v>450000</v>
      </c>
      <c r="M40" s="2"/>
      <c r="N40" s="2">
        <f t="shared" si="9"/>
        <v>450000</v>
      </c>
      <c r="O40" s="2">
        <v>450000</v>
      </c>
      <c r="P40" s="15"/>
      <c r="Q40" s="2">
        <f t="shared" si="10"/>
        <v>450000</v>
      </c>
    </row>
    <row r="41" spans="1:17" ht="17.25" customHeight="1" x14ac:dyDescent="0.25">
      <c r="A41" s="509" t="s">
        <v>53</v>
      </c>
      <c r="B41" s="509"/>
      <c r="C41" s="382"/>
      <c r="D41" s="219">
        <v>51</v>
      </c>
      <c r="E41" s="219">
        <v>0</v>
      </c>
      <c r="F41" s="219">
        <v>851</v>
      </c>
      <c r="G41" s="1" t="s">
        <v>17</v>
      </c>
      <c r="H41" s="1" t="s">
        <v>44</v>
      </c>
      <c r="I41" s="1" t="s">
        <v>214</v>
      </c>
      <c r="J41" s="1"/>
      <c r="K41" s="2">
        <f>K42</f>
        <v>1575000</v>
      </c>
      <c r="L41" s="2">
        <f t="shared" ref="L41:O41" si="25">L42</f>
        <v>1575000</v>
      </c>
      <c r="M41" s="2"/>
      <c r="N41" s="2">
        <f t="shared" si="9"/>
        <v>1575000</v>
      </c>
      <c r="O41" s="2">
        <f t="shared" si="25"/>
        <v>1575000</v>
      </c>
      <c r="P41" s="15"/>
      <c r="Q41" s="2">
        <f t="shared" si="10"/>
        <v>1575000</v>
      </c>
    </row>
    <row r="42" spans="1:17" ht="17.25" customHeight="1" x14ac:dyDescent="0.25">
      <c r="A42" s="15"/>
      <c r="B42" s="382" t="s">
        <v>27</v>
      </c>
      <c r="C42" s="387"/>
      <c r="D42" s="219">
        <v>51</v>
      </c>
      <c r="E42" s="219">
        <v>0</v>
      </c>
      <c r="F42" s="219">
        <v>851</v>
      </c>
      <c r="G42" s="1" t="s">
        <v>17</v>
      </c>
      <c r="H42" s="1" t="s">
        <v>44</v>
      </c>
      <c r="I42" s="1" t="s">
        <v>214</v>
      </c>
      <c r="J42" s="1" t="s">
        <v>28</v>
      </c>
      <c r="K42" s="2">
        <f t="shared" ref="K42:O42" si="26">K43</f>
        <v>1575000</v>
      </c>
      <c r="L42" s="2">
        <f t="shared" si="26"/>
        <v>1575000</v>
      </c>
      <c r="M42" s="2"/>
      <c r="N42" s="2">
        <f t="shared" si="9"/>
        <v>1575000</v>
      </c>
      <c r="O42" s="2">
        <f t="shared" si="26"/>
        <v>1575000</v>
      </c>
      <c r="P42" s="15"/>
      <c r="Q42" s="2">
        <f t="shared" si="10"/>
        <v>1575000</v>
      </c>
    </row>
    <row r="43" spans="1:17" ht="25.5" customHeight="1" x14ac:dyDescent="0.25">
      <c r="A43" s="15"/>
      <c r="B43" s="382" t="s">
        <v>29</v>
      </c>
      <c r="C43" s="382"/>
      <c r="D43" s="219">
        <v>51</v>
      </c>
      <c r="E43" s="219">
        <v>0</v>
      </c>
      <c r="F43" s="219">
        <v>851</v>
      </c>
      <c r="G43" s="1" t="s">
        <v>17</v>
      </c>
      <c r="H43" s="1" t="s">
        <v>44</v>
      </c>
      <c r="I43" s="1" t="s">
        <v>214</v>
      </c>
      <c r="J43" s="1" t="s">
        <v>30</v>
      </c>
      <c r="K43" s="2">
        <f>'6 Вед15'!J47</f>
        <v>1575000</v>
      </c>
      <c r="L43" s="2">
        <v>1575000</v>
      </c>
      <c r="M43" s="2"/>
      <c r="N43" s="2">
        <f t="shared" si="9"/>
        <v>1575000</v>
      </c>
      <c r="O43" s="2">
        <v>1575000</v>
      </c>
      <c r="P43" s="15"/>
      <c r="Q43" s="2">
        <f t="shared" si="10"/>
        <v>1575000</v>
      </c>
    </row>
    <row r="44" spans="1:17" ht="26.25" customHeight="1" x14ac:dyDescent="0.25">
      <c r="A44" s="509" t="s">
        <v>68</v>
      </c>
      <c r="B44" s="509"/>
      <c r="C44" s="382"/>
      <c r="D44" s="219">
        <v>51</v>
      </c>
      <c r="E44" s="219">
        <v>0</v>
      </c>
      <c r="F44" s="219">
        <v>851</v>
      </c>
      <c r="G44" s="18" t="s">
        <v>6</v>
      </c>
      <c r="H44" s="18" t="s">
        <v>67</v>
      </c>
      <c r="I44" s="18" t="s">
        <v>217</v>
      </c>
      <c r="J44" s="18"/>
      <c r="K44" s="2">
        <f t="shared" ref="K44:O44" si="27">K45+K47</f>
        <v>173500</v>
      </c>
      <c r="L44" s="2">
        <f t="shared" si="27"/>
        <v>173500</v>
      </c>
      <c r="M44" s="2"/>
      <c r="N44" s="2">
        <f t="shared" si="9"/>
        <v>173500</v>
      </c>
      <c r="O44" s="2">
        <f t="shared" si="27"/>
        <v>173500</v>
      </c>
      <c r="P44" s="15"/>
      <c r="Q44" s="2">
        <f t="shared" si="10"/>
        <v>173500</v>
      </c>
    </row>
    <row r="45" spans="1:17" ht="38.25" customHeight="1" x14ac:dyDescent="0.25">
      <c r="A45" s="382"/>
      <c r="B45" s="387" t="s">
        <v>21</v>
      </c>
      <c r="C45" s="382"/>
      <c r="D45" s="219">
        <v>51</v>
      </c>
      <c r="E45" s="219">
        <v>0</v>
      </c>
      <c r="F45" s="219">
        <v>851</v>
      </c>
      <c r="G45" s="18" t="s">
        <v>6</v>
      </c>
      <c r="H45" s="18" t="s">
        <v>67</v>
      </c>
      <c r="I45" s="18" t="s">
        <v>217</v>
      </c>
      <c r="J45" s="1" t="s">
        <v>23</v>
      </c>
      <c r="K45" s="2">
        <f t="shared" ref="K45:O45" si="28">K46</f>
        <v>97615</v>
      </c>
      <c r="L45" s="2">
        <f t="shared" si="28"/>
        <v>97615</v>
      </c>
      <c r="M45" s="2"/>
      <c r="N45" s="2">
        <f t="shared" si="9"/>
        <v>97615</v>
      </c>
      <c r="O45" s="2">
        <f t="shared" si="28"/>
        <v>97615</v>
      </c>
      <c r="P45" s="15"/>
      <c r="Q45" s="2">
        <f t="shared" si="10"/>
        <v>97615</v>
      </c>
    </row>
    <row r="46" spans="1:17" ht="15" customHeight="1" x14ac:dyDescent="0.25">
      <c r="A46" s="15"/>
      <c r="B46" s="387" t="s">
        <v>24</v>
      </c>
      <c r="C46" s="387"/>
      <c r="D46" s="219">
        <v>51</v>
      </c>
      <c r="E46" s="219">
        <v>0</v>
      </c>
      <c r="F46" s="219">
        <v>851</v>
      </c>
      <c r="G46" s="18" t="s">
        <v>6</v>
      </c>
      <c r="H46" s="18" t="s">
        <v>67</v>
      </c>
      <c r="I46" s="18" t="s">
        <v>217</v>
      </c>
      <c r="J46" s="1" t="s">
        <v>25</v>
      </c>
      <c r="K46" s="2">
        <f>'6 Вед15'!J105</f>
        <v>97615</v>
      </c>
      <c r="L46" s="2">
        <v>97615</v>
      </c>
      <c r="M46" s="2"/>
      <c r="N46" s="2">
        <f t="shared" si="9"/>
        <v>97615</v>
      </c>
      <c r="O46" s="2">
        <v>97615</v>
      </c>
      <c r="P46" s="15"/>
      <c r="Q46" s="2">
        <f t="shared" si="10"/>
        <v>97615</v>
      </c>
    </row>
    <row r="47" spans="1:17" ht="15" customHeight="1" x14ac:dyDescent="0.25">
      <c r="A47" s="15"/>
      <c r="B47" s="382" t="s">
        <v>27</v>
      </c>
      <c r="C47" s="387"/>
      <c r="D47" s="219">
        <v>51</v>
      </c>
      <c r="E47" s="219">
        <v>0</v>
      </c>
      <c r="F47" s="219">
        <v>851</v>
      </c>
      <c r="G47" s="18" t="s">
        <v>6</v>
      </c>
      <c r="H47" s="18" t="s">
        <v>67</v>
      </c>
      <c r="I47" s="18" t="s">
        <v>217</v>
      </c>
      <c r="J47" s="1" t="s">
        <v>28</v>
      </c>
      <c r="K47" s="2">
        <f>K48</f>
        <v>75885</v>
      </c>
      <c r="L47" s="2">
        <f t="shared" ref="L47:O47" si="29">L48</f>
        <v>75885</v>
      </c>
      <c r="M47" s="2"/>
      <c r="N47" s="2">
        <f t="shared" si="9"/>
        <v>75885</v>
      </c>
      <c r="O47" s="2">
        <f t="shared" si="29"/>
        <v>75885</v>
      </c>
      <c r="P47" s="15"/>
      <c r="Q47" s="2">
        <f t="shared" si="10"/>
        <v>75885</v>
      </c>
    </row>
    <row r="48" spans="1:17" ht="24" x14ac:dyDescent="0.25">
      <c r="A48" s="15"/>
      <c r="B48" s="382" t="s">
        <v>29</v>
      </c>
      <c r="C48" s="382"/>
      <c r="D48" s="219">
        <v>51</v>
      </c>
      <c r="E48" s="219">
        <v>0</v>
      </c>
      <c r="F48" s="219">
        <v>851</v>
      </c>
      <c r="G48" s="18" t="s">
        <v>6</v>
      </c>
      <c r="H48" s="18" t="s">
        <v>67</v>
      </c>
      <c r="I48" s="18" t="s">
        <v>217</v>
      </c>
      <c r="J48" s="1" t="s">
        <v>30</v>
      </c>
      <c r="K48" s="2">
        <f>'6 Вед15'!J107</f>
        <v>75885</v>
      </c>
      <c r="L48" s="2">
        <v>75885</v>
      </c>
      <c r="M48" s="2"/>
      <c r="N48" s="2">
        <f t="shared" si="9"/>
        <v>75885</v>
      </c>
      <c r="O48" s="2">
        <v>75885</v>
      </c>
      <c r="P48" s="15"/>
      <c r="Q48" s="2">
        <f t="shared" si="10"/>
        <v>75885</v>
      </c>
    </row>
    <row r="49" spans="1:17" s="182" customFormat="1" ht="14.25" customHeight="1" x14ac:dyDescent="0.2">
      <c r="A49" s="509" t="s">
        <v>440</v>
      </c>
      <c r="B49" s="509"/>
      <c r="C49" s="181"/>
      <c r="D49" s="219">
        <v>51</v>
      </c>
      <c r="E49" s="219">
        <v>0</v>
      </c>
      <c r="F49" s="219">
        <v>851</v>
      </c>
      <c r="G49" s="18" t="s">
        <v>17</v>
      </c>
      <c r="H49" s="18" t="s">
        <v>44</v>
      </c>
      <c r="I49" s="18" t="s">
        <v>443</v>
      </c>
      <c r="J49" s="18"/>
      <c r="K49" s="21">
        <f>K50+K52</f>
        <v>1572000</v>
      </c>
      <c r="L49" s="21">
        <v>1300000</v>
      </c>
      <c r="M49" s="21"/>
      <c r="N49" s="2">
        <f t="shared" si="9"/>
        <v>1300000</v>
      </c>
      <c r="O49" s="21">
        <f t="shared" ref="O49" si="30">O50+O52</f>
        <v>1700000</v>
      </c>
      <c r="P49" s="21">
        <f t="shared" ref="P49:Q49" si="31">P50+P52</f>
        <v>-755500</v>
      </c>
      <c r="Q49" s="21">
        <f t="shared" si="31"/>
        <v>944500</v>
      </c>
    </row>
    <row r="50" spans="1:17" ht="16.5" customHeight="1" x14ac:dyDescent="0.25">
      <c r="A50" s="15"/>
      <c r="B50" s="382" t="s">
        <v>27</v>
      </c>
      <c r="C50" s="387"/>
      <c r="D50" s="219">
        <v>51</v>
      </c>
      <c r="E50" s="219">
        <v>0</v>
      </c>
      <c r="F50" s="219">
        <v>851</v>
      </c>
      <c r="G50" s="18" t="s">
        <v>17</v>
      </c>
      <c r="H50" s="18" t="s">
        <v>44</v>
      </c>
      <c r="I50" s="18" t="s">
        <v>443</v>
      </c>
      <c r="J50" s="1" t="s">
        <v>28</v>
      </c>
      <c r="K50" s="2">
        <f>K51</f>
        <v>172000</v>
      </c>
      <c r="L50" s="2">
        <f t="shared" ref="L50:Q50" si="32">L51</f>
        <v>300000</v>
      </c>
      <c r="M50" s="2"/>
      <c r="N50" s="2">
        <f t="shared" si="9"/>
        <v>300000</v>
      </c>
      <c r="O50" s="2">
        <f t="shared" si="32"/>
        <v>1700000</v>
      </c>
      <c r="P50" s="2">
        <f t="shared" si="32"/>
        <v>-755500</v>
      </c>
      <c r="Q50" s="2">
        <f t="shared" si="32"/>
        <v>944500</v>
      </c>
    </row>
    <row r="51" spans="1:17" ht="24" x14ac:dyDescent="0.25">
      <c r="A51" s="15"/>
      <c r="B51" s="382" t="s">
        <v>29</v>
      </c>
      <c r="C51" s="382"/>
      <c r="D51" s="219">
        <v>51</v>
      </c>
      <c r="E51" s="219">
        <v>0</v>
      </c>
      <c r="F51" s="219">
        <v>851</v>
      </c>
      <c r="G51" s="18" t="s">
        <v>17</v>
      </c>
      <c r="H51" s="18" t="s">
        <v>44</v>
      </c>
      <c r="I51" s="18" t="s">
        <v>443</v>
      </c>
      <c r="J51" s="1" t="s">
        <v>30</v>
      </c>
      <c r="K51" s="2">
        <f>'6 Вед15'!J50</f>
        <v>172000</v>
      </c>
      <c r="L51" s="2">
        <v>300000</v>
      </c>
      <c r="M51" s="2"/>
      <c r="N51" s="2">
        <f t="shared" si="9"/>
        <v>300000</v>
      </c>
      <c r="O51" s="2">
        <v>1700000</v>
      </c>
      <c r="P51" s="342">
        <v>-755500</v>
      </c>
      <c r="Q51" s="2">
        <f>O51+P51</f>
        <v>944500</v>
      </c>
    </row>
    <row r="52" spans="1:17" s="182" customFormat="1" ht="16.5" customHeight="1" x14ac:dyDescent="0.2">
      <c r="A52" s="183"/>
      <c r="B52" s="382" t="s">
        <v>467</v>
      </c>
      <c r="C52" s="181"/>
      <c r="D52" s="219">
        <v>51</v>
      </c>
      <c r="E52" s="219">
        <v>0</v>
      </c>
      <c r="F52" s="219">
        <v>851</v>
      </c>
      <c r="G52" s="18" t="s">
        <v>17</v>
      </c>
      <c r="H52" s="18" t="s">
        <v>44</v>
      </c>
      <c r="I52" s="18" t="s">
        <v>443</v>
      </c>
      <c r="J52" s="18" t="s">
        <v>75</v>
      </c>
      <c r="K52" s="21">
        <f t="shared" ref="K52:O52" si="33">K53</f>
        <v>1400000</v>
      </c>
      <c r="L52" s="21">
        <f t="shared" si="33"/>
        <v>1000000</v>
      </c>
      <c r="M52" s="21"/>
      <c r="N52" s="2">
        <f t="shared" si="9"/>
        <v>1000000</v>
      </c>
      <c r="O52" s="21">
        <f t="shared" si="33"/>
        <v>0</v>
      </c>
      <c r="P52" s="393"/>
      <c r="Q52" s="2">
        <f t="shared" ref="Q52:Q115" si="34">O52+P52</f>
        <v>0</v>
      </c>
    </row>
    <row r="53" spans="1:17" s="182" customFormat="1" ht="24" x14ac:dyDescent="0.2">
      <c r="A53" s="183"/>
      <c r="B53" s="382" t="s">
        <v>76</v>
      </c>
      <c r="C53" s="181"/>
      <c r="D53" s="219">
        <v>51</v>
      </c>
      <c r="E53" s="219">
        <v>0</v>
      </c>
      <c r="F53" s="219">
        <v>851</v>
      </c>
      <c r="G53" s="18" t="s">
        <v>17</v>
      </c>
      <c r="H53" s="18" t="s">
        <v>44</v>
      </c>
      <c r="I53" s="18" t="s">
        <v>443</v>
      </c>
      <c r="J53" s="18" t="s">
        <v>77</v>
      </c>
      <c r="K53" s="21">
        <f>'6 Вед15'!J52</f>
        <v>1400000</v>
      </c>
      <c r="L53" s="21">
        <v>1000000</v>
      </c>
      <c r="M53" s="21"/>
      <c r="N53" s="2">
        <f t="shared" si="9"/>
        <v>1000000</v>
      </c>
      <c r="O53" s="21">
        <v>0</v>
      </c>
      <c r="P53" s="393"/>
      <c r="Q53" s="2">
        <f t="shared" si="34"/>
        <v>0</v>
      </c>
    </row>
    <row r="54" spans="1:17" ht="29.25" customHeight="1" x14ac:dyDescent="0.25">
      <c r="A54" s="509" t="s">
        <v>47</v>
      </c>
      <c r="B54" s="509"/>
      <c r="C54" s="382"/>
      <c r="D54" s="219">
        <v>51</v>
      </c>
      <c r="E54" s="219">
        <v>0</v>
      </c>
      <c r="F54" s="219">
        <v>851</v>
      </c>
      <c r="G54" s="1" t="s">
        <v>17</v>
      </c>
      <c r="H54" s="1" t="s">
        <v>44</v>
      </c>
      <c r="I54" s="1" t="s">
        <v>211</v>
      </c>
      <c r="J54" s="1"/>
      <c r="K54" s="2">
        <f t="shared" ref="K54:Q55" si="35">K55</f>
        <v>2000000</v>
      </c>
      <c r="L54" s="2">
        <f t="shared" si="35"/>
        <v>2000000</v>
      </c>
      <c r="M54" s="2">
        <f t="shared" si="35"/>
        <v>-1321000</v>
      </c>
      <c r="N54" s="2">
        <f t="shared" si="9"/>
        <v>679000</v>
      </c>
      <c r="O54" s="2">
        <f t="shared" si="35"/>
        <v>2000000</v>
      </c>
      <c r="P54" s="342">
        <f t="shared" si="35"/>
        <v>-1400000</v>
      </c>
      <c r="Q54" s="2">
        <f t="shared" si="35"/>
        <v>600000</v>
      </c>
    </row>
    <row r="55" spans="1:17" ht="18" customHeight="1" x14ac:dyDescent="0.25">
      <c r="A55" s="15"/>
      <c r="B55" s="382" t="s">
        <v>27</v>
      </c>
      <c r="C55" s="387"/>
      <c r="D55" s="219">
        <v>51</v>
      </c>
      <c r="E55" s="219">
        <v>0</v>
      </c>
      <c r="F55" s="219">
        <v>851</v>
      </c>
      <c r="G55" s="1" t="s">
        <v>17</v>
      </c>
      <c r="H55" s="18" t="s">
        <v>44</v>
      </c>
      <c r="I55" s="18" t="s">
        <v>211</v>
      </c>
      <c r="J55" s="1" t="s">
        <v>28</v>
      </c>
      <c r="K55" s="2">
        <f t="shared" si="35"/>
        <v>2000000</v>
      </c>
      <c r="L55" s="2">
        <f t="shared" si="35"/>
        <v>2000000</v>
      </c>
      <c r="M55" s="2">
        <f t="shared" si="35"/>
        <v>-1321000</v>
      </c>
      <c r="N55" s="2">
        <f t="shared" si="9"/>
        <v>679000</v>
      </c>
      <c r="O55" s="2">
        <f t="shared" si="35"/>
        <v>2000000</v>
      </c>
      <c r="P55" s="342">
        <f t="shared" si="35"/>
        <v>-1400000</v>
      </c>
      <c r="Q55" s="2">
        <f t="shared" si="35"/>
        <v>600000</v>
      </c>
    </row>
    <row r="56" spans="1:17" ht="25.5" customHeight="1" x14ac:dyDescent="0.25">
      <c r="A56" s="15"/>
      <c r="B56" s="382" t="s">
        <v>29</v>
      </c>
      <c r="C56" s="382"/>
      <c r="D56" s="219">
        <v>51</v>
      </c>
      <c r="E56" s="219">
        <v>0</v>
      </c>
      <c r="F56" s="219">
        <v>851</v>
      </c>
      <c r="G56" s="1" t="s">
        <v>17</v>
      </c>
      <c r="H56" s="18" t="s">
        <v>44</v>
      </c>
      <c r="I56" s="18" t="s">
        <v>211</v>
      </c>
      <c r="J56" s="1" t="s">
        <v>30</v>
      </c>
      <c r="K56" s="2">
        <f>'6 Вед15'!J55</f>
        <v>2000000</v>
      </c>
      <c r="L56" s="2">
        <v>2000000</v>
      </c>
      <c r="M56" s="2">
        <v>-1321000</v>
      </c>
      <c r="N56" s="2">
        <f>L56+M56</f>
        <v>679000</v>
      </c>
      <c r="O56" s="2">
        <v>2000000</v>
      </c>
      <c r="P56" s="342">
        <v>-1400000</v>
      </c>
      <c r="Q56" s="2">
        <f t="shared" si="34"/>
        <v>600000</v>
      </c>
    </row>
    <row r="57" spans="1:17" ht="14.25" customHeight="1" x14ac:dyDescent="0.25">
      <c r="A57" s="509" t="s">
        <v>49</v>
      </c>
      <c r="B57" s="509"/>
      <c r="C57" s="382"/>
      <c r="D57" s="219">
        <v>51</v>
      </c>
      <c r="E57" s="219">
        <v>0</v>
      </c>
      <c r="F57" s="219">
        <v>851</v>
      </c>
      <c r="G57" s="1" t="s">
        <v>17</v>
      </c>
      <c r="H57" s="18" t="s">
        <v>44</v>
      </c>
      <c r="I57" s="18" t="s">
        <v>212</v>
      </c>
      <c r="J57" s="1"/>
      <c r="K57" s="2">
        <f t="shared" ref="K57:O58" si="36">K58</f>
        <v>300000</v>
      </c>
      <c r="L57" s="2">
        <f t="shared" si="36"/>
        <v>300000</v>
      </c>
      <c r="M57" s="2"/>
      <c r="N57" s="2">
        <f t="shared" ref="N57:N120" si="37">L57+M57</f>
        <v>300000</v>
      </c>
      <c r="O57" s="2">
        <f t="shared" si="36"/>
        <v>300000</v>
      </c>
      <c r="P57" s="342"/>
      <c r="Q57" s="2">
        <f t="shared" si="34"/>
        <v>300000</v>
      </c>
    </row>
    <row r="58" spans="1:17" ht="18" customHeight="1" x14ac:dyDescent="0.25">
      <c r="A58" s="15"/>
      <c r="B58" s="382" t="s">
        <v>27</v>
      </c>
      <c r="C58" s="387"/>
      <c r="D58" s="219">
        <v>51</v>
      </c>
      <c r="E58" s="219">
        <v>0</v>
      </c>
      <c r="F58" s="219">
        <v>851</v>
      </c>
      <c r="G58" s="1" t="s">
        <v>17</v>
      </c>
      <c r="H58" s="18" t="s">
        <v>44</v>
      </c>
      <c r="I58" s="18" t="s">
        <v>212</v>
      </c>
      <c r="J58" s="1" t="s">
        <v>28</v>
      </c>
      <c r="K58" s="2">
        <f t="shared" si="36"/>
        <v>300000</v>
      </c>
      <c r="L58" s="2">
        <f t="shared" si="36"/>
        <v>300000</v>
      </c>
      <c r="M58" s="2"/>
      <c r="N58" s="2">
        <f t="shared" si="37"/>
        <v>300000</v>
      </c>
      <c r="O58" s="2">
        <f t="shared" si="36"/>
        <v>300000</v>
      </c>
      <c r="P58" s="342"/>
      <c r="Q58" s="2">
        <f t="shared" si="34"/>
        <v>300000</v>
      </c>
    </row>
    <row r="59" spans="1:17" ht="24" x14ac:dyDescent="0.25">
      <c r="A59" s="15"/>
      <c r="B59" s="382" t="s">
        <v>29</v>
      </c>
      <c r="C59" s="382"/>
      <c r="D59" s="219">
        <v>51</v>
      </c>
      <c r="E59" s="219">
        <v>0</v>
      </c>
      <c r="F59" s="219">
        <v>851</v>
      </c>
      <c r="G59" s="1" t="s">
        <v>17</v>
      </c>
      <c r="H59" s="18" t="s">
        <v>44</v>
      </c>
      <c r="I59" s="18" t="s">
        <v>212</v>
      </c>
      <c r="J59" s="1" t="s">
        <v>30</v>
      </c>
      <c r="K59" s="2">
        <f>'6 Вед15'!J58</f>
        <v>300000</v>
      </c>
      <c r="L59" s="2">
        <v>300000</v>
      </c>
      <c r="M59" s="2"/>
      <c r="N59" s="2">
        <f t="shared" si="37"/>
        <v>300000</v>
      </c>
      <c r="O59" s="2">
        <v>300000</v>
      </c>
      <c r="P59" s="342"/>
      <c r="Q59" s="2">
        <f t="shared" si="34"/>
        <v>300000</v>
      </c>
    </row>
    <row r="60" spans="1:17" x14ac:dyDescent="0.25">
      <c r="A60" s="509" t="s">
        <v>80</v>
      </c>
      <c r="B60" s="509"/>
      <c r="C60" s="382"/>
      <c r="D60" s="219">
        <v>51</v>
      </c>
      <c r="E60" s="219">
        <v>0</v>
      </c>
      <c r="F60" s="219">
        <v>851</v>
      </c>
      <c r="G60" s="1" t="s">
        <v>36</v>
      </c>
      <c r="H60" s="18" t="s">
        <v>72</v>
      </c>
      <c r="I60" s="18" t="s">
        <v>219</v>
      </c>
      <c r="J60" s="1"/>
      <c r="K60" s="2">
        <f>K61+K63</f>
        <v>8214000</v>
      </c>
      <c r="L60" s="2">
        <f t="shared" ref="L60:O60" si="38">L61+L63</f>
        <v>3000000</v>
      </c>
      <c r="M60" s="2">
        <f t="shared" ref="M60:N60" si="39">M61+M63</f>
        <v>-3000000</v>
      </c>
      <c r="N60" s="2">
        <f t="shared" si="39"/>
        <v>0</v>
      </c>
      <c r="O60" s="2">
        <f t="shared" si="38"/>
        <v>2114000</v>
      </c>
      <c r="P60" s="342">
        <f t="shared" ref="P60:Q60" si="40">P61+P63</f>
        <v>-2114000</v>
      </c>
      <c r="Q60" s="2">
        <f t="shared" si="40"/>
        <v>0</v>
      </c>
    </row>
    <row r="61" spans="1:17" ht="15.75" customHeight="1" x14ac:dyDescent="0.25">
      <c r="A61" s="382"/>
      <c r="B61" s="382" t="s">
        <v>27</v>
      </c>
      <c r="C61" s="382"/>
      <c r="D61" s="219">
        <v>51</v>
      </c>
      <c r="E61" s="219">
        <v>0</v>
      </c>
      <c r="F61" s="219">
        <v>851</v>
      </c>
      <c r="G61" s="1" t="s">
        <v>36</v>
      </c>
      <c r="H61" s="18" t="s">
        <v>72</v>
      </c>
      <c r="I61" s="18" t="s">
        <v>219</v>
      </c>
      <c r="J61" s="1" t="s">
        <v>28</v>
      </c>
      <c r="K61" s="2">
        <f t="shared" ref="K61:Q61" si="41">K62</f>
        <v>0</v>
      </c>
      <c r="L61" s="2">
        <f t="shared" si="41"/>
        <v>0</v>
      </c>
      <c r="M61" s="2">
        <f t="shared" si="41"/>
        <v>0</v>
      </c>
      <c r="N61" s="2">
        <f t="shared" si="41"/>
        <v>0</v>
      </c>
      <c r="O61" s="2">
        <f t="shared" si="41"/>
        <v>2114000</v>
      </c>
      <c r="P61" s="342">
        <f t="shared" si="41"/>
        <v>-2114000</v>
      </c>
      <c r="Q61" s="2">
        <f t="shared" si="41"/>
        <v>0</v>
      </c>
    </row>
    <row r="62" spans="1:17" ht="24" x14ac:dyDescent="0.25">
      <c r="A62" s="382"/>
      <c r="B62" s="382" t="s">
        <v>29</v>
      </c>
      <c r="C62" s="382"/>
      <c r="D62" s="219">
        <v>51</v>
      </c>
      <c r="E62" s="219">
        <v>0</v>
      </c>
      <c r="F62" s="219">
        <v>851</v>
      </c>
      <c r="G62" s="1" t="s">
        <v>36</v>
      </c>
      <c r="H62" s="18" t="s">
        <v>72</v>
      </c>
      <c r="I62" s="18" t="s">
        <v>219</v>
      </c>
      <c r="J62" s="1" t="s">
        <v>30</v>
      </c>
      <c r="K62" s="2">
        <f>'6 Вед15'!J142</f>
        <v>0</v>
      </c>
      <c r="L62" s="2">
        <v>0</v>
      </c>
      <c r="M62" s="2"/>
      <c r="N62" s="2">
        <f t="shared" si="37"/>
        <v>0</v>
      </c>
      <c r="O62" s="2">
        <v>2114000</v>
      </c>
      <c r="P62" s="342">
        <v>-2114000</v>
      </c>
      <c r="Q62" s="2">
        <f t="shared" si="34"/>
        <v>0</v>
      </c>
    </row>
    <row r="63" spans="1:17" ht="15.75" customHeight="1" x14ac:dyDescent="0.25">
      <c r="A63" s="382"/>
      <c r="B63" s="382" t="s">
        <v>467</v>
      </c>
      <c r="C63" s="382"/>
      <c r="D63" s="219">
        <v>51</v>
      </c>
      <c r="E63" s="219">
        <v>0</v>
      </c>
      <c r="F63" s="219">
        <v>851</v>
      </c>
      <c r="G63" s="1" t="s">
        <v>36</v>
      </c>
      <c r="H63" s="18" t="s">
        <v>72</v>
      </c>
      <c r="I63" s="18" t="s">
        <v>219</v>
      </c>
      <c r="J63" s="1" t="s">
        <v>75</v>
      </c>
      <c r="K63" s="2">
        <f>K64</f>
        <v>8214000</v>
      </c>
      <c r="L63" s="2">
        <f t="shared" ref="L63:O63" si="42">L64</f>
        <v>3000000</v>
      </c>
      <c r="M63" s="2">
        <f t="shared" si="42"/>
        <v>-3000000</v>
      </c>
      <c r="N63" s="2">
        <f t="shared" si="42"/>
        <v>0</v>
      </c>
      <c r="O63" s="2">
        <f t="shared" si="42"/>
        <v>0</v>
      </c>
      <c r="P63" s="15"/>
      <c r="Q63" s="2">
        <f t="shared" si="34"/>
        <v>0</v>
      </c>
    </row>
    <row r="64" spans="1:17" ht="24" x14ac:dyDescent="0.25">
      <c r="A64" s="382"/>
      <c r="B64" s="382" t="s">
        <v>76</v>
      </c>
      <c r="C64" s="382"/>
      <c r="D64" s="219">
        <v>51</v>
      </c>
      <c r="E64" s="219">
        <v>0</v>
      </c>
      <c r="F64" s="219">
        <v>851</v>
      </c>
      <c r="G64" s="1" t="s">
        <v>36</v>
      </c>
      <c r="H64" s="18" t="s">
        <v>72</v>
      </c>
      <c r="I64" s="18" t="s">
        <v>219</v>
      </c>
      <c r="J64" s="1" t="s">
        <v>77</v>
      </c>
      <c r="K64" s="2">
        <f>'6 Вед15'!J144</f>
        <v>8214000</v>
      </c>
      <c r="L64" s="2">
        <v>3000000</v>
      </c>
      <c r="M64" s="2">
        <v>-3000000</v>
      </c>
      <c r="N64" s="2">
        <f t="shared" si="37"/>
        <v>0</v>
      </c>
      <c r="O64" s="2">
        <v>0</v>
      </c>
      <c r="P64" s="15"/>
      <c r="Q64" s="2">
        <f t="shared" si="34"/>
        <v>0</v>
      </c>
    </row>
    <row r="65" spans="1:17" ht="14.25" customHeight="1" x14ac:dyDescent="0.25">
      <c r="A65" s="509" t="s">
        <v>73</v>
      </c>
      <c r="B65" s="509"/>
      <c r="C65" s="382"/>
      <c r="D65" s="219">
        <v>51</v>
      </c>
      <c r="E65" s="219">
        <v>0</v>
      </c>
      <c r="F65" s="219">
        <v>851</v>
      </c>
      <c r="G65" s="18" t="s">
        <v>63</v>
      </c>
      <c r="H65" s="18" t="s">
        <v>72</v>
      </c>
      <c r="I65" s="18" t="s">
        <v>218</v>
      </c>
      <c r="J65" s="1"/>
      <c r="K65" s="2">
        <f t="shared" ref="K65:O65" si="43">K67</f>
        <v>700000</v>
      </c>
      <c r="L65" s="2">
        <f t="shared" si="43"/>
        <v>700000</v>
      </c>
      <c r="M65" s="2"/>
      <c r="N65" s="2">
        <f t="shared" si="37"/>
        <v>700000</v>
      </c>
      <c r="O65" s="2">
        <f t="shared" si="43"/>
        <v>700000</v>
      </c>
      <c r="P65" s="15"/>
      <c r="Q65" s="2">
        <f t="shared" si="34"/>
        <v>700000</v>
      </c>
    </row>
    <row r="66" spans="1:17" ht="13.5" customHeight="1" x14ac:dyDescent="0.25">
      <c r="A66" s="382"/>
      <c r="B66" s="382" t="s">
        <v>467</v>
      </c>
      <c r="C66" s="382"/>
      <c r="D66" s="219">
        <v>51</v>
      </c>
      <c r="E66" s="219">
        <v>0</v>
      </c>
      <c r="F66" s="219">
        <v>851</v>
      </c>
      <c r="G66" s="18" t="s">
        <v>63</v>
      </c>
      <c r="H66" s="18" t="s">
        <v>72</v>
      </c>
      <c r="I66" s="18" t="s">
        <v>218</v>
      </c>
      <c r="J66" s="1" t="s">
        <v>75</v>
      </c>
      <c r="K66" s="2">
        <f t="shared" ref="K66:O66" si="44">K67</f>
        <v>700000</v>
      </c>
      <c r="L66" s="2">
        <f t="shared" si="44"/>
        <v>700000</v>
      </c>
      <c r="M66" s="2"/>
      <c r="N66" s="2">
        <f t="shared" si="37"/>
        <v>700000</v>
      </c>
      <c r="O66" s="2">
        <f t="shared" si="44"/>
        <v>700000</v>
      </c>
      <c r="P66" s="15"/>
      <c r="Q66" s="2">
        <f t="shared" si="34"/>
        <v>700000</v>
      </c>
    </row>
    <row r="67" spans="1:17" ht="24" x14ac:dyDescent="0.25">
      <c r="A67" s="15"/>
      <c r="B67" s="382" t="s">
        <v>76</v>
      </c>
      <c r="C67" s="382"/>
      <c r="D67" s="219">
        <v>51</v>
      </c>
      <c r="E67" s="219">
        <v>0</v>
      </c>
      <c r="F67" s="219">
        <v>851</v>
      </c>
      <c r="G67" s="18" t="s">
        <v>63</v>
      </c>
      <c r="H67" s="18" t="s">
        <v>72</v>
      </c>
      <c r="I67" s="18" t="s">
        <v>218</v>
      </c>
      <c r="J67" s="1" t="s">
        <v>77</v>
      </c>
      <c r="K67" s="2">
        <f>'6 Вед15'!J122</f>
        <v>700000</v>
      </c>
      <c r="L67" s="2">
        <v>700000</v>
      </c>
      <c r="M67" s="2"/>
      <c r="N67" s="2">
        <f t="shared" si="37"/>
        <v>700000</v>
      </c>
      <c r="O67" s="2">
        <v>700000</v>
      </c>
      <c r="P67" s="15"/>
      <c r="Q67" s="2">
        <f t="shared" si="34"/>
        <v>700000</v>
      </c>
    </row>
    <row r="68" spans="1:17" s="23" customFormat="1" ht="48" customHeight="1" x14ac:dyDescent="0.25">
      <c r="A68" s="509" t="s">
        <v>499</v>
      </c>
      <c r="B68" s="509"/>
      <c r="C68" s="387"/>
      <c r="D68" s="63">
        <v>51</v>
      </c>
      <c r="E68" s="219">
        <v>0</v>
      </c>
      <c r="F68" s="63">
        <v>851</v>
      </c>
      <c r="G68" s="219" t="s">
        <v>72</v>
      </c>
      <c r="H68" s="219" t="s">
        <v>3</v>
      </c>
      <c r="I68" s="219">
        <v>5118</v>
      </c>
      <c r="J68" s="387" t="s">
        <v>151</v>
      </c>
      <c r="K68" s="37">
        <f t="shared" ref="K68:O68" si="45">K69+K71</f>
        <v>428902</v>
      </c>
      <c r="L68" s="37">
        <f t="shared" si="45"/>
        <v>434142</v>
      </c>
      <c r="M68" s="37"/>
      <c r="N68" s="2">
        <f t="shared" si="37"/>
        <v>434142</v>
      </c>
      <c r="O68" s="37">
        <f t="shared" si="45"/>
        <v>414947</v>
      </c>
      <c r="P68" s="387"/>
      <c r="Q68" s="2">
        <f t="shared" si="34"/>
        <v>414947</v>
      </c>
    </row>
    <row r="69" spans="1:17" ht="36" customHeight="1" x14ac:dyDescent="0.25">
      <c r="A69" s="15"/>
      <c r="B69" s="387" t="s">
        <v>21</v>
      </c>
      <c r="C69" s="219"/>
      <c r="D69" s="219">
        <v>51</v>
      </c>
      <c r="E69" s="219">
        <v>0</v>
      </c>
      <c r="F69" s="219">
        <v>851</v>
      </c>
      <c r="G69" s="1" t="s">
        <v>72</v>
      </c>
      <c r="H69" s="1" t="s">
        <v>3</v>
      </c>
      <c r="I69" s="219">
        <v>5118</v>
      </c>
      <c r="J69" s="1" t="s">
        <v>23</v>
      </c>
      <c r="K69" s="2">
        <f t="shared" ref="K69:O69" si="46">K70</f>
        <v>379160</v>
      </c>
      <c r="L69" s="2">
        <f t="shared" si="46"/>
        <v>384400</v>
      </c>
      <c r="M69" s="2"/>
      <c r="N69" s="2">
        <f t="shared" si="37"/>
        <v>384400</v>
      </c>
      <c r="O69" s="2">
        <f t="shared" si="46"/>
        <v>366131</v>
      </c>
      <c r="P69" s="15"/>
      <c r="Q69" s="2">
        <f t="shared" si="34"/>
        <v>366131</v>
      </c>
    </row>
    <row r="70" spans="1:17" ht="14.25" customHeight="1" x14ac:dyDescent="0.25">
      <c r="A70" s="15"/>
      <c r="B70" s="387" t="s">
        <v>24</v>
      </c>
      <c r="C70" s="219"/>
      <c r="D70" s="219">
        <v>51</v>
      </c>
      <c r="E70" s="219">
        <v>0</v>
      </c>
      <c r="F70" s="219">
        <v>851</v>
      </c>
      <c r="G70" s="1" t="s">
        <v>72</v>
      </c>
      <c r="H70" s="1" t="s">
        <v>3</v>
      </c>
      <c r="I70" s="219">
        <v>5118</v>
      </c>
      <c r="J70" s="1" t="s">
        <v>25</v>
      </c>
      <c r="K70" s="2">
        <f>'6 Вед15'!J68</f>
        <v>379160</v>
      </c>
      <c r="L70" s="2">
        <v>384400</v>
      </c>
      <c r="M70" s="2"/>
      <c r="N70" s="2">
        <f t="shared" si="37"/>
        <v>384400</v>
      </c>
      <c r="O70" s="2">
        <v>366131</v>
      </c>
      <c r="P70" s="15"/>
      <c r="Q70" s="2">
        <f t="shared" si="34"/>
        <v>366131</v>
      </c>
    </row>
    <row r="71" spans="1:17" ht="14.25" customHeight="1" x14ac:dyDescent="0.25">
      <c r="A71" s="15"/>
      <c r="B71" s="382" t="s">
        <v>27</v>
      </c>
      <c r="C71" s="219"/>
      <c r="D71" s="219">
        <v>51</v>
      </c>
      <c r="E71" s="219">
        <v>0</v>
      </c>
      <c r="F71" s="219">
        <v>851</v>
      </c>
      <c r="G71" s="1" t="s">
        <v>72</v>
      </c>
      <c r="H71" s="1" t="s">
        <v>3</v>
      </c>
      <c r="I71" s="219">
        <v>5118</v>
      </c>
      <c r="J71" s="1" t="s">
        <v>28</v>
      </c>
      <c r="K71" s="2">
        <f>K72</f>
        <v>49742</v>
      </c>
      <c r="L71" s="2">
        <f t="shared" ref="L71:O71" si="47">L72</f>
        <v>49742</v>
      </c>
      <c r="M71" s="2"/>
      <c r="N71" s="2">
        <f t="shared" si="37"/>
        <v>49742</v>
      </c>
      <c r="O71" s="2">
        <f t="shared" si="47"/>
        <v>48816</v>
      </c>
      <c r="P71" s="15"/>
      <c r="Q71" s="2">
        <f t="shared" si="34"/>
        <v>48816</v>
      </c>
    </row>
    <row r="72" spans="1:17" ht="24" x14ac:dyDescent="0.25">
      <c r="A72" s="15"/>
      <c r="B72" s="382" t="s">
        <v>29</v>
      </c>
      <c r="C72" s="219"/>
      <c r="D72" s="219">
        <v>51</v>
      </c>
      <c r="E72" s="219">
        <v>0</v>
      </c>
      <c r="F72" s="219">
        <v>851</v>
      </c>
      <c r="G72" s="1" t="s">
        <v>72</v>
      </c>
      <c r="H72" s="1" t="s">
        <v>3</v>
      </c>
      <c r="I72" s="219">
        <v>5118</v>
      </c>
      <c r="J72" s="1" t="s">
        <v>30</v>
      </c>
      <c r="K72" s="2">
        <f>'6 Вед15'!J70</f>
        <v>49742</v>
      </c>
      <c r="L72" s="2">
        <v>49742</v>
      </c>
      <c r="M72" s="2"/>
      <c r="N72" s="2">
        <f t="shared" si="37"/>
        <v>49742</v>
      </c>
      <c r="O72" s="2">
        <v>48816</v>
      </c>
      <c r="P72" s="15"/>
      <c r="Q72" s="2">
        <f t="shared" si="34"/>
        <v>48816</v>
      </c>
    </row>
    <row r="73" spans="1:17" ht="48.75" customHeight="1" x14ac:dyDescent="0.25">
      <c r="A73" s="509" t="s">
        <v>496</v>
      </c>
      <c r="B73" s="509"/>
      <c r="C73" s="382"/>
      <c r="D73" s="219">
        <v>51</v>
      </c>
      <c r="E73" s="219">
        <v>0</v>
      </c>
      <c r="F73" s="219">
        <v>851</v>
      </c>
      <c r="G73" s="1" t="s">
        <v>17</v>
      </c>
      <c r="H73" s="1" t="s">
        <v>63</v>
      </c>
      <c r="I73" s="1" t="s">
        <v>498</v>
      </c>
      <c r="J73" s="1"/>
      <c r="K73" s="2">
        <f t="shared" ref="K73:O74" si="48">K74</f>
        <v>0</v>
      </c>
      <c r="L73" s="2">
        <f t="shared" si="48"/>
        <v>0</v>
      </c>
      <c r="M73" s="2"/>
      <c r="N73" s="2">
        <f t="shared" si="37"/>
        <v>0</v>
      </c>
      <c r="O73" s="2">
        <f t="shared" si="48"/>
        <v>5220</v>
      </c>
      <c r="P73" s="15"/>
      <c r="Q73" s="2">
        <f t="shared" si="34"/>
        <v>5220</v>
      </c>
    </row>
    <row r="74" spans="1:17" ht="15" customHeight="1" x14ac:dyDescent="0.25">
      <c r="A74" s="15"/>
      <c r="B74" s="382" t="s">
        <v>27</v>
      </c>
      <c r="C74" s="387"/>
      <c r="D74" s="219">
        <v>51</v>
      </c>
      <c r="E74" s="219">
        <v>0</v>
      </c>
      <c r="F74" s="219">
        <v>851</v>
      </c>
      <c r="G74" s="1" t="s">
        <v>17</v>
      </c>
      <c r="H74" s="1" t="s">
        <v>63</v>
      </c>
      <c r="I74" s="1" t="s">
        <v>498</v>
      </c>
      <c r="J74" s="1" t="s">
        <v>28</v>
      </c>
      <c r="K74" s="2">
        <f t="shared" si="48"/>
        <v>0</v>
      </c>
      <c r="L74" s="2">
        <f t="shared" si="48"/>
        <v>0</v>
      </c>
      <c r="M74" s="2"/>
      <c r="N74" s="2">
        <f t="shared" si="37"/>
        <v>0</v>
      </c>
      <c r="O74" s="2">
        <f t="shared" si="48"/>
        <v>5220</v>
      </c>
      <c r="P74" s="15"/>
      <c r="Q74" s="2">
        <f t="shared" si="34"/>
        <v>5220</v>
      </c>
    </row>
    <row r="75" spans="1:17" ht="24" x14ac:dyDescent="0.25">
      <c r="A75" s="15"/>
      <c r="B75" s="382" t="s">
        <v>29</v>
      </c>
      <c r="C75" s="382"/>
      <c r="D75" s="219">
        <v>51</v>
      </c>
      <c r="E75" s="219">
        <v>0</v>
      </c>
      <c r="F75" s="219">
        <v>851</v>
      </c>
      <c r="G75" s="1" t="s">
        <v>17</v>
      </c>
      <c r="H75" s="1" t="s">
        <v>63</v>
      </c>
      <c r="I75" s="1" t="s">
        <v>498</v>
      </c>
      <c r="J75" s="1" t="s">
        <v>30</v>
      </c>
      <c r="K75" s="2">
        <f>'6 Вед15'!J27</f>
        <v>0</v>
      </c>
      <c r="L75" s="2">
        <v>0</v>
      </c>
      <c r="M75" s="2"/>
      <c r="N75" s="2">
        <f t="shared" si="37"/>
        <v>0</v>
      </c>
      <c r="O75" s="2">
        <v>5220</v>
      </c>
      <c r="P75" s="15"/>
      <c r="Q75" s="2">
        <f t="shared" si="34"/>
        <v>5220</v>
      </c>
    </row>
    <row r="76" spans="1:17" s="13" customFormat="1" x14ac:dyDescent="0.25">
      <c r="A76" s="509" t="s">
        <v>457</v>
      </c>
      <c r="B76" s="509"/>
      <c r="C76" s="382"/>
      <c r="D76" s="219">
        <v>51</v>
      </c>
      <c r="E76" s="219">
        <v>0</v>
      </c>
      <c r="F76" s="219">
        <v>851</v>
      </c>
      <c r="G76" s="18" t="s">
        <v>63</v>
      </c>
      <c r="H76" s="18" t="s">
        <v>17</v>
      </c>
      <c r="I76" s="18" t="s">
        <v>459</v>
      </c>
      <c r="J76" s="1"/>
      <c r="K76" s="2">
        <f t="shared" ref="K76:O77" si="49">K77</f>
        <v>41440</v>
      </c>
      <c r="L76" s="2">
        <f t="shared" si="49"/>
        <v>41500</v>
      </c>
      <c r="M76" s="2"/>
      <c r="N76" s="2">
        <f t="shared" si="37"/>
        <v>41500</v>
      </c>
      <c r="O76" s="2">
        <f t="shared" si="49"/>
        <v>41495</v>
      </c>
      <c r="P76" s="390"/>
      <c r="Q76" s="2">
        <f t="shared" si="34"/>
        <v>41495</v>
      </c>
    </row>
    <row r="77" spans="1:17" s="13" customFormat="1" ht="14.25" customHeight="1" x14ac:dyDescent="0.25">
      <c r="A77" s="382"/>
      <c r="B77" s="382" t="s">
        <v>27</v>
      </c>
      <c r="C77" s="382"/>
      <c r="D77" s="219">
        <v>51</v>
      </c>
      <c r="E77" s="219">
        <v>0</v>
      </c>
      <c r="F77" s="219">
        <v>851</v>
      </c>
      <c r="G77" s="18" t="s">
        <v>63</v>
      </c>
      <c r="H77" s="18" t="s">
        <v>17</v>
      </c>
      <c r="I77" s="18" t="s">
        <v>459</v>
      </c>
      <c r="J77" s="1" t="s">
        <v>28</v>
      </c>
      <c r="K77" s="2">
        <f t="shared" si="49"/>
        <v>41440</v>
      </c>
      <c r="L77" s="2">
        <f t="shared" si="49"/>
        <v>41500</v>
      </c>
      <c r="M77" s="2"/>
      <c r="N77" s="2">
        <f t="shared" si="37"/>
        <v>41500</v>
      </c>
      <c r="O77" s="2">
        <f t="shared" si="49"/>
        <v>41495</v>
      </c>
      <c r="P77" s="390"/>
      <c r="Q77" s="2">
        <f t="shared" si="34"/>
        <v>41495</v>
      </c>
    </row>
    <row r="78" spans="1:17" s="13" customFormat="1" ht="24" x14ac:dyDescent="0.25">
      <c r="A78" s="382"/>
      <c r="B78" s="382" t="s">
        <v>29</v>
      </c>
      <c r="C78" s="382"/>
      <c r="D78" s="219">
        <v>51</v>
      </c>
      <c r="E78" s="219">
        <v>0</v>
      </c>
      <c r="F78" s="219">
        <v>851</v>
      </c>
      <c r="G78" s="18" t="s">
        <v>63</v>
      </c>
      <c r="H78" s="18" t="s">
        <v>17</v>
      </c>
      <c r="I78" s="18" t="s">
        <v>459</v>
      </c>
      <c r="J78" s="1" t="s">
        <v>30</v>
      </c>
      <c r="K78" s="2">
        <f>'6 Вед15'!J115</f>
        <v>41440</v>
      </c>
      <c r="L78" s="2">
        <v>41500</v>
      </c>
      <c r="M78" s="2"/>
      <c r="N78" s="2">
        <f t="shared" si="37"/>
        <v>41500</v>
      </c>
      <c r="O78" s="2">
        <v>41495</v>
      </c>
      <c r="P78" s="390"/>
      <c r="Q78" s="2">
        <f t="shared" si="34"/>
        <v>41495</v>
      </c>
    </row>
    <row r="79" spans="1:17" x14ac:dyDescent="0.25">
      <c r="A79" s="509" t="s">
        <v>481</v>
      </c>
      <c r="B79" s="509"/>
      <c r="C79" s="382"/>
      <c r="D79" s="219">
        <v>51</v>
      </c>
      <c r="E79" s="219">
        <v>0</v>
      </c>
      <c r="F79" s="219">
        <v>851</v>
      </c>
      <c r="G79" s="1" t="s">
        <v>6</v>
      </c>
      <c r="H79" s="1" t="s">
        <v>57</v>
      </c>
      <c r="I79" s="1" t="s">
        <v>485</v>
      </c>
      <c r="J79" s="1"/>
      <c r="K79" s="2">
        <f>K80</f>
        <v>2558000</v>
      </c>
      <c r="L79" s="2">
        <f t="shared" ref="L79:O80" si="50">L80</f>
        <v>3185000</v>
      </c>
      <c r="M79" s="2"/>
      <c r="N79" s="2">
        <f t="shared" si="37"/>
        <v>3185000</v>
      </c>
      <c r="O79" s="2">
        <f t="shared" si="50"/>
        <v>2546000</v>
      </c>
      <c r="P79" s="15"/>
      <c r="Q79" s="2">
        <f t="shared" si="34"/>
        <v>2546000</v>
      </c>
    </row>
    <row r="80" spans="1:17" ht="15" customHeight="1" x14ac:dyDescent="0.25">
      <c r="A80" s="382"/>
      <c r="B80" s="382" t="s">
        <v>27</v>
      </c>
      <c r="C80" s="382"/>
      <c r="D80" s="219">
        <v>51</v>
      </c>
      <c r="E80" s="219">
        <v>0</v>
      </c>
      <c r="F80" s="219">
        <v>851</v>
      </c>
      <c r="G80" s="1" t="s">
        <v>6</v>
      </c>
      <c r="H80" s="1" t="s">
        <v>57</v>
      </c>
      <c r="I80" s="1" t="s">
        <v>485</v>
      </c>
      <c r="J80" s="1" t="s">
        <v>28</v>
      </c>
      <c r="K80" s="2">
        <f>K81</f>
        <v>2558000</v>
      </c>
      <c r="L80" s="2">
        <f t="shared" si="50"/>
        <v>3185000</v>
      </c>
      <c r="M80" s="2"/>
      <c r="N80" s="2">
        <f t="shared" si="37"/>
        <v>3185000</v>
      </c>
      <c r="O80" s="2">
        <f t="shared" si="50"/>
        <v>2546000</v>
      </c>
      <c r="P80" s="15"/>
      <c r="Q80" s="2">
        <f t="shared" si="34"/>
        <v>2546000</v>
      </c>
    </row>
    <row r="81" spans="1:17" ht="24" x14ac:dyDescent="0.25">
      <c r="A81" s="382"/>
      <c r="B81" s="382" t="s">
        <v>29</v>
      </c>
      <c r="C81" s="382"/>
      <c r="D81" s="219">
        <v>51</v>
      </c>
      <c r="E81" s="219">
        <v>0</v>
      </c>
      <c r="F81" s="219">
        <v>851</v>
      </c>
      <c r="G81" s="1" t="s">
        <v>6</v>
      </c>
      <c r="H81" s="1" t="s">
        <v>57</v>
      </c>
      <c r="I81" s="1" t="s">
        <v>485</v>
      </c>
      <c r="J81" s="1" t="s">
        <v>30</v>
      </c>
      <c r="K81" s="2">
        <f>'6 Вед15'!J101</f>
        <v>2558000</v>
      </c>
      <c r="L81" s="2">
        <v>3185000</v>
      </c>
      <c r="M81" s="2"/>
      <c r="N81" s="2">
        <f t="shared" si="37"/>
        <v>3185000</v>
      </c>
      <c r="O81" s="2">
        <v>2546000</v>
      </c>
      <c r="P81" s="15"/>
      <c r="Q81" s="2">
        <f t="shared" si="34"/>
        <v>2546000</v>
      </c>
    </row>
    <row r="82" spans="1:17" s="13" customFormat="1" ht="28.5" customHeight="1" x14ac:dyDescent="0.25">
      <c r="A82" s="508" t="s">
        <v>501</v>
      </c>
      <c r="B82" s="508"/>
      <c r="C82" s="382"/>
      <c r="D82" s="75">
        <v>51</v>
      </c>
      <c r="E82" s="75">
        <v>1</v>
      </c>
      <c r="F82" s="16"/>
      <c r="G82" s="11"/>
      <c r="H82" s="11"/>
      <c r="I82" s="11"/>
      <c r="J82" s="11"/>
      <c r="K82" s="12">
        <f>K83</f>
        <v>55000</v>
      </c>
      <c r="L82" s="12">
        <f t="shared" ref="L82:O83" si="51">L83</f>
        <v>55000</v>
      </c>
      <c r="M82" s="12"/>
      <c r="N82" s="2">
        <f t="shared" si="37"/>
        <v>55000</v>
      </c>
      <c r="O82" s="12">
        <f t="shared" si="51"/>
        <v>55000</v>
      </c>
      <c r="P82" s="390"/>
      <c r="Q82" s="2">
        <f t="shared" si="34"/>
        <v>55000</v>
      </c>
    </row>
    <row r="83" spans="1:17" s="13" customFormat="1" ht="14.25" customHeight="1" x14ac:dyDescent="0.25">
      <c r="A83" s="508" t="s">
        <v>15</v>
      </c>
      <c r="B83" s="508"/>
      <c r="C83" s="382"/>
      <c r="D83" s="75">
        <v>51</v>
      </c>
      <c r="E83" s="75">
        <v>1</v>
      </c>
      <c r="F83" s="16">
        <v>851</v>
      </c>
      <c r="G83" s="11"/>
      <c r="H83" s="11"/>
      <c r="I83" s="11"/>
      <c r="J83" s="11"/>
      <c r="K83" s="12">
        <f>K84</f>
        <v>55000</v>
      </c>
      <c r="L83" s="12">
        <f t="shared" si="51"/>
        <v>55000</v>
      </c>
      <c r="M83" s="12"/>
      <c r="N83" s="2">
        <f t="shared" si="37"/>
        <v>55000</v>
      </c>
      <c r="O83" s="12">
        <f t="shared" si="51"/>
        <v>55000</v>
      </c>
      <c r="P83" s="390"/>
      <c r="Q83" s="2">
        <f t="shared" si="34"/>
        <v>55000</v>
      </c>
    </row>
    <row r="84" spans="1:17" ht="27" customHeight="1" x14ac:dyDescent="0.25">
      <c r="A84" s="509" t="s">
        <v>64</v>
      </c>
      <c r="B84" s="509"/>
      <c r="C84" s="382"/>
      <c r="D84" s="219">
        <v>51</v>
      </c>
      <c r="E84" s="219">
        <v>1</v>
      </c>
      <c r="F84" s="219">
        <v>851</v>
      </c>
      <c r="G84" s="1" t="s">
        <v>6</v>
      </c>
      <c r="H84" s="1" t="s">
        <v>63</v>
      </c>
      <c r="I84" s="1" t="s">
        <v>216</v>
      </c>
      <c r="J84" s="1"/>
      <c r="K84" s="2">
        <f t="shared" ref="K84:O85" si="52">K85</f>
        <v>55000</v>
      </c>
      <c r="L84" s="2">
        <f t="shared" si="52"/>
        <v>55000</v>
      </c>
      <c r="M84" s="2"/>
      <c r="N84" s="2">
        <f t="shared" si="37"/>
        <v>55000</v>
      </c>
      <c r="O84" s="2">
        <f t="shared" si="52"/>
        <v>55000</v>
      </c>
      <c r="P84" s="15"/>
      <c r="Q84" s="2">
        <f t="shared" si="34"/>
        <v>55000</v>
      </c>
    </row>
    <row r="85" spans="1:17" ht="15" customHeight="1" x14ac:dyDescent="0.25">
      <c r="A85" s="15"/>
      <c r="B85" s="382" t="s">
        <v>27</v>
      </c>
      <c r="C85" s="387"/>
      <c r="D85" s="219">
        <v>51</v>
      </c>
      <c r="E85" s="219">
        <v>1</v>
      </c>
      <c r="F85" s="219">
        <v>851</v>
      </c>
      <c r="G85" s="1" t="s">
        <v>6</v>
      </c>
      <c r="H85" s="1" t="s">
        <v>63</v>
      </c>
      <c r="I85" s="1" t="s">
        <v>216</v>
      </c>
      <c r="J85" s="1" t="s">
        <v>28</v>
      </c>
      <c r="K85" s="2">
        <f t="shared" si="52"/>
        <v>55000</v>
      </c>
      <c r="L85" s="2">
        <f t="shared" si="52"/>
        <v>55000</v>
      </c>
      <c r="M85" s="2"/>
      <c r="N85" s="2">
        <f t="shared" si="37"/>
        <v>55000</v>
      </c>
      <c r="O85" s="2">
        <f t="shared" si="52"/>
        <v>55000</v>
      </c>
      <c r="P85" s="15"/>
      <c r="Q85" s="2">
        <f t="shared" si="34"/>
        <v>55000</v>
      </c>
    </row>
    <row r="86" spans="1:17" ht="25.5" customHeight="1" x14ac:dyDescent="0.25">
      <c r="A86" s="15"/>
      <c r="B86" s="382" t="s">
        <v>29</v>
      </c>
      <c r="C86" s="382"/>
      <c r="D86" s="219">
        <v>51</v>
      </c>
      <c r="E86" s="219">
        <v>1</v>
      </c>
      <c r="F86" s="219">
        <v>851</v>
      </c>
      <c r="G86" s="1" t="s">
        <v>6</v>
      </c>
      <c r="H86" s="1" t="s">
        <v>63</v>
      </c>
      <c r="I86" s="1" t="s">
        <v>216</v>
      </c>
      <c r="J86" s="1" t="s">
        <v>30</v>
      </c>
      <c r="K86" s="2">
        <f>'6 Вед15'!J88</f>
        <v>55000</v>
      </c>
      <c r="L86" s="2">
        <v>55000</v>
      </c>
      <c r="M86" s="2"/>
      <c r="N86" s="2">
        <f t="shared" si="37"/>
        <v>55000</v>
      </c>
      <c r="O86" s="2">
        <v>55000</v>
      </c>
      <c r="P86" s="15"/>
      <c r="Q86" s="2">
        <f t="shared" si="34"/>
        <v>55000</v>
      </c>
    </row>
    <row r="87" spans="1:17" s="13" customFormat="1" x14ac:dyDescent="0.25">
      <c r="A87" s="508" t="s">
        <v>502</v>
      </c>
      <c r="B87" s="508"/>
      <c r="C87" s="385"/>
      <c r="D87" s="16">
        <v>51</v>
      </c>
      <c r="E87" s="16">
        <v>2</v>
      </c>
      <c r="F87" s="16"/>
      <c r="G87" s="11"/>
      <c r="H87" s="20"/>
      <c r="I87" s="20"/>
      <c r="J87" s="11"/>
      <c r="K87" s="12">
        <f>K88</f>
        <v>14856640</v>
      </c>
      <c r="L87" s="12">
        <f t="shared" ref="L87:O87" si="53">L88</f>
        <v>3048140</v>
      </c>
      <c r="M87" s="12"/>
      <c r="N87" s="2">
        <f t="shared" si="37"/>
        <v>3048140</v>
      </c>
      <c r="O87" s="12">
        <f t="shared" si="53"/>
        <v>3048140</v>
      </c>
      <c r="P87" s="390"/>
      <c r="Q87" s="2">
        <f t="shared" si="34"/>
        <v>3048140</v>
      </c>
    </row>
    <row r="88" spans="1:17" s="13" customFormat="1" x14ac:dyDescent="0.25">
      <c r="A88" s="508" t="s">
        <v>15</v>
      </c>
      <c r="B88" s="508"/>
      <c r="C88" s="385"/>
      <c r="D88" s="16">
        <v>51</v>
      </c>
      <c r="E88" s="16">
        <v>2</v>
      </c>
      <c r="F88" s="16">
        <v>851</v>
      </c>
      <c r="G88" s="11"/>
      <c r="H88" s="20"/>
      <c r="I88" s="20"/>
      <c r="J88" s="11"/>
      <c r="K88" s="12">
        <f>K89+K92+K95+K98+K101+K104+K107</f>
        <v>14856640</v>
      </c>
      <c r="L88" s="12">
        <f t="shared" ref="L88:O88" si="54">L89+L92+L95+L98+L101+L104+L107</f>
        <v>3048140</v>
      </c>
      <c r="M88" s="12"/>
      <c r="N88" s="2">
        <f t="shared" si="37"/>
        <v>3048140</v>
      </c>
      <c r="O88" s="12">
        <f t="shared" si="54"/>
        <v>3048140</v>
      </c>
      <c r="P88" s="390"/>
      <c r="Q88" s="2">
        <f t="shared" si="34"/>
        <v>3048140</v>
      </c>
    </row>
    <row r="89" spans="1:17" x14ac:dyDescent="0.25">
      <c r="A89" s="509" t="s">
        <v>90</v>
      </c>
      <c r="B89" s="509"/>
      <c r="C89" s="382"/>
      <c r="D89" s="219">
        <v>51</v>
      </c>
      <c r="E89" s="219">
        <v>2</v>
      </c>
      <c r="F89" s="219">
        <v>851</v>
      </c>
      <c r="G89" s="201" t="s">
        <v>84</v>
      </c>
      <c r="H89" s="201" t="s">
        <v>17</v>
      </c>
      <c r="I89" s="1" t="s">
        <v>221</v>
      </c>
      <c r="J89" s="1"/>
      <c r="K89" s="2">
        <f t="shared" ref="K89:O90" si="55">K90</f>
        <v>2580900</v>
      </c>
      <c r="L89" s="2">
        <f t="shared" si="55"/>
        <v>2580900</v>
      </c>
      <c r="M89" s="2"/>
      <c r="N89" s="2">
        <f t="shared" si="37"/>
        <v>2580900</v>
      </c>
      <c r="O89" s="2">
        <f t="shared" si="55"/>
        <v>2580900</v>
      </c>
      <c r="P89" s="15"/>
      <c r="Q89" s="2">
        <f t="shared" si="34"/>
        <v>2580900</v>
      </c>
    </row>
    <row r="90" spans="1:17" ht="24" x14ac:dyDescent="0.25">
      <c r="A90" s="385"/>
      <c r="B90" s="382" t="s">
        <v>91</v>
      </c>
      <c r="C90" s="385"/>
      <c r="D90" s="219">
        <v>51</v>
      </c>
      <c r="E90" s="219">
        <v>2</v>
      </c>
      <c r="F90" s="219">
        <v>851</v>
      </c>
      <c r="G90" s="1" t="s">
        <v>84</v>
      </c>
      <c r="H90" s="1" t="s">
        <v>17</v>
      </c>
      <c r="I90" s="1" t="s">
        <v>221</v>
      </c>
      <c r="J90" s="1" t="s">
        <v>87</v>
      </c>
      <c r="K90" s="2">
        <f t="shared" si="55"/>
        <v>2580900</v>
      </c>
      <c r="L90" s="2">
        <f t="shared" si="55"/>
        <v>2580900</v>
      </c>
      <c r="M90" s="2"/>
      <c r="N90" s="2">
        <f t="shared" si="37"/>
        <v>2580900</v>
      </c>
      <c r="O90" s="2">
        <f t="shared" si="55"/>
        <v>2580900</v>
      </c>
      <c r="P90" s="15"/>
      <c r="Q90" s="2">
        <f t="shared" si="34"/>
        <v>2580900</v>
      </c>
    </row>
    <row r="91" spans="1:17" ht="36" x14ac:dyDescent="0.25">
      <c r="A91" s="385"/>
      <c r="B91" s="382" t="s">
        <v>88</v>
      </c>
      <c r="C91" s="385"/>
      <c r="D91" s="219">
        <v>51</v>
      </c>
      <c r="E91" s="219">
        <v>2</v>
      </c>
      <c r="F91" s="219">
        <v>851</v>
      </c>
      <c r="G91" s="1" t="s">
        <v>84</v>
      </c>
      <c r="H91" s="1" t="s">
        <v>17</v>
      </c>
      <c r="I91" s="1" t="s">
        <v>221</v>
      </c>
      <c r="J91" s="1" t="s">
        <v>89</v>
      </c>
      <c r="K91" s="2">
        <f>'6 Вед15'!J149</f>
        <v>2580900</v>
      </c>
      <c r="L91" s="2">
        <v>2580900</v>
      </c>
      <c r="M91" s="2"/>
      <c r="N91" s="2">
        <f t="shared" si="37"/>
        <v>2580900</v>
      </c>
      <c r="O91" s="2">
        <v>2580900</v>
      </c>
      <c r="P91" s="15"/>
      <c r="Q91" s="2">
        <f t="shared" si="34"/>
        <v>2580900</v>
      </c>
    </row>
    <row r="92" spans="1:17" ht="12" customHeight="1" x14ac:dyDescent="0.25">
      <c r="A92" s="509" t="s">
        <v>475</v>
      </c>
      <c r="B92" s="509"/>
      <c r="C92" s="382"/>
      <c r="D92" s="219">
        <v>51</v>
      </c>
      <c r="E92" s="219">
        <v>2</v>
      </c>
      <c r="F92" s="219">
        <v>851</v>
      </c>
      <c r="G92" s="1" t="s">
        <v>84</v>
      </c>
      <c r="H92" s="1" t="s">
        <v>17</v>
      </c>
      <c r="I92" s="63">
        <v>1055</v>
      </c>
      <c r="J92" s="1"/>
      <c r="K92" s="2">
        <f t="shared" ref="K92:O93" si="56">K93</f>
        <v>157900</v>
      </c>
      <c r="L92" s="2">
        <f t="shared" si="56"/>
        <v>157700</v>
      </c>
      <c r="M92" s="2"/>
      <c r="N92" s="2">
        <f t="shared" si="37"/>
        <v>157700</v>
      </c>
      <c r="O92" s="2">
        <f t="shared" si="56"/>
        <v>157700</v>
      </c>
      <c r="P92" s="15"/>
      <c r="Q92" s="2">
        <f t="shared" si="34"/>
        <v>157700</v>
      </c>
    </row>
    <row r="93" spans="1:17" ht="24" x14ac:dyDescent="0.25">
      <c r="A93" s="382"/>
      <c r="B93" s="237" t="s">
        <v>91</v>
      </c>
      <c r="C93" s="382"/>
      <c r="D93" s="219">
        <v>51</v>
      </c>
      <c r="E93" s="219">
        <v>2</v>
      </c>
      <c r="F93" s="219">
        <v>851</v>
      </c>
      <c r="G93" s="1" t="s">
        <v>84</v>
      </c>
      <c r="H93" s="1" t="s">
        <v>17</v>
      </c>
      <c r="I93" s="63">
        <v>1055</v>
      </c>
      <c r="J93" s="15">
        <v>600</v>
      </c>
      <c r="K93" s="2">
        <f t="shared" si="56"/>
        <v>157900</v>
      </c>
      <c r="L93" s="2">
        <f t="shared" si="56"/>
        <v>157700</v>
      </c>
      <c r="M93" s="2"/>
      <c r="N93" s="2">
        <f t="shared" si="37"/>
        <v>157700</v>
      </c>
      <c r="O93" s="2">
        <f t="shared" si="56"/>
        <v>157700</v>
      </c>
      <c r="P93" s="15"/>
      <c r="Q93" s="2">
        <f t="shared" si="34"/>
        <v>157700</v>
      </c>
    </row>
    <row r="94" spans="1:17" ht="36" x14ac:dyDescent="0.25">
      <c r="A94" s="382"/>
      <c r="B94" s="382" t="s">
        <v>88</v>
      </c>
      <c r="C94" s="382"/>
      <c r="D94" s="219">
        <v>51</v>
      </c>
      <c r="E94" s="219">
        <v>2</v>
      </c>
      <c r="F94" s="219">
        <v>851</v>
      </c>
      <c r="G94" s="1" t="s">
        <v>84</v>
      </c>
      <c r="H94" s="1" t="s">
        <v>17</v>
      </c>
      <c r="I94" s="63">
        <v>1055</v>
      </c>
      <c r="J94" s="15">
        <v>611</v>
      </c>
      <c r="K94" s="2">
        <f>'6 Вед15'!J152</f>
        <v>157900</v>
      </c>
      <c r="L94" s="2">
        <v>157700</v>
      </c>
      <c r="M94" s="2"/>
      <c r="N94" s="2">
        <f t="shared" si="37"/>
        <v>157700</v>
      </c>
      <c r="O94" s="2">
        <v>157700</v>
      </c>
      <c r="P94" s="15"/>
      <c r="Q94" s="2">
        <f t="shared" si="34"/>
        <v>157700</v>
      </c>
    </row>
    <row r="95" spans="1:17" ht="38.25" hidden="1" customHeight="1" x14ac:dyDescent="0.25">
      <c r="A95" s="509" t="s">
        <v>476</v>
      </c>
      <c r="B95" s="509"/>
      <c r="C95" s="382"/>
      <c r="D95" s="219">
        <v>51</v>
      </c>
      <c r="E95" s="219">
        <v>2</v>
      </c>
      <c r="F95" s="219">
        <v>851</v>
      </c>
      <c r="G95" s="1" t="s">
        <v>84</v>
      </c>
      <c r="H95" s="1" t="s">
        <v>17</v>
      </c>
      <c r="I95" s="63">
        <v>1057</v>
      </c>
      <c r="J95" s="15"/>
      <c r="K95" s="2">
        <f>K96</f>
        <v>8947680</v>
      </c>
      <c r="L95" s="2">
        <f t="shared" ref="L95:O96" si="57">L96</f>
        <v>0</v>
      </c>
      <c r="M95" s="2"/>
      <c r="N95" s="2">
        <f t="shared" si="37"/>
        <v>0</v>
      </c>
      <c r="O95" s="2">
        <f t="shared" si="57"/>
        <v>0</v>
      </c>
      <c r="P95" s="15"/>
      <c r="Q95" s="2">
        <f t="shared" si="34"/>
        <v>0</v>
      </c>
    </row>
    <row r="96" spans="1:17" ht="24" hidden="1" x14ac:dyDescent="0.25">
      <c r="A96" s="382"/>
      <c r="B96" s="237" t="s">
        <v>91</v>
      </c>
      <c r="C96" s="382"/>
      <c r="D96" s="219">
        <v>51</v>
      </c>
      <c r="E96" s="219">
        <v>2</v>
      </c>
      <c r="F96" s="219">
        <v>851</v>
      </c>
      <c r="G96" s="1" t="s">
        <v>84</v>
      </c>
      <c r="H96" s="1" t="s">
        <v>17</v>
      </c>
      <c r="I96" s="63">
        <v>1057</v>
      </c>
      <c r="J96" s="15">
        <v>600</v>
      </c>
      <c r="K96" s="2">
        <f>K97</f>
        <v>8947680</v>
      </c>
      <c r="L96" s="2">
        <f t="shared" si="57"/>
        <v>0</v>
      </c>
      <c r="M96" s="2"/>
      <c r="N96" s="2">
        <f t="shared" si="37"/>
        <v>0</v>
      </c>
      <c r="O96" s="2">
        <f t="shared" si="57"/>
        <v>0</v>
      </c>
      <c r="P96" s="15"/>
      <c r="Q96" s="2">
        <f t="shared" si="34"/>
        <v>0</v>
      </c>
    </row>
    <row r="97" spans="1:17" ht="36" hidden="1" x14ac:dyDescent="0.25">
      <c r="A97" s="382"/>
      <c r="B97" s="382" t="s">
        <v>88</v>
      </c>
      <c r="C97" s="382"/>
      <c r="D97" s="219">
        <v>51</v>
      </c>
      <c r="E97" s="219">
        <v>2</v>
      </c>
      <c r="F97" s="219">
        <v>851</v>
      </c>
      <c r="G97" s="1" t="s">
        <v>84</v>
      </c>
      <c r="H97" s="1" t="s">
        <v>17</v>
      </c>
      <c r="I97" s="63">
        <v>1057</v>
      </c>
      <c r="J97" s="15">
        <v>611</v>
      </c>
      <c r="K97" s="2">
        <f>'6 Вед15'!J155</f>
        <v>8947680</v>
      </c>
      <c r="L97" s="2">
        <f>'6 Вед15'!K155</f>
        <v>0</v>
      </c>
      <c r="M97" s="2"/>
      <c r="N97" s="2">
        <f t="shared" si="37"/>
        <v>0</v>
      </c>
      <c r="O97" s="2">
        <v>0</v>
      </c>
      <c r="P97" s="15"/>
      <c r="Q97" s="2">
        <f t="shared" si="34"/>
        <v>0</v>
      </c>
    </row>
    <row r="98" spans="1:17" ht="38.25" hidden="1" customHeight="1" x14ac:dyDescent="0.25">
      <c r="A98" s="509" t="s">
        <v>477</v>
      </c>
      <c r="B98" s="509"/>
      <c r="C98" s="382"/>
      <c r="D98" s="219">
        <v>51</v>
      </c>
      <c r="E98" s="219">
        <v>2</v>
      </c>
      <c r="F98" s="219">
        <v>851</v>
      </c>
      <c r="G98" s="1" t="s">
        <v>84</v>
      </c>
      <c r="H98" s="1" t="s">
        <v>17</v>
      </c>
      <c r="I98" s="63">
        <v>1058</v>
      </c>
      <c r="J98" s="15"/>
      <c r="K98" s="2">
        <f>K99</f>
        <v>2860620</v>
      </c>
      <c r="L98" s="2">
        <f t="shared" ref="L98:O99" si="58">L99</f>
        <v>0</v>
      </c>
      <c r="M98" s="2"/>
      <c r="N98" s="2">
        <f t="shared" si="37"/>
        <v>0</v>
      </c>
      <c r="O98" s="2">
        <f t="shared" si="58"/>
        <v>0</v>
      </c>
      <c r="P98" s="15"/>
      <c r="Q98" s="2">
        <f t="shared" si="34"/>
        <v>0</v>
      </c>
    </row>
    <row r="99" spans="1:17" ht="24" hidden="1" x14ac:dyDescent="0.25">
      <c r="A99" s="382"/>
      <c r="B99" s="237" t="s">
        <v>91</v>
      </c>
      <c r="C99" s="382"/>
      <c r="D99" s="219">
        <v>51</v>
      </c>
      <c r="E99" s="219">
        <v>2</v>
      </c>
      <c r="F99" s="219">
        <v>851</v>
      </c>
      <c r="G99" s="1" t="s">
        <v>84</v>
      </c>
      <c r="H99" s="1" t="s">
        <v>17</v>
      </c>
      <c r="I99" s="63">
        <v>1058</v>
      </c>
      <c r="J99" s="15">
        <v>600</v>
      </c>
      <c r="K99" s="2">
        <f>K100</f>
        <v>2860620</v>
      </c>
      <c r="L99" s="2">
        <f t="shared" si="58"/>
        <v>0</v>
      </c>
      <c r="M99" s="2"/>
      <c r="N99" s="2">
        <f t="shared" si="37"/>
        <v>0</v>
      </c>
      <c r="O99" s="2">
        <f t="shared" si="58"/>
        <v>0</v>
      </c>
      <c r="P99" s="15"/>
      <c r="Q99" s="2">
        <f t="shared" si="34"/>
        <v>0</v>
      </c>
    </row>
    <row r="100" spans="1:17" ht="36" hidden="1" x14ac:dyDescent="0.25">
      <c r="A100" s="382"/>
      <c r="B100" s="382" t="s">
        <v>88</v>
      </c>
      <c r="C100" s="382"/>
      <c r="D100" s="219">
        <v>51</v>
      </c>
      <c r="E100" s="219">
        <v>2</v>
      </c>
      <c r="F100" s="219">
        <v>851</v>
      </c>
      <c r="G100" s="1" t="s">
        <v>84</v>
      </c>
      <c r="H100" s="1" t="s">
        <v>17</v>
      </c>
      <c r="I100" s="63">
        <v>1058</v>
      </c>
      <c r="J100" s="15">
        <v>611</v>
      </c>
      <c r="K100" s="2">
        <f>'6 Вед15'!J158</f>
        <v>2860620</v>
      </c>
      <c r="L100" s="2">
        <f>'6 Вед15'!K158</f>
        <v>0</v>
      </c>
      <c r="M100" s="2"/>
      <c r="N100" s="2">
        <f t="shared" si="37"/>
        <v>0</v>
      </c>
      <c r="O100" s="2">
        <v>0</v>
      </c>
      <c r="P100" s="15"/>
      <c r="Q100" s="2">
        <f t="shared" si="34"/>
        <v>0</v>
      </c>
    </row>
    <row r="101" spans="1:17" ht="36.75" customHeight="1" x14ac:dyDescent="0.25">
      <c r="A101" s="509" t="s">
        <v>86</v>
      </c>
      <c r="B101" s="509"/>
      <c r="C101" s="382"/>
      <c r="D101" s="219">
        <v>51</v>
      </c>
      <c r="E101" s="219">
        <v>2</v>
      </c>
      <c r="F101" s="219">
        <v>851</v>
      </c>
      <c r="G101" s="1" t="s">
        <v>84</v>
      </c>
      <c r="H101" s="1" t="s">
        <v>17</v>
      </c>
      <c r="I101" s="63">
        <v>1421</v>
      </c>
      <c r="J101" s="1"/>
      <c r="K101" s="2">
        <f t="shared" ref="K101:O102" si="59">K102</f>
        <v>9540</v>
      </c>
      <c r="L101" s="2">
        <f t="shared" si="59"/>
        <v>9540</v>
      </c>
      <c r="M101" s="2"/>
      <c r="N101" s="2">
        <f t="shared" si="37"/>
        <v>9540</v>
      </c>
      <c r="O101" s="2">
        <f t="shared" si="59"/>
        <v>9540</v>
      </c>
      <c r="P101" s="15"/>
      <c r="Q101" s="2">
        <f t="shared" si="34"/>
        <v>9540</v>
      </c>
    </row>
    <row r="102" spans="1:17" ht="24" customHeight="1" x14ac:dyDescent="0.25">
      <c r="A102" s="382"/>
      <c r="B102" s="237" t="s">
        <v>91</v>
      </c>
      <c r="C102" s="382"/>
      <c r="D102" s="219">
        <v>51</v>
      </c>
      <c r="E102" s="219">
        <v>2</v>
      </c>
      <c r="F102" s="219">
        <v>851</v>
      </c>
      <c r="G102" s="1" t="s">
        <v>84</v>
      </c>
      <c r="H102" s="1" t="s">
        <v>17</v>
      </c>
      <c r="I102" s="63">
        <v>1421</v>
      </c>
      <c r="J102" s="1" t="s">
        <v>87</v>
      </c>
      <c r="K102" s="2">
        <f t="shared" si="59"/>
        <v>9540</v>
      </c>
      <c r="L102" s="2">
        <f t="shared" si="59"/>
        <v>9540</v>
      </c>
      <c r="M102" s="2"/>
      <c r="N102" s="2">
        <f t="shared" si="37"/>
        <v>9540</v>
      </c>
      <c r="O102" s="2">
        <f t="shared" si="59"/>
        <v>9540</v>
      </c>
      <c r="P102" s="15"/>
      <c r="Q102" s="2">
        <f t="shared" si="34"/>
        <v>9540</v>
      </c>
    </row>
    <row r="103" spans="1:17" ht="36" x14ac:dyDescent="0.25">
      <c r="A103" s="382"/>
      <c r="B103" s="382" t="s">
        <v>88</v>
      </c>
      <c r="C103" s="382"/>
      <c r="D103" s="219">
        <v>51</v>
      </c>
      <c r="E103" s="219">
        <v>2</v>
      </c>
      <c r="F103" s="219">
        <v>851</v>
      </c>
      <c r="G103" s="1" t="s">
        <v>84</v>
      </c>
      <c r="H103" s="1" t="s">
        <v>17</v>
      </c>
      <c r="I103" s="63">
        <v>1421</v>
      </c>
      <c r="J103" s="1" t="s">
        <v>89</v>
      </c>
      <c r="K103" s="2">
        <f>'6 Вед15'!J162</f>
        <v>9540</v>
      </c>
      <c r="L103" s="2">
        <v>9540</v>
      </c>
      <c r="M103" s="2"/>
      <c r="N103" s="2">
        <f t="shared" si="37"/>
        <v>9540</v>
      </c>
      <c r="O103" s="2">
        <v>9540</v>
      </c>
      <c r="P103" s="15"/>
      <c r="Q103" s="2">
        <f t="shared" si="34"/>
        <v>9540</v>
      </c>
    </row>
    <row r="104" spans="1:17" ht="27" customHeight="1" x14ac:dyDescent="0.25">
      <c r="A104" s="509" t="s">
        <v>92</v>
      </c>
      <c r="B104" s="509"/>
      <c r="C104" s="382"/>
      <c r="D104" s="219">
        <v>51</v>
      </c>
      <c r="E104" s="219">
        <v>2</v>
      </c>
      <c r="F104" s="219">
        <v>851</v>
      </c>
      <c r="G104" s="1" t="s">
        <v>84</v>
      </c>
      <c r="H104" s="1" t="s">
        <v>17</v>
      </c>
      <c r="I104" s="1" t="s">
        <v>222</v>
      </c>
      <c r="J104" s="1"/>
      <c r="K104" s="2">
        <f t="shared" ref="K104:O105" si="60">K105</f>
        <v>100000</v>
      </c>
      <c r="L104" s="2">
        <f t="shared" si="60"/>
        <v>100000</v>
      </c>
      <c r="M104" s="2"/>
      <c r="N104" s="2">
        <f t="shared" si="37"/>
        <v>100000</v>
      </c>
      <c r="O104" s="2">
        <f t="shared" si="60"/>
        <v>100000</v>
      </c>
      <c r="P104" s="15"/>
      <c r="Q104" s="2">
        <f t="shared" si="34"/>
        <v>100000</v>
      </c>
    </row>
    <row r="105" spans="1:17" ht="18" customHeight="1" x14ac:dyDescent="0.25">
      <c r="A105" s="15"/>
      <c r="B105" s="382" t="s">
        <v>27</v>
      </c>
      <c r="C105" s="387"/>
      <c r="D105" s="219">
        <v>51</v>
      </c>
      <c r="E105" s="219">
        <v>2</v>
      </c>
      <c r="F105" s="219">
        <v>851</v>
      </c>
      <c r="G105" s="1" t="s">
        <v>84</v>
      </c>
      <c r="H105" s="1" t="s">
        <v>17</v>
      </c>
      <c r="I105" s="1" t="s">
        <v>222</v>
      </c>
      <c r="J105" s="1" t="s">
        <v>28</v>
      </c>
      <c r="K105" s="2">
        <f t="shared" si="60"/>
        <v>100000</v>
      </c>
      <c r="L105" s="2">
        <f t="shared" si="60"/>
        <v>100000</v>
      </c>
      <c r="M105" s="2"/>
      <c r="N105" s="2">
        <f t="shared" si="37"/>
        <v>100000</v>
      </c>
      <c r="O105" s="2">
        <f t="shared" si="60"/>
        <v>100000</v>
      </c>
      <c r="P105" s="15"/>
      <c r="Q105" s="2">
        <f t="shared" si="34"/>
        <v>100000</v>
      </c>
    </row>
    <row r="106" spans="1:17" ht="25.5" customHeight="1" x14ac:dyDescent="0.25">
      <c r="A106" s="15"/>
      <c r="B106" s="382" t="s">
        <v>29</v>
      </c>
      <c r="C106" s="382"/>
      <c r="D106" s="219">
        <v>51</v>
      </c>
      <c r="E106" s="219">
        <v>2</v>
      </c>
      <c r="F106" s="219">
        <v>851</v>
      </c>
      <c r="G106" s="1" t="s">
        <v>84</v>
      </c>
      <c r="H106" s="1" t="s">
        <v>17</v>
      </c>
      <c r="I106" s="1" t="s">
        <v>222</v>
      </c>
      <c r="J106" s="1" t="s">
        <v>30</v>
      </c>
      <c r="K106" s="2">
        <f>'6 Вед15'!J165</f>
        <v>100000</v>
      </c>
      <c r="L106" s="2">
        <v>100000</v>
      </c>
      <c r="M106" s="2"/>
      <c r="N106" s="2">
        <f t="shared" si="37"/>
        <v>100000</v>
      </c>
      <c r="O106" s="2">
        <v>100000</v>
      </c>
      <c r="P106" s="15"/>
      <c r="Q106" s="2">
        <f t="shared" si="34"/>
        <v>100000</v>
      </c>
    </row>
    <row r="107" spans="1:17" ht="15" customHeight="1" x14ac:dyDescent="0.25">
      <c r="A107" s="509" t="s">
        <v>93</v>
      </c>
      <c r="B107" s="509"/>
      <c r="C107" s="382"/>
      <c r="D107" s="219">
        <v>51</v>
      </c>
      <c r="E107" s="219">
        <v>2</v>
      </c>
      <c r="F107" s="219">
        <v>851</v>
      </c>
      <c r="G107" s="1" t="s">
        <v>84</v>
      </c>
      <c r="H107" s="1" t="s">
        <v>17</v>
      </c>
      <c r="I107" s="1" t="s">
        <v>223</v>
      </c>
      <c r="J107" s="1"/>
      <c r="K107" s="2">
        <f>K108</f>
        <v>200000</v>
      </c>
      <c r="L107" s="2">
        <f t="shared" ref="L107:O107" si="61">L108</f>
        <v>200000</v>
      </c>
      <c r="M107" s="2"/>
      <c r="N107" s="2">
        <f t="shared" si="37"/>
        <v>200000</v>
      </c>
      <c r="O107" s="2">
        <f t="shared" si="61"/>
        <v>200000</v>
      </c>
      <c r="P107" s="15"/>
      <c r="Q107" s="2">
        <f t="shared" si="34"/>
        <v>200000</v>
      </c>
    </row>
    <row r="108" spans="1:17" ht="17.25" customHeight="1" x14ac:dyDescent="0.25">
      <c r="A108" s="15"/>
      <c r="B108" s="382" t="s">
        <v>27</v>
      </c>
      <c r="C108" s="387"/>
      <c r="D108" s="219">
        <v>51</v>
      </c>
      <c r="E108" s="219">
        <v>2</v>
      </c>
      <c r="F108" s="219">
        <v>851</v>
      </c>
      <c r="G108" s="1" t="s">
        <v>84</v>
      </c>
      <c r="H108" s="1" t="s">
        <v>17</v>
      </c>
      <c r="I108" s="1" t="s">
        <v>223</v>
      </c>
      <c r="J108" s="1" t="s">
        <v>28</v>
      </c>
      <c r="K108" s="2">
        <f t="shared" ref="K108:O108" si="62">K109</f>
        <v>200000</v>
      </c>
      <c r="L108" s="2">
        <f t="shared" si="62"/>
        <v>200000</v>
      </c>
      <c r="M108" s="2"/>
      <c r="N108" s="2">
        <f t="shared" si="37"/>
        <v>200000</v>
      </c>
      <c r="O108" s="2">
        <f t="shared" si="62"/>
        <v>200000</v>
      </c>
      <c r="P108" s="15"/>
      <c r="Q108" s="2">
        <f t="shared" si="34"/>
        <v>200000</v>
      </c>
    </row>
    <row r="109" spans="1:17" ht="27" customHeight="1" x14ac:dyDescent="0.25">
      <c r="A109" s="15"/>
      <c r="B109" s="382" t="s">
        <v>29</v>
      </c>
      <c r="C109" s="382"/>
      <c r="D109" s="219">
        <v>51</v>
      </c>
      <c r="E109" s="219">
        <v>2</v>
      </c>
      <c r="F109" s="219">
        <v>851</v>
      </c>
      <c r="G109" s="1" t="s">
        <v>84</v>
      </c>
      <c r="H109" s="1" t="s">
        <v>17</v>
      </c>
      <c r="I109" s="1" t="s">
        <v>223</v>
      </c>
      <c r="J109" s="1" t="s">
        <v>30</v>
      </c>
      <c r="K109" s="2">
        <f>'6 Вед15'!J168</f>
        <v>200000</v>
      </c>
      <c r="L109" s="2">
        <v>200000</v>
      </c>
      <c r="M109" s="2"/>
      <c r="N109" s="2">
        <f t="shared" si="37"/>
        <v>200000</v>
      </c>
      <c r="O109" s="2">
        <v>200000</v>
      </c>
      <c r="P109" s="15"/>
      <c r="Q109" s="2">
        <f t="shared" si="34"/>
        <v>200000</v>
      </c>
    </row>
    <row r="110" spans="1:17" s="13" customFormat="1" ht="24" customHeight="1" x14ac:dyDescent="0.25">
      <c r="A110" s="508" t="s">
        <v>504</v>
      </c>
      <c r="B110" s="508"/>
      <c r="C110" s="385"/>
      <c r="D110" s="16">
        <v>51</v>
      </c>
      <c r="E110" s="16">
        <v>3</v>
      </c>
      <c r="F110" s="16"/>
      <c r="G110" s="11"/>
      <c r="H110" s="20"/>
      <c r="I110" s="20"/>
      <c r="J110" s="11"/>
      <c r="K110" s="12">
        <f>K111</f>
        <v>15000</v>
      </c>
      <c r="L110" s="12">
        <f t="shared" ref="L110:O111" si="63">L111</f>
        <v>15000</v>
      </c>
      <c r="M110" s="12"/>
      <c r="N110" s="2">
        <f t="shared" si="37"/>
        <v>15000</v>
      </c>
      <c r="O110" s="12">
        <f t="shared" si="63"/>
        <v>15000</v>
      </c>
      <c r="P110" s="390"/>
      <c r="Q110" s="2">
        <f t="shared" si="34"/>
        <v>15000</v>
      </c>
    </row>
    <row r="111" spans="1:17" s="13" customFormat="1" x14ac:dyDescent="0.25">
      <c r="A111" s="508" t="s">
        <v>15</v>
      </c>
      <c r="B111" s="508"/>
      <c r="C111" s="385"/>
      <c r="D111" s="16">
        <v>51</v>
      </c>
      <c r="E111" s="16">
        <v>3</v>
      </c>
      <c r="F111" s="16">
        <v>851</v>
      </c>
      <c r="G111" s="11"/>
      <c r="H111" s="20"/>
      <c r="I111" s="20"/>
      <c r="J111" s="11"/>
      <c r="K111" s="12">
        <f>K112</f>
        <v>15000</v>
      </c>
      <c r="L111" s="12">
        <f t="shared" si="63"/>
        <v>15000</v>
      </c>
      <c r="M111" s="12"/>
      <c r="N111" s="2">
        <f t="shared" si="37"/>
        <v>15000</v>
      </c>
      <c r="O111" s="12">
        <f t="shared" si="63"/>
        <v>15000</v>
      </c>
      <c r="P111" s="390"/>
      <c r="Q111" s="2">
        <f t="shared" si="34"/>
        <v>15000</v>
      </c>
    </row>
    <row r="112" spans="1:17" ht="15" customHeight="1" x14ac:dyDescent="0.25">
      <c r="A112" s="509" t="s">
        <v>95</v>
      </c>
      <c r="B112" s="509"/>
      <c r="C112" s="382"/>
      <c r="D112" s="219">
        <v>51</v>
      </c>
      <c r="E112" s="219">
        <v>3</v>
      </c>
      <c r="F112" s="219">
        <v>851</v>
      </c>
      <c r="G112" s="1" t="s">
        <v>84</v>
      </c>
      <c r="H112" s="1" t="s">
        <v>6</v>
      </c>
      <c r="I112" s="1" t="s">
        <v>224</v>
      </c>
      <c r="J112" s="1"/>
      <c r="K112" s="2">
        <f t="shared" ref="K112:O113" si="64">K113</f>
        <v>15000</v>
      </c>
      <c r="L112" s="2">
        <f t="shared" si="64"/>
        <v>15000</v>
      </c>
      <c r="M112" s="2"/>
      <c r="N112" s="2">
        <f t="shared" si="37"/>
        <v>15000</v>
      </c>
      <c r="O112" s="2">
        <f t="shared" si="64"/>
        <v>15000</v>
      </c>
      <c r="P112" s="15"/>
      <c r="Q112" s="2">
        <f t="shared" si="34"/>
        <v>15000</v>
      </c>
    </row>
    <row r="113" spans="1:17" ht="15" customHeight="1" x14ac:dyDescent="0.25">
      <c r="A113" s="15"/>
      <c r="B113" s="382" t="s">
        <v>27</v>
      </c>
      <c r="C113" s="387"/>
      <c r="D113" s="219">
        <v>51</v>
      </c>
      <c r="E113" s="219">
        <v>3</v>
      </c>
      <c r="F113" s="219">
        <v>851</v>
      </c>
      <c r="G113" s="1" t="s">
        <v>84</v>
      </c>
      <c r="H113" s="1" t="s">
        <v>6</v>
      </c>
      <c r="I113" s="1" t="s">
        <v>224</v>
      </c>
      <c r="J113" s="1" t="s">
        <v>28</v>
      </c>
      <c r="K113" s="2">
        <f t="shared" si="64"/>
        <v>15000</v>
      </c>
      <c r="L113" s="2">
        <f t="shared" si="64"/>
        <v>15000</v>
      </c>
      <c r="M113" s="2"/>
      <c r="N113" s="2">
        <f t="shared" si="37"/>
        <v>15000</v>
      </c>
      <c r="O113" s="2">
        <f t="shared" si="64"/>
        <v>15000</v>
      </c>
      <c r="P113" s="15"/>
      <c r="Q113" s="2">
        <f t="shared" si="34"/>
        <v>15000</v>
      </c>
    </row>
    <row r="114" spans="1:17" ht="26.25" customHeight="1" x14ac:dyDescent="0.25">
      <c r="A114" s="15"/>
      <c r="B114" s="382" t="s">
        <v>29</v>
      </c>
      <c r="C114" s="382"/>
      <c r="D114" s="219">
        <v>51</v>
      </c>
      <c r="E114" s="219">
        <v>3</v>
      </c>
      <c r="F114" s="219">
        <v>851</v>
      </c>
      <c r="G114" s="1" t="s">
        <v>84</v>
      </c>
      <c r="H114" s="1" t="s">
        <v>6</v>
      </c>
      <c r="I114" s="1" t="s">
        <v>224</v>
      </c>
      <c r="J114" s="1" t="s">
        <v>30</v>
      </c>
      <c r="K114" s="2">
        <f>'6 Вед15'!J175</f>
        <v>15000</v>
      </c>
      <c r="L114" s="2">
        <v>15000</v>
      </c>
      <c r="M114" s="2"/>
      <c r="N114" s="2">
        <f t="shared" si="37"/>
        <v>15000</v>
      </c>
      <c r="O114" s="2">
        <v>15000</v>
      </c>
      <c r="P114" s="15"/>
      <c r="Q114" s="2">
        <f t="shared" si="34"/>
        <v>15000</v>
      </c>
    </row>
    <row r="115" spans="1:17" s="13" customFormat="1" ht="22.5" customHeight="1" x14ac:dyDescent="0.25">
      <c r="A115" s="508" t="s">
        <v>505</v>
      </c>
      <c r="B115" s="508"/>
      <c r="C115" s="385"/>
      <c r="D115" s="16">
        <v>51</v>
      </c>
      <c r="E115" s="16">
        <v>4</v>
      </c>
      <c r="F115" s="16"/>
      <c r="G115" s="11"/>
      <c r="H115" s="20"/>
      <c r="I115" s="20"/>
      <c r="J115" s="11"/>
      <c r="K115" s="12">
        <f>K116</f>
        <v>544000</v>
      </c>
      <c r="L115" s="12">
        <f t="shared" ref="L115:O115" si="65">L116</f>
        <v>260000</v>
      </c>
      <c r="M115" s="12"/>
      <c r="N115" s="2">
        <f t="shared" si="37"/>
        <v>260000</v>
      </c>
      <c r="O115" s="12">
        <f t="shared" si="65"/>
        <v>260000</v>
      </c>
      <c r="P115" s="390"/>
      <c r="Q115" s="2">
        <f t="shared" si="34"/>
        <v>260000</v>
      </c>
    </row>
    <row r="116" spans="1:17" s="13" customFormat="1" x14ac:dyDescent="0.25">
      <c r="A116" s="508" t="s">
        <v>15</v>
      </c>
      <c r="B116" s="508"/>
      <c r="C116" s="385"/>
      <c r="D116" s="16">
        <v>51</v>
      </c>
      <c r="E116" s="16">
        <v>4</v>
      </c>
      <c r="F116" s="16">
        <v>851</v>
      </c>
      <c r="G116" s="11"/>
      <c r="H116" s="20"/>
      <c r="I116" s="20"/>
      <c r="J116" s="11"/>
      <c r="K116" s="12">
        <f>K117+K120</f>
        <v>544000</v>
      </c>
      <c r="L116" s="12">
        <f t="shared" ref="L116:O116" si="66">L117+L120</f>
        <v>260000</v>
      </c>
      <c r="M116" s="12"/>
      <c r="N116" s="2">
        <f t="shared" si="37"/>
        <v>260000</v>
      </c>
      <c r="O116" s="12">
        <f t="shared" si="66"/>
        <v>260000</v>
      </c>
      <c r="P116" s="390"/>
      <c r="Q116" s="2">
        <f t="shared" ref="Q116:Q179" si="67">O116+P116</f>
        <v>260000</v>
      </c>
    </row>
    <row r="117" spans="1:17" s="24" customFormat="1" x14ac:dyDescent="0.25">
      <c r="A117" s="509" t="s">
        <v>110</v>
      </c>
      <c r="B117" s="509"/>
      <c r="C117" s="382"/>
      <c r="D117" s="219">
        <v>51</v>
      </c>
      <c r="E117" s="219">
        <v>4</v>
      </c>
      <c r="F117" s="219">
        <v>851</v>
      </c>
      <c r="G117" s="1" t="s">
        <v>38</v>
      </c>
      <c r="H117" s="1" t="s">
        <v>72</v>
      </c>
      <c r="I117" s="1" t="s">
        <v>228</v>
      </c>
      <c r="J117" s="1"/>
      <c r="K117" s="2">
        <f t="shared" ref="K117:O118" si="68">K118</f>
        <v>260000</v>
      </c>
      <c r="L117" s="2">
        <f t="shared" si="68"/>
        <v>260000</v>
      </c>
      <c r="M117" s="2"/>
      <c r="N117" s="2">
        <f t="shared" si="37"/>
        <v>260000</v>
      </c>
      <c r="O117" s="2">
        <f t="shared" si="68"/>
        <v>260000</v>
      </c>
      <c r="P117" s="341"/>
      <c r="Q117" s="2">
        <f t="shared" si="67"/>
        <v>260000</v>
      </c>
    </row>
    <row r="118" spans="1:17" ht="15.75" customHeight="1" x14ac:dyDescent="0.25">
      <c r="A118" s="15"/>
      <c r="B118" s="382" t="s">
        <v>27</v>
      </c>
      <c r="C118" s="387"/>
      <c r="D118" s="219">
        <v>51</v>
      </c>
      <c r="E118" s="219">
        <v>4</v>
      </c>
      <c r="F118" s="219">
        <v>851</v>
      </c>
      <c r="G118" s="1" t="s">
        <v>38</v>
      </c>
      <c r="H118" s="1" t="s">
        <v>72</v>
      </c>
      <c r="I118" s="1" t="s">
        <v>228</v>
      </c>
      <c r="J118" s="1" t="s">
        <v>28</v>
      </c>
      <c r="K118" s="2">
        <f t="shared" si="68"/>
        <v>260000</v>
      </c>
      <c r="L118" s="2">
        <f t="shared" si="68"/>
        <v>260000</v>
      </c>
      <c r="M118" s="2"/>
      <c r="N118" s="2">
        <f t="shared" si="37"/>
        <v>260000</v>
      </c>
      <c r="O118" s="2">
        <f t="shared" si="68"/>
        <v>260000</v>
      </c>
      <c r="P118" s="15"/>
      <c r="Q118" s="2">
        <f t="shared" si="67"/>
        <v>260000</v>
      </c>
    </row>
    <row r="119" spans="1:17" ht="25.5" customHeight="1" x14ac:dyDescent="0.25">
      <c r="A119" s="15"/>
      <c r="B119" s="382" t="s">
        <v>29</v>
      </c>
      <c r="C119" s="382"/>
      <c r="D119" s="219">
        <v>51</v>
      </c>
      <c r="E119" s="219">
        <v>4</v>
      </c>
      <c r="F119" s="219">
        <v>851</v>
      </c>
      <c r="G119" s="1" t="s">
        <v>38</v>
      </c>
      <c r="H119" s="1" t="s">
        <v>72</v>
      </c>
      <c r="I119" s="1" t="s">
        <v>228</v>
      </c>
      <c r="J119" s="1" t="s">
        <v>30</v>
      </c>
      <c r="K119" s="2">
        <f>'6 Вед15'!J205</f>
        <v>260000</v>
      </c>
      <c r="L119" s="2">
        <v>260000</v>
      </c>
      <c r="M119" s="2"/>
      <c r="N119" s="2">
        <f t="shared" si="37"/>
        <v>260000</v>
      </c>
      <c r="O119" s="2">
        <v>260000</v>
      </c>
      <c r="P119" s="15"/>
      <c r="Q119" s="2">
        <f t="shared" si="67"/>
        <v>260000</v>
      </c>
    </row>
    <row r="120" spans="1:17" ht="36.75" hidden="1" customHeight="1" x14ac:dyDescent="0.25">
      <c r="A120" s="509" t="s">
        <v>478</v>
      </c>
      <c r="B120" s="509"/>
      <c r="C120" s="390"/>
      <c r="D120" s="63">
        <v>51</v>
      </c>
      <c r="E120" s="219">
        <v>4</v>
      </c>
      <c r="F120" s="219">
        <v>851</v>
      </c>
      <c r="G120" s="1" t="s">
        <v>38</v>
      </c>
      <c r="H120" s="1" t="s">
        <v>72</v>
      </c>
      <c r="I120" s="1" t="s">
        <v>486</v>
      </c>
      <c r="J120" s="1"/>
      <c r="K120" s="2">
        <f t="shared" ref="K120:O121" si="69">K121</f>
        <v>284000</v>
      </c>
      <c r="L120" s="2">
        <f t="shared" si="69"/>
        <v>0</v>
      </c>
      <c r="M120" s="2"/>
      <c r="N120" s="2">
        <f t="shared" si="37"/>
        <v>0</v>
      </c>
      <c r="O120" s="2">
        <f t="shared" si="69"/>
        <v>0</v>
      </c>
      <c r="P120" s="15"/>
      <c r="Q120" s="2">
        <f t="shared" si="67"/>
        <v>0</v>
      </c>
    </row>
    <row r="121" spans="1:17" ht="16.5" hidden="1" customHeight="1" x14ac:dyDescent="0.25">
      <c r="A121" s="15"/>
      <c r="B121" s="382" t="s">
        <v>27</v>
      </c>
      <c r="C121" s="390"/>
      <c r="D121" s="63">
        <v>51</v>
      </c>
      <c r="E121" s="219">
        <v>4</v>
      </c>
      <c r="F121" s="219">
        <v>851</v>
      </c>
      <c r="G121" s="1" t="s">
        <v>38</v>
      </c>
      <c r="H121" s="1" t="s">
        <v>72</v>
      </c>
      <c r="I121" s="1" t="s">
        <v>486</v>
      </c>
      <c r="J121" s="1" t="s">
        <v>28</v>
      </c>
      <c r="K121" s="2">
        <f t="shared" si="69"/>
        <v>284000</v>
      </c>
      <c r="L121" s="2">
        <f t="shared" si="69"/>
        <v>0</v>
      </c>
      <c r="M121" s="2"/>
      <c r="N121" s="2">
        <f t="shared" ref="N121:N184" si="70">L121+M121</f>
        <v>0</v>
      </c>
      <c r="O121" s="2">
        <f t="shared" si="69"/>
        <v>0</v>
      </c>
      <c r="P121" s="15"/>
      <c r="Q121" s="2">
        <f t="shared" si="67"/>
        <v>0</v>
      </c>
    </row>
    <row r="122" spans="1:17" ht="24" hidden="1" x14ac:dyDescent="0.25">
      <c r="A122" s="15"/>
      <c r="B122" s="382" t="s">
        <v>29</v>
      </c>
      <c r="C122" s="390"/>
      <c r="D122" s="63">
        <v>51</v>
      </c>
      <c r="E122" s="219">
        <v>4</v>
      </c>
      <c r="F122" s="219">
        <v>851</v>
      </c>
      <c r="G122" s="1" t="s">
        <v>38</v>
      </c>
      <c r="H122" s="1" t="s">
        <v>72</v>
      </c>
      <c r="I122" s="1" t="s">
        <v>486</v>
      </c>
      <c r="J122" s="1" t="s">
        <v>30</v>
      </c>
      <c r="K122" s="2">
        <f>'6 Вед15'!J208</f>
        <v>284000</v>
      </c>
      <c r="L122" s="2"/>
      <c r="M122" s="2"/>
      <c r="N122" s="2"/>
      <c r="O122" s="2"/>
      <c r="P122" s="15"/>
      <c r="Q122" s="2">
        <f t="shared" si="67"/>
        <v>0</v>
      </c>
    </row>
    <row r="123" spans="1:17" s="13" customFormat="1" ht="14.25" customHeight="1" x14ac:dyDescent="0.25">
      <c r="A123" s="508" t="s">
        <v>506</v>
      </c>
      <c r="B123" s="508"/>
      <c r="C123" s="385"/>
      <c r="D123" s="16">
        <v>51</v>
      </c>
      <c r="E123" s="16">
        <v>5</v>
      </c>
      <c r="F123" s="16"/>
      <c r="G123" s="11"/>
      <c r="H123" s="20"/>
      <c r="I123" s="20"/>
      <c r="J123" s="11"/>
      <c r="K123" s="12">
        <f>K124</f>
        <v>10868575</v>
      </c>
      <c r="L123" s="12">
        <f t="shared" ref="L123:O123" si="71">L124</f>
        <v>10678800</v>
      </c>
      <c r="M123" s="12"/>
      <c r="N123" s="2">
        <f t="shared" si="70"/>
        <v>10678800</v>
      </c>
      <c r="O123" s="12">
        <f t="shared" si="71"/>
        <v>10678800</v>
      </c>
      <c r="P123" s="390"/>
      <c r="Q123" s="2">
        <f t="shared" si="67"/>
        <v>10678800</v>
      </c>
    </row>
    <row r="124" spans="1:17" s="13" customFormat="1" x14ac:dyDescent="0.25">
      <c r="A124" s="508" t="s">
        <v>15</v>
      </c>
      <c r="B124" s="508"/>
      <c r="C124" s="385"/>
      <c r="D124" s="16">
        <v>51</v>
      </c>
      <c r="E124" s="16">
        <v>5</v>
      </c>
      <c r="F124" s="16">
        <v>851</v>
      </c>
      <c r="G124" s="11"/>
      <c r="H124" s="20"/>
      <c r="I124" s="20"/>
      <c r="J124" s="11"/>
      <c r="K124" s="12">
        <f>K125+K128+K133</f>
        <v>10868575</v>
      </c>
      <c r="L124" s="12">
        <f t="shared" ref="L124:O124" si="72">L125+L128+L133</f>
        <v>10678800</v>
      </c>
      <c r="M124" s="12"/>
      <c r="N124" s="2">
        <f t="shared" si="70"/>
        <v>10678800</v>
      </c>
      <c r="O124" s="12">
        <f t="shared" si="72"/>
        <v>10678800</v>
      </c>
      <c r="P124" s="390"/>
      <c r="Q124" s="2">
        <f t="shared" si="67"/>
        <v>10678800</v>
      </c>
    </row>
    <row r="125" spans="1:17" ht="37.5" customHeight="1" x14ac:dyDescent="0.25">
      <c r="A125" s="509" t="s">
        <v>98</v>
      </c>
      <c r="B125" s="509"/>
      <c r="C125" s="382"/>
      <c r="D125" s="219">
        <v>51</v>
      </c>
      <c r="E125" s="219">
        <v>5</v>
      </c>
      <c r="F125" s="219">
        <v>851</v>
      </c>
      <c r="G125" s="1" t="s">
        <v>0</v>
      </c>
      <c r="H125" s="1" t="s">
        <v>17</v>
      </c>
      <c r="I125" s="1" t="s">
        <v>225</v>
      </c>
      <c r="J125" s="1"/>
      <c r="K125" s="2">
        <f t="shared" ref="K125:O126" si="73">K126</f>
        <v>2587000</v>
      </c>
      <c r="L125" s="2">
        <f t="shared" si="73"/>
        <v>2587000</v>
      </c>
      <c r="M125" s="2"/>
      <c r="N125" s="2">
        <f t="shared" si="70"/>
        <v>2587000</v>
      </c>
      <c r="O125" s="2">
        <f t="shared" si="73"/>
        <v>2587000</v>
      </c>
      <c r="P125" s="15"/>
      <c r="Q125" s="2">
        <f t="shared" si="67"/>
        <v>2587000</v>
      </c>
    </row>
    <row r="126" spans="1:17" ht="12.75" customHeight="1" x14ac:dyDescent="0.25">
      <c r="A126" s="241"/>
      <c r="B126" s="387" t="s">
        <v>99</v>
      </c>
      <c r="C126" s="387"/>
      <c r="D126" s="219">
        <v>51</v>
      </c>
      <c r="E126" s="219">
        <v>5</v>
      </c>
      <c r="F126" s="219">
        <v>851</v>
      </c>
      <c r="G126" s="1" t="s">
        <v>0</v>
      </c>
      <c r="H126" s="1" t="s">
        <v>17</v>
      </c>
      <c r="I126" s="1" t="s">
        <v>225</v>
      </c>
      <c r="J126" s="1" t="s">
        <v>100</v>
      </c>
      <c r="K126" s="2">
        <f t="shared" si="73"/>
        <v>2587000</v>
      </c>
      <c r="L126" s="2">
        <f t="shared" si="73"/>
        <v>2587000</v>
      </c>
      <c r="M126" s="2"/>
      <c r="N126" s="2">
        <f t="shared" si="70"/>
        <v>2587000</v>
      </c>
      <c r="O126" s="2">
        <f t="shared" si="73"/>
        <v>2587000</v>
      </c>
      <c r="P126" s="15"/>
      <c r="Q126" s="2">
        <f t="shared" si="67"/>
        <v>2587000</v>
      </c>
    </row>
    <row r="127" spans="1:17" ht="24.75" customHeight="1" x14ac:dyDescent="0.25">
      <c r="A127" s="241"/>
      <c r="B127" s="387" t="s">
        <v>134</v>
      </c>
      <c r="C127" s="387"/>
      <c r="D127" s="219">
        <v>51</v>
      </c>
      <c r="E127" s="219">
        <v>5</v>
      </c>
      <c r="F127" s="219">
        <v>851</v>
      </c>
      <c r="G127" s="1" t="s">
        <v>0</v>
      </c>
      <c r="H127" s="1" t="s">
        <v>17</v>
      </c>
      <c r="I127" s="1" t="s">
        <v>225</v>
      </c>
      <c r="J127" s="1" t="s">
        <v>101</v>
      </c>
      <c r="K127" s="2">
        <f>'6 Вед15'!J180</f>
        <v>2587000</v>
      </c>
      <c r="L127" s="2">
        <v>2587000</v>
      </c>
      <c r="M127" s="2"/>
      <c r="N127" s="2">
        <f t="shared" si="70"/>
        <v>2587000</v>
      </c>
      <c r="O127" s="2">
        <v>2587000</v>
      </c>
      <c r="P127" s="15"/>
      <c r="Q127" s="2">
        <f t="shared" si="67"/>
        <v>2587000</v>
      </c>
    </row>
    <row r="128" spans="1:17" ht="16.5" customHeight="1" x14ac:dyDescent="0.25">
      <c r="A128" s="509" t="s">
        <v>107</v>
      </c>
      <c r="B128" s="509"/>
      <c r="C128" s="382"/>
      <c r="D128" s="219">
        <v>51</v>
      </c>
      <c r="E128" s="219">
        <v>5</v>
      </c>
      <c r="F128" s="219">
        <v>851</v>
      </c>
      <c r="G128" s="1" t="s">
        <v>0</v>
      </c>
      <c r="H128" s="1" t="s">
        <v>1</v>
      </c>
      <c r="I128" s="1" t="s">
        <v>227</v>
      </c>
      <c r="J128" s="1"/>
      <c r="K128" s="2">
        <f t="shared" ref="K128:O128" si="74">K129+K131</f>
        <v>270000</v>
      </c>
      <c r="L128" s="2">
        <f t="shared" si="74"/>
        <v>270000</v>
      </c>
      <c r="M128" s="2"/>
      <c r="N128" s="2">
        <f t="shared" si="70"/>
        <v>270000</v>
      </c>
      <c r="O128" s="2">
        <f t="shared" si="74"/>
        <v>270000</v>
      </c>
      <c r="P128" s="15"/>
      <c r="Q128" s="2">
        <f t="shared" si="67"/>
        <v>270000</v>
      </c>
    </row>
    <row r="129" spans="1:17" ht="15" customHeight="1" x14ac:dyDescent="0.25">
      <c r="A129" s="15"/>
      <c r="B129" s="382" t="s">
        <v>27</v>
      </c>
      <c r="C129" s="387"/>
      <c r="D129" s="219">
        <v>51</v>
      </c>
      <c r="E129" s="219">
        <v>5</v>
      </c>
      <c r="F129" s="219">
        <v>851</v>
      </c>
      <c r="G129" s="18" t="s">
        <v>0</v>
      </c>
      <c r="H129" s="1" t="s">
        <v>1</v>
      </c>
      <c r="I129" s="1" t="s">
        <v>227</v>
      </c>
      <c r="J129" s="1" t="s">
        <v>28</v>
      </c>
      <c r="K129" s="2">
        <f t="shared" ref="K129:O129" si="75">K130</f>
        <v>90000</v>
      </c>
      <c r="L129" s="2">
        <f t="shared" si="75"/>
        <v>90000</v>
      </c>
      <c r="M129" s="2"/>
      <c r="N129" s="2">
        <f t="shared" si="70"/>
        <v>90000</v>
      </c>
      <c r="O129" s="2">
        <f t="shared" si="75"/>
        <v>90000</v>
      </c>
      <c r="P129" s="15"/>
      <c r="Q129" s="2">
        <f t="shared" si="67"/>
        <v>90000</v>
      </c>
    </row>
    <row r="130" spans="1:17" ht="27" customHeight="1" x14ac:dyDescent="0.25">
      <c r="A130" s="15"/>
      <c r="B130" s="382" t="s">
        <v>29</v>
      </c>
      <c r="C130" s="382"/>
      <c r="D130" s="219">
        <v>51</v>
      </c>
      <c r="E130" s="219">
        <v>5</v>
      </c>
      <c r="F130" s="219">
        <v>851</v>
      </c>
      <c r="G130" s="18" t="s">
        <v>0</v>
      </c>
      <c r="H130" s="1" t="s">
        <v>1</v>
      </c>
      <c r="I130" s="1" t="s">
        <v>227</v>
      </c>
      <c r="J130" s="1" t="s">
        <v>30</v>
      </c>
      <c r="K130" s="2">
        <f>'6 Вед15'!J198</f>
        <v>90000</v>
      </c>
      <c r="L130" s="2">
        <v>90000</v>
      </c>
      <c r="M130" s="2"/>
      <c r="N130" s="2">
        <f t="shared" si="70"/>
        <v>90000</v>
      </c>
      <c r="O130" s="2">
        <v>90000</v>
      </c>
      <c r="P130" s="15"/>
      <c r="Q130" s="2">
        <f t="shared" si="67"/>
        <v>90000</v>
      </c>
    </row>
    <row r="131" spans="1:17" x14ac:dyDescent="0.25">
      <c r="A131" s="241"/>
      <c r="B131" s="387" t="s">
        <v>99</v>
      </c>
      <c r="C131" s="387"/>
      <c r="D131" s="219">
        <v>51</v>
      </c>
      <c r="E131" s="219">
        <v>5</v>
      </c>
      <c r="F131" s="219">
        <v>851</v>
      </c>
      <c r="G131" s="1" t="s">
        <v>0</v>
      </c>
      <c r="H131" s="1" t="s">
        <v>1</v>
      </c>
      <c r="I131" s="1" t="s">
        <v>227</v>
      </c>
      <c r="J131" s="1" t="s">
        <v>100</v>
      </c>
      <c r="K131" s="2">
        <f>K132</f>
        <v>180000</v>
      </c>
      <c r="L131" s="2">
        <f t="shared" ref="L131:O131" si="76">L132</f>
        <v>180000</v>
      </c>
      <c r="M131" s="2"/>
      <c r="N131" s="2">
        <f t="shared" si="70"/>
        <v>180000</v>
      </c>
      <c r="O131" s="2">
        <f t="shared" si="76"/>
        <v>180000</v>
      </c>
      <c r="P131" s="15"/>
      <c r="Q131" s="2">
        <f t="shared" si="67"/>
        <v>180000</v>
      </c>
    </row>
    <row r="132" spans="1:17" ht="24" x14ac:dyDescent="0.25">
      <c r="A132" s="241"/>
      <c r="B132" s="387" t="s">
        <v>252</v>
      </c>
      <c r="C132" s="387"/>
      <c r="D132" s="219">
        <v>51</v>
      </c>
      <c r="E132" s="219">
        <v>5</v>
      </c>
      <c r="F132" s="219">
        <v>851</v>
      </c>
      <c r="G132" s="1" t="s">
        <v>0</v>
      </c>
      <c r="H132" s="1" t="s">
        <v>1</v>
      </c>
      <c r="I132" s="1" t="s">
        <v>227</v>
      </c>
      <c r="J132" s="1" t="s">
        <v>8</v>
      </c>
      <c r="K132" s="2">
        <f>'6 Вед15'!J200</f>
        <v>180000</v>
      </c>
      <c r="L132" s="2">
        <v>180000</v>
      </c>
      <c r="M132" s="2"/>
      <c r="N132" s="2">
        <f t="shared" si="70"/>
        <v>180000</v>
      </c>
      <c r="O132" s="2">
        <v>180000</v>
      </c>
      <c r="P132" s="15"/>
      <c r="Q132" s="2">
        <f t="shared" si="67"/>
        <v>180000</v>
      </c>
    </row>
    <row r="133" spans="1:17" s="23" customFormat="1" ht="38.25" customHeight="1" x14ac:dyDescent="0.25">
      <c r="A133" s="509" t="s">
        <v>468</v>
      </c>
      <c r="B133" s="509"/>
      <c r="C133" s="382"/>
      <c r="D133" s="219">
        <v>51</v>
      </c>
      <c r="E133" s="219">
        <v>5</v>
      </c>
      <c r="F133" s="219">
        <v>851</v>
      </c>
      <c r="G133" s="18" t="s">
        <v>0</v>
      </c>
      <c r="H133" s="18" t="s">
        <v>6</v>
      </c>
      <c r="I133" s="18" t="s">
        <v>226</v>
      </c>
      <c r="J133" s="18"/>
      <c r="K133" s="21">
        <f t="shared" ref="K133:O134" si="77">K134</f>
        <v>8011575</v>
      </c>
      <c r="L133" s="21">
        <f t="shared" si="77"/>
        <v>7821800</v>
      </c>
      <c r="M133" s="21"/>
      <c r="N133" s="2">
        <f t="shared" si="70"/>
        <v>7821800</v>
      </c>
      <c r="O133" s="21">
        <f t="shared" si="77"/>
        <v>7821800</v>
      </c>
      <c r="P133" s="387"/>
      <c r="Q133" s="2">
        <f t="shared" si="67"/>
        <v>7821800</v>
      </c>
    </row>
    <row r="134" spans="1:17" ht="13.5" customHeight="1" x14ac:dyDescent="0.25">
      <c r="A134" s="15"/>
      <c r="B134" s="387" t="s">
        <v>99</v>
      </c>
      <c r="C134" s="382"/>
      <c r="D134" s="219">
        <v>51</v>
      </c>
      <c r="E134" s="219">
        <v>5</v>
      </c>
      <c r="F134" s="219">
        <v>851</v>
      </c>
      <c r="G134" s="18" t="s">
        <v>0</v>
      </c>
      <c r="H134" s="18" t="s">
        <v>6</v>
      </c>
      <c r="I134" s="18" t="s">
        <v>226</v>
      </c>
      <c r="J134" s="1" t="s">
        <v>100</v>
      </c>
      <c r="K134" s="2">
        <f t="shared" si="77"/>
        <v>8011575</v>
      </c>
      <c r="L134" s="2">
        <f t="shared" si="77"/>
        <v>7821800</v>
      </c>
      <c r="M134" s="2"/>
      <c r="N134" s="2">
        <f t="shared" si="70"/>
        <v>7821800</v>
      </c>
      <c r="O134" s="2">
        <f t="shared" si="77"/>
        <v>7821800</v>
      </c>
      <c r="P134" s="15"/>
      <c r="Q134" s="2">
        <f t="shared" si="67"/>
        <v>7821800</v>
      </c>
    </row>
    <row r="135" spans="1:17" s="23" customFormat="1" ht="24.75" customHeight="1" x14ac:dyDescent="0.25">
      <c r="A135" s="382"/>
      <c r="B135" s="382" t="s">
        <v>104</v>
      </c>
      <c r="C135" s="382"/>
      <c r="D135" s="219">
        <v>51</v>
      </c>
      <c r="E135" s="219">
        <v>5</v>
      </c>
      <c r="F135" s="219">
        <v>851</v>
      </c>
      <c r="G135" s="18" t="s">
        <v>0</v>
      </c>
      <c r="H135" s="18" t="s">
        <v>6</v>
      </c>
      <c r="I135" s="18" t="s">
        <v>226</v>
      </c>
      <c r="J135" s="18" t="s">
        <v>105</v>
      </c>
      <c r="K135" s="21">
        <f>'6 Вед15'!J194</f>
        <v>8011575</v>
      </c>
      <c r="L135" s="21">
        <v>7821800</v>
      </c>
      <c r="M135" s="21"/>
      <c r="N135" s="2">
        <f t="shared" si="70"/>
        <v>7821800</v>
      </c>
      <c r="O135" s="21">
        <v>7821800</v>
      </c>
      <c r="P135" s="387"/>
      <c r="Q135" s="2">
        <f t="shared" si="67"/>
        <v>7821800</v>
      </c>
    </row>
    <row r="136" spans="1:17" s="13" customFormat="1" ht="22.5" customHeight="1" x14ac:dyDescent="0.25">
      <c r="A136" s="508" t="s">
        <v>507</v>
      </c>
      <c r="B136" s="508"/>
      <c r="C136" s="385"/>
      <c r="D136" s="16">
        <v>51</v>
      </c>
      <c r="E136" s="16">
        <v>6</v>
      </c>
      <c r="F136" s="16"/>
      <c r="G136" s="11"/>
      <c r="H136" s="20"/>
      <c r="I136" s="20"/>
      <c r="J136" s="11"/>
      <c r="K136" s="12">
        <f>K137</f>
        <v>582660</v>
      </c>
      <c r="L136" s="12">
        <f t="shared" ref="L136:O138" si="78">L137</f>
        <v>582660</v>
      </c>
      <c r="M136" s="12"/>
      <c r="N136" s="2">
        <f t="shared" si="70"/>
        <v>582660</v>
      </c>
      <c r="O136" s="12">
        <f t="shared" si="78"/>
        <v>582660</v>
      </c>
      <c r="P136" s="390"/>
      <c r="Q136" s="2">
        <f t="shared" si="67"/>
        <v>582660</v>
      </c>
    </row>
    <row r="137" spans="1:17" s="13" customFormat="1" x14ac:dyDescent="0.25">
      <c r="A137" s="508" t="s">
        <v>15</v>
      </c>
      <c r="B137" s="508"/>
      <c r="C137" s="385"/>
      <c r="D137" s="16">
        <v>51</v>
      </c>
      <c r="E137" s="16">
        <v>6</v>
      </c>
      <c r="F137" s="16">
        <v>851</v>
      </c>
      <c r="G137" s="11"/>
      <c r="H137" s="20"/>
      <c r="I137" s="20"/>
      <c r="J137" s="11"/>
      <c r="K137" s="12">
        <f>K138</f>
        <v>582660</v>
      </c>
      <c r="L137" s="12">
        <f t="shared" si="78"/>
        <v>582660</v>
      </c>
      <c r="M137" s="12"/>
      <c r="N137" s="2">
        <f t="shared" si="70"/>
        <v>582660</v>
      </c>
      <c r="O137" s="12">
        <f t="shared" si="78"/>
        <v>582660</v>
      </c>
      <c r="P137" s="390"/>
      <c r="Q137" s="2">
        <f t="shared" si="67"/>
        <v>582660</v>
      </c>
    </row>
    <row r="138" spans="1:17" ht="24.75" customHeight="1" x14ac:dyDescent="0.25">
      <c r="A138" s="530" t="s">
        <v>138</v>
      </c>
      <c r="B138" s="530"/>
      <c r="C138" s="387"/>
      <c r="D138" s="219">
        <v>51</v>
      </c>
      <c r="E138" s="219">
        <v>6</v>
      </c>
      <c r="F138" s="63">
        <v>851</v>
      </c>
      <c r="G138" s="1" t="s">
        <v>0</v>
      </c>
      <c r="H138" s="1" t="s">
        <v>3</v>
      </c>
      <c r="I138" s="63">
        <v>2226</v>
      </c>
      <c r="J138" s="1"/>
      <c r="K138" s="2">
        <f>K139</f>
        <v>582660</v>
      </c>
      <c r="L138" s="2">
        <f t="shared" si="78"/>
        <v>582660</v>
      </c>
      <c r="M138" s="2"/>
      <c r="N138" s="2">
        <f t="shared" si="70"/>
        <v>582660</v>
      </c>
      <c r="O138" s="2">
        <f t="shared" si="78"/>
        <v>582660</v>
      </c>
      <c r="P138" s="15"/>
      <c r="Q138" s="2">
        <f t="shared" si="67"/>
        <v>582660</v>
      </c>
    </row>
    <row r="139" spans="1:17" x14ac:dyDescent="0.25">
      <c r="A139" s="241"/>
      <c r="B139" s="387" t="s">
        <v>99</v>
      </c>
      <c r="C139" s="387"/>
      <c r="D139" s="219">
        <v>51</v>
      </c>
      <c r="E139" s="219">
        <v>6</v>
      </c>
      <c r="F139" s="63">
        <v>851</v>
      </c>
      <c r="G139" s="1" t="s">
        <v>0</v>
      </c>
      <c r="H139" s="1" t="s">
        <v>3</v>
      </c>
      <c r="I139" s="63">
        <v>2226</v>
      </c>
      <c r="J139" s="1" t="s">
        <v>100</v>
      </c>
      <c r="K139" s="2">
        <f t="shared" ref="K139:O139" si="79">K140</f>
        <v>582660</v>
      </c>
      <c r="L139" s="2">
        <f t="shared" si="79"/>
        <v>582660</v>
      </c>
      <c r="M139" s="2"/>
      <c r="N139" s="2">
        <f t="shared" si="70"/>
        <v>582660</v>
      </c>
      <c r="O139" s="2">
        <f t="shared" si="79"/>
        <v>582660</v>
      </c>
      <c r="P139" s="15"/>
      <c r="Q139" s="2">
        <f t="shared" si="67"/>
        <v>582660</v>
      </c>
    </row>
    <row r="140" spans="1:17" x14ac:dyDescent="0.25">
      <c r="A140" s="241"/>
      <c r="B140" s="387" t="s">
        <v>139</v>
      </c>
      <c r="C140" s="387"/>
      <c r="D140" s="219">
        <v>51</v>
      </c>
      <c r="E140" s="219">
        <v>6</v>
      </c>
      <c r="F140" s="63">
        <v>851</v>
      </c>
      <c r="G140" s="1" t="s">
        <v>0</v>
      </c>
      <c r="H140" s="1" t="s">
        <v>3</v>
      </c>
      <c r="I140" s="63">
        <v>2226</v>
      </c>
      <c r="J140" s="1" t="s">
        <v>140</v>
      </c>
      <c r="K140" s="2">
        <f>'6 Вед15'!J190</f>
        <v>582660</v>
      </c>
      <c r="L140" s="2">
        <v>582660</v>
      </c>
      <c r="M140" s="2"/>
      <c r="N140" s="2">
        <f t="shared" si="70"/>
        <v>582660</v>
      </c>
      <c r="O140" s="2">
        <v>582660</v>
      </c>
      <c r="P140" s="15"/>
      <c r="Q140" s="2">
        <f t="shared" si="67"/>
        <v>582660</v>
      </c>
    </row>
    <row r="141" spans="1:17" s="13" customFormat="1" ht="23.25" customHeight="1" x14ac:dyDescent="0.25">
      <c r="A141" s="508" t="s">
        <v>508</v>
      </c>
      <c r="B141" s="508"/>
      <c r="C141" s="385"/>
      <c r="D141" s="16">
        <v>51</v>
      </c>
      <c r="E141" s="16">
        <v>7</v>
      </c>
      <c r="F141" s="16"/>
      <c r="G141" s="11"/>
      <c r="H141" s="20"/>
      <c r="I141" s="20"/>
      <c r="J141" s="11"/>
      <c r="K141" s="12">
        <f>K142</f>
        <v>100000</v>
      </c>
      <c r="L141" s="12">
        <f t="shared" ref="L141:O144" si="80">L142</f>
        <v>100000</v>
      </c>
      <c r="M141" s="12"/>
      <c r="N141" s="2">
        <f t="shared" si="70"/>
        <v>100000</v>
      </c>
      <c r="O141" s="12">
        <f t="shared" si="80"/>
        <v>100000</v>
      </c>
      <c r="P141" s="390"/>
      <c r="Q141" s="2">
        <f t="shared" si="67"/>
        <v>100000</v>
      </c>
    </row>
    <row r="142" spans="1:17" s="13" customFormat="1" x14ac:dyDescent="0.25">
      <c r="A142" s="508" t="s">
        <v>15</v>
      </c>
      <c r="B142" s="508"/>
      <c r="C142" s="385"/>
      <c r="D142" s="16">
        <v>51</v>
      </c>
      <c r="E142" s="16">
        <v>7</v>
      </c>
      <c r="F142" s="16">
        <v>851</v>
      </c>
      <c r="G142" s="11"/>
      <c r="H142" s="20"/>
      <c r="I142" s="20"/>
      <c r="J142" s="11"/>
      <c r="K142" s="12">
        <f>K143</f>
        <v>100000</v>
      </c>
      <c r="L142" s="12">
        <f t="shared" si="80"/>
        <v>100000</v>
      </c>
      <c r="M142" s="12"/>
      <c r="N142" s="2">
        <f t="shared" si="70"/>
        <v>100000</v>
      </c>
      <c r="O142" s="12">
        <f t="shared" si="80"/>
        <v>100000</v>
      </c>
      <c r="P142" s="390"/>
      <c r="Q142" s="2">
        <f t="shared" si="67"/>
        <v>100000</v>
      </c>
    </row>
    <row r="143" spans="1:17" ht="24" customHeight="1" x14ac:dyDescent="0.25">
      <c r="A143" s="509" t="s">
        <v>439</v>
      </c>
      <c r="B143" s="509"/>
      <c r="C143" s="382"/>
      <c r="D143" s="219">
        <v>51</v>
      </c>
      <c r="E143" s="219">
        <v>7</v>
      </c>
      <c r="F143" s="219">
        <v>851</v>
      </c>
      <c r="G143" s="18" t="s">
        <v>6</v>
      </c>
      <c r="H143" s="18" t="s">
        <v>67</v>
      </c>
      <c r="I143" s="18" t="s">
        <v>444</v>
      </c>
      <c r="J143" s="1"/>
      <c r="K143" s="2">
        <f>K144</f>
        <v>100000</v>
      </c>
      <c r="L143" s="2">
        <f t="shared" si="80"/>
        <v>100000</v>
      </c>
      <c r="M143" s="2"/>
      <c r="N143" s="2">
        <f t="shared" si="70"/>
        <v>100000</v>
      </c>
      <c r="O143" s="2">
        <f t="shared" si="80"/>
        <v>100000</v>
      </c>
      <c r="P143" s="15"/>
      <c r="Q143" s="2">
        <f t="shared" si="67"/>
        <v>100000</v>
      </c>
    </row>
    <row r="144" spans="1:17" ht="13.5" customHeight="1" x14ac:dyDescent="0.25">
      <c r="A144" s="15"/>
      <c r="B144" s="382" t="s">
        <v>31</v>
      </c>
      <c r="C144" s="382"/>
      <c r="D144" s="219">
        <v>51</v>
      </c>
      <c r="E144" s="219">
        <v>7</v>
      </c>
      <c r="F144" s="219">
        <v>851</v>
      </c>
      <c r="G144" s="18" t="s">
        <v>6</v>
      </c>
      <c r="H144" s="18" t="s">
        <v>67</v>
      </c>
      <c r="I144" s="18" t="s">
        <v>444</v>
      </c>
      <c r="J144" s="1" t="s">
        <v>32</v>
      </c>
      <c r="K144" s="2">
        <f>K145</f>
        <v>100000</v>
      </c>
      <c r="L144" s="2">
        <f t="shared" si="80"/>
        <v>100000</v>
      </c>
      <c r="M144" s="2"/>
      <c r="N144" s="2">
        <f t="shared" si="70"/>
        <v>100000</v>
      </c>
      <c r="O144" s="2">
        <f t="shared" si="80"/>
        <v>100000</v>
      </c>
      <c r="P144" s="15"/>
      <c r="Q144" s="2">
        <f t="shared" si="67"/>
        <v>100000</v>
      </c>
    </row>
    <row r="145" spans="1:17" ht="24" x14ac:dyDescent="0.25">
      <c r="A145" s="15"/>
      <c r="B145" s="382" t="s">
        <v>250</v>
      </c>
      <c r="C145" s="382"/>
      <c r="D145" s="219">
        <v>51</v>
      </c>
      <c r="E145" s="219">
        <v>7</v>
      </c>
      <c r="F145" s="219">
        <v>851</v>
      </c>
      <c r="G145" s="18" t="s">
        <v>6</v>
      </c>
      <c r="H145" s="18" t="s">
        <v>67</v>
      </c>
      <c r="I145" s="18" t="s">
        <v>444</v>
      </c>
      <c r="J145" s="1" t="s">
        <v>65</v>
      </c>
      <c r="K145" s="2">
        <f>'6 Вед15'!J110</f>
        <v>100000</v>
      </c>
      <c r="L145" s="2">
        <v>100000</v>
      </c>
      <c r="M145" s="2"/>
      <c r="N145" s="2">
        <f t="shared" si="70"/>
        <v>100000</v>
      </c>
      <c r="O145" s="2">
        <v>100000</v>
      </c>
      <c r="P145" s="15"/>
      <c r="Q145" s="2">
        <f t="shared" si="67"/>
        <v>100000</v>
      </c>
    </row>
    <row r="146" spans="1:17" ht="27" customHeight="1" x14ac:dyDescent="0.25">
      <c r="A146" s="531" t="s">
        <v>510</v>
      </c>
      <c r="B146" s="531"/>
      <c r="C146" s="15"/>
      <c r="D146" s="388">
        <v>52</v>
      </c>
      <c r="E146" s="63"/>
      <c r="F146" s="15"/>
      <c r="G146" s="15"/>
      <c r="H146" s="15"/>
      <c r="I146" s="1"/>
      <c r="J146" s="1"/>
      <c r="K146" s="8">
        <f t="shared" ref="K146:O146" si="81">K147</f>
        <v>148946959</v>
      </c>
      <c r="L146" s="8">
        <f t="shared" si="81"/>
        <v>154829959</v>
      </c>
      <c r="M146" s="8"/>
      <c r="N146" s="2">
        <f t="shared" si="70"/>
        <v>154829959</v>
      </c>
      <c r="O146" s="8">
        <f t="shared" si="81"/>
        <v>154823759</v>
      </c>
      <c r="P146" s="15"/>
      <c r="Q146" s="2">
        <f t="shared" si="67"/>
        <v>154823759</v>
      </c>
    </row>
    <row r="147" spans="1:17" ht="24.75" customHeight="1" x14ac:dyDescent="0.25">
      <c r="A147" s="508" t="s">
        <v>111</v>
      </c>
      <c r="B147" s="508"/>
      <c r="C147" s="16"/>
      <c r="D147" s="16">
        <v>52</v>
      </c>
      <c r="E147" s="16">
        <v>0</v>
      </c>
      <c r="F147" s="16">
        <v>852</v>
      </c>
      <c r="G147" s="18"/>
      <c r="H147" s="18"/>
      <c r="I147" s="18"/>
      <c r="J147" s="1"/>
      <c r="K147" s="12">
        <f>K148+K151+K154+K157+K160+K169+K174+K177+K180+K185+K188+K191+K200+K203+K206+K209</f>
        <v>148946959</v>
      </c>
      <c r="L147" s="12">
        <f>L148+L151+L154+L157+L160+L169+L174+L177+L180+L185+L188+L191+L200+L203+L206+L209</f>
        <v>154829959</v>
      </c>
      <c r="M147" s="12"/>
      <c r="N147" s="2">
        <f t="shared" si="70"/>
        <v>154829959</v>
      </c>
      <c r="O147" s="12">
        <f>O148+O151+O154+O157+O160+O169+O174+O177+O180+O185+O188+O191+O200+O203+O206+O209</f>
        <v>154823759</v>
      </c>
      <c r="P147" s="15"/>
      <c r="Q147" s="2">
        <f t="shared" si="67"/>
        <v>154823759</v>
      </c>
    </row>
    <row r="148" spans="1:17" ht="27" customHeight="1" x14ac:dyDescent="0.25">
      <c r="A148" s="509" t="s">
        <v>26</v>
      </c>
      <c r="B148" s="509"/>
      <c r="C148" s="219"/>
      <c r="D148" s="219">
        <v>52</v>
      </c>
      <c r="E148" s="219">
        <v>0</v>
      </c>
      <c r="F148" s="219">
        <v>852</v>
      </c>
      <c r="G148" s="1" t="s">
        <v>36</v>
      </c>
      <c r="H148" s="1" t="s">
        <v>57</v>
      </c>
      <c r="I148" s="1" t="s">
        <v>435</v>
      </c>
      <c r="J148" s="1"/>
      <c r="K148" s="2">
        <f t="shared" ref="K148:O149" si="82">K149</f>
        <v>836500</v>
      </c>
      <c r="L148" s="2">
        <f t="shared" si="82"/>
        <v>825100</v>
      </c>
      <c r="M148" s="2"/>
      <c r="N148" s="2">
        <f t="shared" si="70"/>
        <v>825100</v>
      </c>
      <c r="O148" s="2">
        <f t="shared" si="82"/>
        <v>825100</v>
      </c>
      <c r="P148" s="15"/>
      <c r="Q148" s="2">
        <f t="shared" si="67"/>
        <v>825100</v>
      </c>
    </row>
    <row r="149" spans="1:17" ht="36" customHeight="1" x14ac:dyDescent="0.25">
      <c r="A149" s="15"/>
      <c r="B149" s="387" t="s">
        <v>21</v>
      </c>
      <c r="C149" s="219"/>
      <c r="D149" s="219">
        <v>52</v>
      </c>
      <c r="E149" s="219">
        <v>0</v>
      </c>
      <c r="F149" s="219">
        <v>852</v>
      </c>
      <c r="G149" s="1" t="s">
        <v>36</v>
      </c>
      <c r="H149" s="1" t="s">
        <v>57</v>
      </c>
      <c r="I149" s="1" t="s">
        <v>435</v>
      </c>
      <c r="J149" s="1" t="s">
        <v>23</v>
      </c>
      <c r="K149" s="2">
        <f t="shared" si="82"/>
        <v>836500</v>
      </c>
      <c r="L149" s="2">
        <f t="shared" si="82"/>
        <v>825100</v>
      </c>
      <c r="M149" s="2"/>
      <c r="N149" s="2">
        <f t="shared" si="70"/>
        <v>825100</v>
      </c>
      <c r="O149" s="2">
        <f t="shared" si="82"/>
        <v>825100</v>
      </c>
      <c r="P149" s="15"/>
      <c r="Q149" s="2">
        <f t="shared" si="67"/>
        <v>825100</v>
      </c>
    </row>
    <row r="150" spans="1:17" ht="12" customHeight="1" x14ac:dyDescent="0.25">
      <c r="A150" s="15"/>
      <c r="B150" s="387" t="s">
        <v>24</v>
      </c>
      <c r="C150" s="219"/>
      <c r="D150" s="219">
        <v>52</v>
      </c>
      <c r="E150" s="219">
        <v>0</v>
      </c>
      <c r="F150" s="219">
        <v>852</v>
      </c>
      <c r="G150" s="1" t="s">
        <v>36</v>
      </c>
      <c r="H150" s="1" t="s">
        <v>57</v>
      </c>
      <c r="I150" s="1" t="s">
        <v>435</v>
      </c>
      <c r="J150" s="1" t="s">
        <v>25</v>
      </c>
      <c r="K150" s="2">
        <f>'6 Вед15'!J259</f>
        <v>836500</v>
      </c>
      <c r="L150" s="2">
        <v>825100</v>
      </c>
      <c r="M150" s="2"/>
      <c r="N150" s="2">
        <f t="shared" si="70"/>
        <v>825100</v>
      </c>
      <c r="O150" s="2">
        <v>825100</v>
      </c>
      <c r="P150" s="15"/>
      <c r="Q150" s="2">
        <f t="shared" si="67"/>
        <v>825100</v>
      </c>
    </row>
    <row r="151" spans="1:17" s="23" customFormat="1" ht="13.5" customHeight="1" x14ac:dyDescent="0.25">
      <c r="A151" s="509" t="s">
        <v>115</v>
      </c>
      <c r="B151" s="509"/>
      <c r="C151" s="382"/>
      <c r="D151" s="219">
        <v>52</v>
      </c>
      <c r="E151" s="219">
        <v>0</v>
      </c>
      <c r="F151" s="219">
        <v>852</v>
      </c>
      <c r="G151" s="18" t="s">
        <v>36</v>
      </c>
      <c r="H151" s="18" t="s">
        <v>17</v>
      </c>
      <c r="I151" s="18" t="s">
        <v>231</v>
      </c>
      <c r="J151" s="18"/>
      <c r="K151" s="21">
        <f t="shared" ref="K151:O152" si="83">K152</f>
        <v>11495900</v>
      </c>
      <c r="L151" s="21">
        <f t="shared" si="83"/>
        <v>11495900</v>
      </c>
      <c r="M151" s="21"/>
      <c r="N151" s="2">
        <f t="shared" si="70"/>
        <v>11495900</v>
      </c>
      <c r="O151" s="21">
        <f t="shared" si="83"/>
        <v>11495900</v>
      </c>
      <c r="P151" s="387"/>
      <c r="Q151" s="2">
        <f t="shared" si="67"/>
        <v>11495900</v>
      </c>
    </row>
    <row r="152" spans="1:17" s="23" customFormat="1" ht="24.75" customHeight="1" x14ac:dyDescent="0.25">
      <c r="A152" s="382"/>
      <c r="B152" s="382" t="s">
        <v>91</v>
      </c>
      <c r="C152" s="382"/>
      <c r="D152" s="219">
        <v>52</v>
      </c>
      <c r="E152" s="219">
        <v>0</v>
      </c>
      <c r="F152" s="219">
        <v>852</v>
      </c>
      <c r="G152" s="18" t="s">
        <v>36</v>
      </c>
      <c r="H152" s="18" t="s">
        <v>17</v>
      </c>
      <c r="I152" s="18" t="s">
        <v>231</v>
      </c>
      <c r="J152" s="18" t="s">
        <v>87</v>
      </c>
      <c r="K152" s="21">
        <f t="shared" si="83"/>
        <v>11495900</v>
      </c>
      <c r="L152" s="21">
        <f t="shared" si="83"/>
        <v>11495900</v>
      </c>
      <c r="M152" s="21"/>
      <c r="N152" s="2">
        <f t="shared" si="70"/>
        <v>11495900</v>
      </c>
      <c r="O152" s="21">
        <f t="shared" si="83"/>
        <v>11495900</v>
      </c>
      <c r="P152" s="387"/>
      <c r="Q152" s="2">
        <f t="shared" si="67"/>
        <v>11495900</v>
      </c>
    </row>
    <row r="153" spans="1:17" ht="39" customHeight="1" x14ac:dyDescent="0.25">
      <c r="A153" s="382"/>
      <c r="B153" s="382" t="s">
        <v>88</v>
      </c>
      <c r="C153" s="382"/>
      <c r="D153" s="219">
        <v>52</v>
      </c>
      <c r="E153" s="219">
        <v>0</v>
      </c>
      <c r="F153" s="219">
        <v>852</v>
      </c>
      <c r="G153" s="1" t="s">
        <v>36</v>
      </c>
      <c r="H153" s="1" t="s">
        <v>17</v>
      </c>
      <c r="I153" s="1" t="s">
        <v>231</v>
      </c>
      <c r="J153" s="1" t="s">
        <v>89</v>
      </c>
      <c r="K153" s="2">
        <f>'6 Вед15'!J214</f>
        <v>11495900</v>
      </c>
      <c r="L153" s="2">
        <v>11495900</v>
      </c>
      <c r="M153" s="2"/>
      <c r="N153" s="2">
        <f t="shared" si="70"/>
        <v>11495900</v>
      </c>
      <c r="O153" s="2">
        <v>11495900</v>
      </c>
      <c r="P153" s="15"/>
      <c r="Q153" s="2">
        <f t="shared" si="67"/>
        <v>11495900</v>
      </c>
    </row>
    <row r="154" spans="1:17" x14ac:dyDescent="0.25">
      <c r="A154" s="509" t="s">
        <v>123</v>
      </c>
      <c r="B154" s="509"/>
      <c r="C154" s="382"/>
      <c r="D154" s="219">
        <v>52</v>
      </c>
      <c r="E154" s="219">
        <v>0</v>
      </c>
      <c r="F154" s="219">
        <v>852</v>
      </c>
      <c r="G154" s="1" t="s">
        <v>36</v>
      </c>
      <c r="H154" s="1" t="s">
        <v>72</v>
      </c>
      <c r="I154" s="1" t="s">
        <v>232</v>
      </c>
      <c r="J154" s="1"/>
      <c r="K154" s="2">
        <f t="shared" ref="K154:O155" si="84">K155</f>
        <v>13985000</v>
      </c>
      <c r="L154" s="2">
        <f t="shared" si="84"/>
        <v>18485000</v>
      </c>
      <c r="M154" s="2"/>
      <c r="N154" s="2">
        <f t="shared" si="70"/>
        <v>18485000</v>
      </c>
      <c r="O154" s="2">
        <f t="shared" si="84"/>
        <v>18485000</v>
      </c>
      <c r="P154" s="15"/>
      <c r="Q154" s="2">
        <f t="shared" si="67"/>
        <v>18485000</v>
      </c>
    </row>
    <row r="155" spans="1:17" ht="24" x14ac:dyDescent="0.25">
      <c r="A155" s="382"/>
      <c r="B155" s="382" t="s">
        <v>91</v>
      </c>
      <c r="C155" s="382"/>
      <c r="D155" s="219">
        <v>52</v>
      </c>
      <c r="E155" s="219">
        <v>0</v>
      </c>
      <c r="F155" s="219">
        <v>852</v>
      </c>
      <c r="G155" s="1" t="s">
        <v>36</v>
      </c>
      <c r="H155" s="18" t="s">
        <v>72</v>
      </c>
      <c r="I155" s="18" t="s">
        <v>232</v>
      </c>
      <c r="J155" s="1" t="s">
        <v>87</v>
      </c>
      <c r="K155" s="2">
        <f t="shared" si="84"/>
        <v>13985000</v>
      </c>
      <c r="L155" s="2">
        <f t="shared" si="84"/>
        <v>18485000</v>
      </c>
      <c r="M155" s="2"/>
      <c r="N155" s="2">
        <f t="shared" si="70"/>
        <v>18485000</v>
      </c>
      <c r="O155" s="2">
        <f t="shared" si="84"/>
        <v>18485000</v>
      </c>
      <c r="P155" s="15"/>
      <c r="Q155" s="2">
        <f t="shared" si="67"/>
        <v>18485000</v>
      </c>
    </row>
    <row r="156" spans="1:17" ht="36" x14ac:dyDescent="0.25">
      <c r="A156" s="382"/>
      <c r="B156" s="382" t="s">
        <v>88</v>
      </c>
      <c r="C156" s="382"/>
      <c r="D156" s="219">
        <v>52</v>
      </c>
      <c r="E156" s="219">
        <v>0</v>
      </c>
      <c r="F156" s="219">
        <v>852</v>
      </c>
      <c r="G156" s="1" t="s">
        <v>36</v>
      </c>
      <c r="H156" s="18" t="s">
        <v>72</v>
      </c>
      <c r="I156" s="18" t="s">
        <v>232</v>
      </c>
      <c r="J156" s="1" t="s">
        <v>89</v>
      </c>
      <c r="K156" s="2">
        <f>'6 Вед15'!J230</f>
        <v>13985000</v>
      </c>
      <c r="L156" s="2">
        <v>18485000</v>
      </c>
      <c r="M156" s="2"/>
      <c r="N156" s="2">
        <f t="shared" si="70"/>
        <v>18485000</v>
      </c>
      <c r="O156" s="2">
        <v>18485000</v>
      </c>
      <c r="P156" s="15"/>
      <c r="Q156" s="2">
        <f t="shared" si="67"/>
        <v>18485000</v>
      </c>
    </row>
    <row r="157" spans="1:17" x14ac:dyDescent="0.25">
      <c r="A157" s="509" t="s">
        <v>125</v>
      </c>
      <c r="B157" s="509"/>
      <c r="C157" s="382"/>
      <c r="D157" s="219">
        <v>52</v>
      </c>
      <c r="E157" s="219">
        <v>0</v>
      </c>
      <c r="F157" s="219">
        <v>852</v>
      </c>
      <c r="G157" s="18" t="s">
        <v>36</v>
      </c>
      <c r="H157" s="18" t="s">
        <v>72</v>
      </c>
      <c r="I157" s="18" t="s">
        <v>233</v>
      </c>
      <c r="J157" s="1"/>
      <c r="K157" s="2">
        <f t="shared" ref="K157:O158" si="85">K158</f>
        <v>8331600</v>
      </c>
      <c r="L157" s="2">
        <f t="shared" si="85"/>
        <v>9581600</v>
      </c>
      <c r="M157" s="2"/>
      <c r="N157" s="2">
        <f t="shared" si="70"/>
        <v>9581600</v>
      </c>
      <c r="O157" s="2">
        <f t="shared" si="85"/>
        <v>9581600</v>
      </c>
      <c r="P157" s="15"/>
      <c r="Q157" s="2">
        <f t="shared" si="67"/>
        <v>9581600</v>
      </c>
    </row>
    <row r="158" spans="1:17" ht="24" x14ac:dyDescent="0.25">
      <c r="A158" s="382"/>
      <c r="B158" s="382" t="s">
        <v>91</v>
      </c>
      <c r="C158" s="382"/>
      <c r="D158" s="219">
        <v>52</v>
      </c>
      <c r="E158" s="219">
        <v>0</v>
      </c>
      <c r="F158" s="219">
        <v>852</v>
      </c>
      <c r="G158" s="1" t="s">
        <v>36</v>
      </c>
      <c r="H158" s="18" t="s">
        <v>72</v>
      </c>
      <c r="I158" s="18" t="s">
        <v>233</v>
      </c>
      <c r="J158" s="1" t="s">
        <v>87</v>
      </c>
      <c r="K158" s="2">
        <f t="shared" si="85"/>
        <v>8331600</v>
      </c>
      <c r="L158" s="2">
        <f t="shared" si="85"/>
        <v>9581600</v>
      </c>
      <c r="M158" s="2"/>
      <c r="N158" s="2">
        <f t="shared" si="70"/>
        <v>9581600</v>
      </c>
      <c r="O158" s="2">
        <f t="shared" si="85"/>
        <v>9581600</v>
      </c>
      <c r="P158" s="15"/>
      <c r="Q158" s="2">
        <f t="shared" si="67"/>
        <v>9581600</v>
      </c>
    </row>
    <row r="159" spans="1:17" x14ac:dyDescent="0.25">
      <c r="A159" s="382"/>
      <c r="B159" s="237" t="s">
        <v>119</v>
      </c>
      <c r="C159" s="382"/>
      <c r="D159" s="219">
        <v>52</v>
      </c>
      <c r="E159" s="219">
        <v>0</v>
      </c>
      <c r="F159" s="219">
        <v>852</v>
      </c>
      <c r="G159" s="1" t="s">
        <v>36</v>
      </c>
      <c r="H159" s="18" t="s">
        <v>72</v>
      </c>
      <c r="I159" s="18" t="s">
        <v>233</v>
      </c>
      <c r="J159" s="1" t="s">
        <v>89</v>
      </c>
      <c r="K159" s="2">
        <f>'6 Вед15'!J233</f>
        <v>8331600</v>
      </c>
      <c r="L159" s="2">
        <v>9581600</v>
      </c>
      <c r="M159" s="2"/>
      <c r="N159" s="2">
        <f t="shared" si="70"/>
        <v>9581600</v>
      </c>
      <c r="O159" s="2">
        <v>9581600</v>
      </c>
      <c r="P159" s="15"/>
      <c r="Q159" s="2">
        <f t="shared" si="67"/>
        <v>9581600</v>
      </c>
    </row>
    <row r="160" spans="1:17" ht="15" customHeight="1" x14ac:dyDescent="0.25">
      <c r="A160" s="509" t="s">
        <v>132</v>
      </c>
      <c r="B160" s="509"/>
      <c r="C160" s="382"/>
      <c r="D160" s="219">
        <v>52</v>
      </c>
      <c r="E160" s="219">
        <v>0</v>
      </c>
      <c r="F160" s="219">
        <v>852</v>
      </c>
      <c r="G160" s="1" t="s">
        <v>36</v>
      </c>
      <c r="H160" s="1" t="s">
        <v>57</v>
      </c>
      <c r="I160" s="1" t="s">
        <v>236</v>
      </c>
      <c r="J160" s="1"/>
      <c r="K160" s="2">
        <f t="shared" ref="K160:O160" si="86">K161+K163+K165+K167</f>
        <v>9831800</v>
      </c>
      <c r="L160" s="2">
        <f t="shared" si="86"/>
        <v>9831800</v>
      </c>
      <c r="M160" s="2"/>
      <c r="N160" s="2">
        <f t="shared" si="70"/>
        <v>9831800</v>
      </c>
      <c r="O160" s="2">
        <f t="shared" si="86"/>
        <v>9831800</v>
      </c>
      <c r="P160" s="15"/>
      <c r="Q160" s="2">
        <f t="shared" si="67"/>
        <v>9831800</v>
      </c>
    </row>
    <row r="161" spans="1:17" ht="36.75" customHeight="1" x14ac:dyDescent="0.25">
      <c r="A161" s="15"/>
      <c r="B161" s="387" t="s">
        <v>21</v>
      </c>
      <c r="C161" s="219"/>
      <c r="D161" s="219">
        <v>52</v>
      </c>
      <c r="E161" s="219">
        <v>0</v>
      </c>
      <c r="F161" s="219">
        <v>852</v>
      </c>
      <c r="G161" s="1" t="s">
        <v>36</v>
      </c>
      <c r="H161" s="1" t="s">
        <v>57</v>
      </c>
      <c r="I161" s="1" t="s">
        <v>236</v>
      </c>
      <c r="J161" s="1" t="s">
        <v>23</v>
      </c>
      <c r="K161" s="2">
        <f t="shared" ref="K161:O161" si="87">K162</f>
        <v>2427300</v>
      </c>
      <c r="L161" s="2">
        <f t="shared" si="87"/>
        <v>2427300</v>
      </c>
      <c r="M161" s="2"/>
      <c r="N161" s="2">
        <f t="shared" si="70"/>
        <v>2427300</v>
      </c>
      <c r="O161" s="2">
        <f t="shared" si="87"/>
        <v>2427300</v>
      </c>
      <c r="P161" s="15"/>
      <c r="Q161" s="2">
        <f t="shared" si="67"/>
        <v>2427300</v>
      </c>
    </row>
    <row r="162" spans="1:17" ht="15.75" customHeight="1" x14ac:dyDescent="0.25">
      <c r="A162" s="15"/>
      <c r="B162" s="387" t="s">
        <v>24</v>
      </c>
      <c r="C162" s="219"/>
      <c r="D162" s="219">
        <v>52</v>
      </c>
      <c r="E162" s="219">
        <v>0</v>
      </c>
      <c r="F162" s="219">
        <v>852</v>
      </c>
      <c r="G162" s="1" t="s">
        <v>36</v>
      </c>
      <c r="H162" s="1" t="s">
        <v>57</v>
      </c>
      <c r="I162" s="1" t="s">
        <v>236</v>
      </c>
      <c r="J162" s="1" t="s">
        <v>25</v>
      </c>
      <c r="K162" s="2">
        <f>'6 Вед15'!J262</f>
        <v>2427300</v>
      </c>
      <c r="L162" s="2">
        <v>2427300</v>
      </c>
      <c r="M162" s="2"/>
      <c r="N162" s="2">
        <f t="shared" si="70"/>
        <v>2427300</v>
      </c>
      <c r="O162" s="2">
        <v>2427300</v>
      </c>
      <c r="P162" s="15"/>
      <c r="Q162" s="2">
        <f t="shared" si="67"/>
        <v>2427300</v>
      </c>
    </row>
    <row r="163" spans="1:17" ht="12" customHeight="1" x14ac:dyDescent="0.25">
      <c r="A163" s="387"/>
      <c r="B163" s="382" t="s">
        <v>27</v>
      </c>
      <c r="C163" s="387"/>
      <c r="D163" s="219">
        <v>52</v>
      </c>
      <c r="E163" s="219">
        <v>0</v>
      </c>
      <c r="F163" s="219">
        <v>852</v>
      </c>
      <c r="G163" s="1" t="s">
        <v>36</v>
      </c>
      <c r="H163" s="1" t="s">
        <v>57</v>
      </c>
      <c r="I163" s="1" t="s">
        <v>236</v>
      </c>
      <c r="J163" s="1" t="s">
        <v>28</v>
      </c>
      <c r="K163" s="2">
        <f t="shared" ref="K163:O163" si="88">K164</f>
        <v>505100</v>
      </c>
      <c r="L163" s="2">
        <f t="shared" si="88"/>
        <v>505100</v>
      </c>
      <c r="M163" s="2"/>
      <c r="N163" s="2">
        <f t="shared" si="70"/>
        <v>505100</v>
      </c>
      <c r="O163" s="2">
        <f t="shared" si="88"/>
        <v>505100</v>
      </c>
      <c r="P163" s="15"/>
      <c r="Q163" s="2">
        <f t="shared" si="67"/>
        <v>505100</v>
      </c>
    </row>
    <row r="164" spans="1:17" ht="24" customHeight="1" x14ac:dyDescent="0.25">
      <c r="A164" s="387"/>
      <c r="B164" s="382" t="s">
        <v>29</v>
      </c>
      <c r="C164" s="382"/>
      <c r="D164" s="219">
        <v>52</v>
      </c>
      <c r="E164" s="219">
        <v>0</v>
      </c>
      <c r="F164" s="219">
        <v>852</v>
      </c>
      <c r="G164" s="1" t="s">
        <v>36</v>
      </c>
      <c r="H164" s="1" t="s">
        <v>57</v>
      </c>
      <c r="I164" s="1" t="s">
        <v>236</v>
      </c>
      <c r="J164" s="1" t="s">
        <v>30</v>
      </c>
      <c r="K164" s="2">
        <f>'6 Вед15'!J264</f>
        <v>505100</v>
      </c>
      <c r="L164" s="2">
        <v>505100</v>
      </c>
      <c r="M164" s="2"/>
      <c r="N164" s="2">
        <f t="shared" si="70"/>
        <v>505100</v>
      </c>
      <c r="O164" s="2">
        <v>505100</v>
      </c>
      <c r="P164" s="15"/>
      <c r="Q164" s="2">
        <f t="shared" si="67"/>
        <v>505100</v>
      </c>
    </row>
    <row r="165" spans="1:17" ht="24" x14ac:dyDescent="0.25">
      <c r="A165" s="382"/>
      <c r="B165" s="382" t="s">
        <v>91</v>
      </c>
      <c r="C165" s="382"/>
      <c r="D165" s="219">
        <v>52</v>
      </c>
      <c r="E165" s="219">
        <v>0</v>
      </c>
      <c r="F165" s="219">
        <v>852</v>
      </c>
      <c r="G165" s="1" t="s">
        <v>36</v>
      </c>
      <c r="H165" s="1" t="s">
        <v>57</v>
      </c>
      <c r="I165" s="1" t="s">
        <v>236</v>
      </c>
      <c r="J165" s="1" t="s">
        <v>87</v>
      </c>
      <c r="K165" s="2">
        <f t="shared" ref="K165:O165" si="89">K166</f>
        <v>6887400</v>
      </c>
      <c r="L165" s="2">
        <f t="shared" si="89"/>
        <v>6887400</v>
      </c>
      <c r="M165" s="2"/>
      <c r="N165" s="2">
        <f t="shared" si="70"/>
        <v>6887400</v>
      </c>
      <c r="O165" s="2">
        <f t="shared" si="89"/>
        <v>6887400</v>
      </c>
      <c r="P165" s="15"/>
      <c r="Q165" s="2">
        <f t="shared" si="67"/>
        <v>6887400</v>
      </c>
    </row>
    <row r="166" spans="1:17" ht="36" x14ac:dyDescent="0.25">
      <c r="A166" s="382"/>
      <c r="B166" s="382" t="s">
        <v>88</v>
      </c>
      <c r="C166" s="382"/>
      <c r="D166" s="219">
        <v>52</v>
      </c>
      <c r="E166" s="219">
        <v>0</v>
      </c>
      <c r="F166" s="219">
        <v>852</v>
      </c>
      <c r="G166" s="1" t="s">
        <v>36</v>
      </c>
      <c r="H166" s="1" t="s">
        <v>57</v>
      </c>
      <c r="I166" s="1" t="s">
        <v>236</v>
      </c>
      <c r="J166" s="1" t="s">
        <v>89</v>
      </c>
      <c r="K166" s="2">
        <f>'6 Вед15'!J266</f>
        <v>6887400</v>
      </c>
      <c r="L166" s="2">
        <v>6887400</v>
      </c>
      <c r="M166" s="2"/>
      <c r="N166" s="2">
        <f t="shared" si="70"/>
        <v>6887400</v>
      </c>
      <c r="O166" s="2">
        <v>6887400</v>
      </c>
      <c r="P166" s="15"/>
      <c r="Q166" s="2">
        <f t="shared" si="67"/>
        <v>6887400</v>
      </c>
    </row>
    <row r="167" spans="1:17" ht="12" customHeight="1" x14ac:dyDescent="0.25">
      <c r="A167" s="382"/>
      <c r="B167" s="382" t="s">
        <v>31</v>
      </c>
      <c r="C167" s="382"/>
      <c r="D167" s="219">
        <v>52</v>
      </c>
      <c r="E167" s="219">
        <v>0</v>
      </c>
      <c r="F167" s="219">
        <v>852</v>
      </c>
      <c r="G167" s="1" t="s">
        <v>36</v>
      </c>
      <c r="H167" s="1" t="s">
        <v>57</v>
      </c>
      <c r="I167" s="1" t="s">
        <v>236</v>
      </c>
      <c r="J167" s="1" t="s">
        <v>32</v>
      </c>
      <c r="K167" s="2">
        <f t="shared" ref="K167:O167" si="90">K168</f>
        <v>12000</v>
      </c>
      <c r="L167" s="2">
        <f t="shared" si="90"/>
        <v>12000</v>
      </c>
      <c r="M167" s="2"/>
      <c r="N167" s="2">
        <f t="shared" si="70"/>
        <v>12000</v>
      </c>
      <c r="O167" s="2">
        <f t="shared" si="90"/>
        <v>12000</v>
      </c>
      <c r="P167" s="15"/>
      <c r="Q167" s="2">
        <f t="shared" si="67"/>
        <v>12000</v>
      </c>
    </row>
    <row r="168" spans="1:17" ht="15" customHeight="1" x14ac:dyDescent="0.25">
      <c r="A168" s="382"/>
      <c r="B168" s="382" t="s">
        <v>33</v>
      </c>
      <c r="C168" s="382"/>
      <c r="D168" s="219">
        <v>52</v>
      </c>
      <c r="E168" s="219">
        <v>0</v>
      </c>
      <c r="F168" s="219">
        <v>852</v>
      </c>
      <c r="G168" s="1" t="s">
        <v>36</v>
      </c>
      <c r="H168" s="1" t="s">
        <v>57</v>
      </c>
      <c r="I168" s="1" t="s">
        <v>236</v>
      </c>
      <c r="J168" s="1" t="s">
        <v>34</v>
      </c>
      <c r="K168" s="2">
        <f>'6 Вед15'!J268</f>
        <v>12000</v>
      </c>
      <c r="L168" s="2">
        <v>12000</v>
      </c>
      <c r="M168" s="2"/>
      <c r="N168" s="2">
        <f t="shared" si="70"/>
        <v>12000</v>
      </c>
      <c r="O168" s="2">
        <v>12000</v>
      </c>
      <c r="P168" s="15"/>
      <c r="Q168" s="2">
        <f t="shared" si="67"/>
        <v>12000</v>
      </c>
    </row>
    <row r="169" spans="1:17" ht="47.25" customHeight="1" x14ac:dyDescent="0.25">
      <c r="A169" s="509" t="s">
        <v>45</v>
      </c>
      <c r="B169" s="509"/>
      <c r="C169" s="219"/>
      <c r="D169" s="219">
        <v>52</v>
      </c>
      <c r="E169" s="219">
        <v>0</v>
      </c>
      <c r="F169" s="219">
        <v>852</v>
      </c>
      <c r="G169" s="1" t="s">
        <v>0</v>
      </c>
      <c r="H169" s="1" t="s">
        <v>1</v>
      </c>
      <c r="I169" s="1" t="s">
        <v>210</v>
      </c>
      <c r="J169" s="1"/>
      <c r="K169" s="2">
        <f t="shared" ref="K169:O169" si="91">K170+K172</f>
        <v>510800</v>
      </c>
      <c r="L169" s="2">
        <f t="shared" si="91"/>
        <v>510800</v>
      </c>
      <c r="M169" s="2"/>
      <c r="N169" s="2">
        <f t="shared" si="70"/>
        <v>510800</v>
      </c>
      <c r="O169" s="2">
        <f t="shared" si="91"/>
        <v>510800</v>
      </c>
      <c r="P169" s="15"/>
      <c r="Q169" s="2">
        <f t="shared" si="67"/>
        <v>510800</v>
      </c>
    </row>
    <row r="170" spans="1:17" ht="39" customHeight="1" x14ac:dyDescent="0.25">
      <c r="A170" s="15"/>
      <c r="B170" s="387" t="s">
        <v>21</v>
      </c>
      <c r="C170" s="219"/>
      <c r="D170" s="219">
        <v>52</v>
      </c>
      <c r="E170" s="219">
        <v>0</v>
      </c>
      <c r="F170" s="219">
        <v>852</v>
      </c>
      <c r="G170" s="18" t="s">
        <v>0</v>
      </c>
      <c r="H170" s="18" t="s">
        <v>1</v>
      </c>
      <c r="I170" s="18" t="s">
        <v>210</v>
      </c>
      <c r="J170" s="1" t="s">
        <v>23</v>
      </c>
      <c r="K170" s="2">
        <f t="shared" ref="K170:O170" si="92">K171</f>
        <v>379550</v>
      </c>
      <c r="L170" s="2">
        <f t="shared" si="92"/>
        <v>431934</v>
      </c>
      <c r="M170" s="2"/>
      <c r="N170" s="2">
        <f t="shared" si="70"/>
        <v>431934</v>
      </c>
      <c r="O170" s="2">
        <f t="shared" si="92"/>
        <v>431934</v>
      </c>
      <c r="P170" s="15"/>
      <c r="Q170" s="2">
        <f t="shared" si="67"/>
        <v>431934</v>
      </c>
    </row>
    <row r="171" spans="1:17" ht="15" customHeight="1" x14ac:dyDescent="0.25">
      <c r="A171" s="15"/>
      <c r="B171" s="387" t="s">
        <v>24</v>
      </c>
      <c r="C171" s="219"/>
      <c r="D171" s="219">
        <v>52</v>
      </c>
      <c r="E171" s="219">
        <v>0</v>
      </c>
      <c r="F171" s="219">
        <v>852</v>
      </c>
      <c r="G171" s="18" t="s">
        <v>0</v>
      </c>
      <c r="H171" s="18" t="s">
        <v>1</v>
      </c>
      <c r="I171" s="18" t="s">
        <v>210</v>
      </c>
      <c r="J171" s="1" t="s">
        <v>25</v>
      </c>
      <c r="K171" s="2">
        <f>'6 Вед15'!J296</f>
        <v>379550</v>
      </c>
      <c r="L171" s="2">
        <v>431934</v>
      </c>
      <c r="M171" s="2"/>
      <c r="N171" s="2">
        <f t="shared" si="70"/>
        <v>431934</v>
      </c>
      <c r="O171" s="2">
        <v>431934</v>
      </c>
      <c r="P171" s="15"/>
      <c r="Q171" s="2">
        <f t="shared" si="67"/>
        <v>431934</v>
      </c>
    </row>
    <row r="172" spans="1:17" ht="15" customHeight="1" x14ac:dyDescent="0.25">
      <c r="A172" s="15"/>
      <c r="B172" s="382" t="s">
        <v>27</v>
      </c>
      <c r="C172" s="219"/>
      <c r="D172" s="219">
        <v>52</v>
      </c>
      <c r="E172" s="219">
        <v>0</v>
      </c>
      <c r="F172" s="219">
        <v>852</v>
      </c>
      <c r="G172" s="18" t="s">
        <v>0</v>
      </c>
      <c r="H172" s="18" t="s">
        <v>1</v>
      </c>
      <c r="I172" s="18" t="s">
        <v>210</v>
      </c>
      <c r="J172" s="1" t="s">
        <v>28</v>
      </c>
      <c r="K172" s="2">
        <f t="shared" ref="K172:O172" si="93">K173</f>
        <v>131250</v>
      </c>
      <c r="L172" s="2">
        <f t="shared" si="93"/>
        <v>78866</v>
      </c>
      <c r="M172" s="2"/>
      <c r="N172" s="2">
        <f t="shared" si="70"/>
        <v>78866</v>
      </c>
      <c r="O172" s="2">
        <f t="shared" si="93"/>
        <v>78866</v>
      </c>
      <c r="P172" s="15"/>
      <c r="Q172" s="2">
        <f t="shared" si="67"/>
        <v>78866</v>
      </c>
    </row>
    <row r="173" spans="1:17" ht="26.25" customHeight="1" x14ac:dyDescent="0.25">
      <c r="A173" s="15"/>
      <c r="B173" s="382" t="s">
        <v>29</v>
      </c>
      <c r="C173" s="219"/>
      <c r="D173" s="219">
        <v>52</v>
      </c>
      <c r="E173" s="219">
        <v>0</v>
      </c>
      <c r="F173" s="219">
        <v>852</v>
      </c>
      <c r="G173" s="18" t="s">
        <v>0</v>
      </c>
      <c r="H173" s="18" t="s">
        <v>1</v>
      </c>
      <c r="I173" s="18" t="s">
        <v>210</v>
      </c>
      <c r="J173" s="1" t="s">
        <v>30</v>
      </c>
      <c r="K173" s="2">
        <f>'6 Вед15'!J298</f>
        <v>131250</v>
      </c>
      <c r="L173" s="2">
        <v>78866</v>
      </c>
      <c r="M173" s="2"/>
      <c r="N173" s="2">
        <f t="shared" si="70"/>
        <v>78866</v>
      </c>
      <c r="O173" s="2">
        <v>78866</v>
      </c>
      <c r="P173" s="15"/>
      <c r="Q173" s="2">
        <f t="shared" si="67"/>
        <v>78866</v>
      </c>
    </row>
    <row r="174" spans="1:17" s="13" customFormat="1" ht="48" customHeight="1" x14ac:dyDescent="0.25">
      <c r="A174" s="509" t="s">
        <v>127</v>
      </c>
      <c r="B174" s="509"/>
      <c r="C174" s="385"/>
      <c r="D174" s="219">
        <v>52</v>
      </c>
      <c r="E174" s="219">
        <v>0</v>
      </c>
      <c r="F174" s="219">
        <v>852</v>
      </c>
      <c r="G174" s="1" t="s">
        <v>36</v>
      </c>
      <c r="H174" s="1" t="s">
        <v>72</v>
      </c>
      <c r="I174" s="1" t="s">
        <v>234</v>
      </c>
      <c r="J174" s="1"/>
      <c r="K174" s="2">
        <f t="shared" ref="K174:O175" si="94">K175</f>
        <v>66777336</v>
      </c>
      <c r="L174" s="2">
        <f t="shared" si="94"/>
        <v>66777336</v>
      </c>
      <c r="M174" s="2"/>
      <c r="N174" s="2">
        <f t="shared" si="70"/>
        <v>66777336</v>
      </c>
      <c r="O174" s="2">
        <f t="shared" si="94"/>
        <v>66777336</v>
      </c>
      <c r="P174" s="390"/>
      <c r="Q174" s="2">
        <f t="shared" si="67"/>
        <v>66777336</v>
      </c>
    </row>
    <row r="175" spans="1:17" s="13" customFormat="1" ht="25.5" customHeight="1" x14ac:dyDescent="0.25">
      <c r="A175" s="382"/>
      <c r="B175" s="382" t="s">
        <v>91</v>
      </c>
      <c r="C175" s="385"/>
      <c r="D175" s="219">
        <v>52</v>
      </c>
      <c r="E175" s="219">
        <v>0</v>
      </c>
      <c r="F175" s="219">
        <v>852</v>
      </c>
      <c r="G175" s="1" t="s">
        <v>36</v>
      </c>
      <c r="H175" s="1" t="s">
        <v>72</v>
      </c>
      <c r="I175" s="1" t="s">
        <v>234</v>
      </c>
      <c r="J175" s="1" t="s">
        <v>87</v>
      </c>
      <c r="K175" s="2">
        <f t="shared" si="94"/>
        <v>66777336</v>
      </c>
      <c r="L175" s="2">
        <f t="shared" si="94"/>
        <v>66777336</v>
      </c>
      <c r="M175" s="2"/>
      <c r="N175" s="2">
        <f t="shared" si="70"/>
        <v>66777336</v>
      </c>
      <c r="O175" s="2">
        <f t="shared" si="94"/>
        <v>66777336</v>
      </c>
      <c r="P175" s="390"/>
      <c r="Q175" s="2">
        <f t="shared" si="67"/>
        <v>66777336</v>
      </c>
    </row>
    <row r="176" spans="1:17" s="13" customFormat="1" ht="35.25" customHeight="1" x14ac:dyDescent="0.25">
      <c r="A176" s="382"/>
      <c r="B176" s="382" t="s">
        <v>88</v>
      </c>
      <c r="C176" s="382"/>
      <c r="D176" s="219">
        <v>52</v>
      </c>
      <c r="E176" s="219">
        <v>0</v>
      </c>
      <c r="F176" s="219">
        <v>852</v>
      </c>
      <c r="G176" s="1" t="s">
        <v>36</v>
      </c>
      <c r="H176" s="1" t="s">
        <v>72</v>
      </c>
      <c r="I176" s="1" t="s">
        <v>234</v>
      </c>
      <c r="J176" s="1" t="s">
        <v>89</v>
      </c>
      <c r="K176" s="2">
        <f>'6 Вед15'!J236</f>
        <v>66777336</v>
      </c>
      <c r="L176" s="2">
        <v>66777336</v>
      </c>
      <c r="M176" s="2"/>
      <c r="N176" s="2">
        <f t="shared" si="70"/>
        <v>66777336</v>
      </c>
      <c r="O176" s="2">
        <v>66777336</v>
      </c>
      <c r="P176" s="390"/>
      <c r="Q176" s="2">
        <f t="shared" si="67"/>
        <v>66777336</v>
      </c>
    </row>
    <row r="177" spans="1:17" s="13" customFormat="1" ht="25.5" customHeight="1" x14ac:dyDescent="0.25">
      <c r="A177" s="509" t="s">
        <v>500</v>
      </c>
      <c r="B177" s="509"/>
      <c r="C177" s="385"/>
      <c r="D177" s="219">
        <v>52</v>
      </c>
      <c r="E177" s="219">
        <v>0</v>
      </c>
      <c r="F177" s="219">
        <v>852</v>
      </c>
      <c r="G177" s="1" t="s">
        <v>36</v>
      </c>
      <c r="H177" s="1" t="s">
        <v>17</v>
      </c>
      <c r="I177" s="1" t="s">
        <v>229</v>
      </c>
      <c r="J177" s="1"/>
      <c r="K177" s="2">
        <f t="shared" ref="K177:O178" si="95">K178</f>
        <v>21495027</v>
      </c>
      <c r="L177" s="2">
        <f t="shared" si="95"/>
        <v>21495027</v>
      </c>
      <c r="M177" s="2"/>
      <c r="N177" s="2">
        <f t="shared" si="70"/>
        <v>21495027</v>
      </c>
      <c r="O177" s="2">
        <f t="shared" si="95"/>
        <v>21495027</v>
      </c>
      <c r="P177" s="390"/>
      <c r="Q177" s="2">
        <f t="shared" si="67"/>
        <v>21495027</v>
      </c>
    </row>
    <row r="178" spans="1:17" s="13" customFormat="1" ht="24" x14ac:dyDescent="0.25">
      <c r="A178" s="385"/>
      <c r="B178" s="382" t="s">
        <v>91</v>
      </c>
      <c r="C178" s="385"/>
      <c r="D178" s="219">
        <v>52</v>
      </c>
      <c r="E178" s="219">
        <v>0</v>
      </c>
      <c r="F178" s="219">
        <v>852</v>
      </c>
      <c r="G178" s="1" t="s">
        <v>36</v>
      </c>
      <c r="H178" s="1" t="s">
        <v>17</v>
      </c>
      <c r="I178" s="1" t="s">
        <v>229</v>
      </c>
      <c r="J178" s="1" t="s">
        <v>87</v>
      </c>
      <c r="K178" s="2">
        <f t="shared" si="95"/>
        <v>21495027</v>
      </c>
      <c r="L178" s="2">
        <f t="shared" si="95"/>
        <v>21495027</v>
      </c>
      <c r="M178" s="2"/>
      <c r="N178" s="2">
        <f t="shared" si="70"/>
        <v>21495027</v>
      </c>
      <c r="O178" s="2">
        <f t="shared" si="95"/>
        <v>21495027</v>
      </c>
      <c r="P178" s="390"/>
      <c r="Q178" s="2">
        <f t="shared" si="67"/>
        <v>21495027</v>
      </c>
    </row>
    <row r="179" spans="1:17" s="13" customFormat="1" ht="36" x14ac:dyDescent="0.25">
      <c r="A179" s="385"/>
      <c r="B179" s="382" t="s">
        <v>88</v>
      </c>
      <c r="C179" s="385"/>
      <c r="D179" s="219">
        <v>52</v>
      </c>
      <c r="E179" s="219">
        <v>0</v>
      </c>
      <c r="F179" s="219">
        <v>852</v>
      </c>
      <c r="G179" s="1" t="s">
        <v>36</v>
      </c>
      <c r="H179" s="1" t="s">
        <v>17</v>
      </c>
      <c r="I179" s="1" t="s">
        <v>229</v>
      </c>
      <c r="J179" s="1" t="s">
        <v>89</v>
      </c>
      <c r="K179" s="2">
        <f>'6 Вед15'!J217</f>
        <v>21495027</v>
      </c>
      <c r="L179" s="2">
        <v>21495027</v>
      </c>
      <c r="M179" s="2"/>
      <c r="N179" s="2">
        <f t="shared" si="70"/>
        <v>21495027</v>
      </c>
      <c r="O179" s="2">
        <v>21495027</v>
      </c>
      <c r="P179" s="390"/>
      <c r="Q179" s="2">
        <f t="shared" si="67"/>
        <v>21495027</v>
      </c>
    </row>
    <row r="180" spans="1:17" s="13" customFormat="1" ht="39" customHeight="1" x14ac:dyDescent="0.25">
      <c r="A180" s="509" t="s">
        <v>113</v>
      </c>
      <c r="B180" s="509"/>
      <c r="C180" s="385"/>
      <c r="D180" s="219">
        <v>52</v>
      </c>
      <c r="E180" s="219">
        <v>0</v>
      </c>
      <c r="F180" s="219">
        <v>852</v>
      </c>
      <c r="G180" s="1" t="s">
        <v>36</v>
      </c>
      <c r="H180" s="1" t="s">
        <v>17</v>
      </c>
      <c r="I180" s="1" t="s">
        <v>230</v>
      </c>
      <c r="J180" s="1"/>
      <c r="K180" s="2">
        <f t="shared" ref="K180:O180" si="96">K181+K183</f>
        <v>4690260</v>
      </c>
      <c r="L180" s="2">
        <f t="shared" si="96"/>
        <v>4690260</v>
      </c>
      <c r="M180" s="2"/>
      <c r="N180" s="2">
        <f t="shared" si="70"/>
        <v>4690260</v>
      </c>
      <c r="O180" s="2">
        <f t="shared" si="96"/>
        <v>4690260</v>
      </c>
      <c r="P180" s="390"/>
      <c r="Q180" s="2">
        <f t="shared" ref="Q180:Q243" si="97">O180+P180</f>
        <v>4690260</v>
      </c>
    </row>
    <row r="181" spans="1:17" s="13" customFormat="1" ht="24" x14ac:dyDescent="0.25">
      <c r="A181" s="385"/>
      <c r="B181" s="382" t="s">
        <v>91</v>
      </c>
      <c r="C181" s="385"/>
      <c r="D181" s="219">
        <v>52</v>
      </c>
      <c r="E181" s="219">
        <v>0</v>
      </c>
      <c r="F181" s="219">
        <v>852</v>
      </c>
      <c r="G181" s="1" t="s">
        <v>36</v>
      </c>
      <c r="H181" s="1" t="s">
        <v>17</v>
      </c>
      <c r="I181" s="1" t="s">
        <v>230</v>
      </c>
      <c r="J181" s="1" t="s">
        <v>87</v>
      </c>
      <c r="K181" s="2">
        <f t="shared" ref="K181:O181" si="98">K182</f>
        <v>3291200</v>
      </c>
      <c r="L181" s="2">
        <f t="shared" si="98"/>
        <v>3291200</v>
      </c>
      <c r="M181" s="2"/>
      <c r="N181" s="2">
        <f t="shared" si="70"/>
        <v>3291200</v>
      </c>
      <c r="O181" s="2">
        <f t="shared" si="98"/>
        <v>3291200</v>
      </c>
      <c r="P181" s="390"/>
      <c r="Q181" s="2">
        <f t="shared" si="97"/>
        <v>3291200</v>
      </c>
    </row>
    <row r="182" spans="1:17" s="13" customFormat="1" ht="36" x14ac:dyDescent="0.25">
      <c r="A182" s="385"/>
      <c r="B182" s="382" t="s">
        <v>88</v>
      </c>
      <c r="C182" s="385"/>
      <c r="D182" s="219">
        <v>52</v>
      </c>
      <c r="E182" s="219">
        <v>0</v>
      </c>
      <c r="F182" s="219">
        <v>852</v>
      </c>
      <c r="G182" s="1" t="s">
        <v>36</v>
      </c>
      <c r="H182" s="1" t="s">
        <v>17</v>
      </c>
      <c r="I182" s="1" t="s">
        <v>230</v>
      </c>
      <c r="J182" s="1" t="s">
        <v>89</v>
      </c>
      <c r="K182" s="2">
        <f>'6 Вед15'!J220+'6 Вед15'!J242</f>
        <v>3291200</v>
      </c>
      <c r="L182" s="2">
        <v>3291200</v>
      </c>
      <c r="M182" s="2"/>
      <c r="N182" s="2">
        <f t="shared" si="70"/>
        <v>3291200</v>
      </c>
      <c r="O182" s="2">
        <v>3291200</v>
      </c>
      <c r="P182" s="390"/>
      <c r="Q182" s="2">
        <f t="shared" si="97"/>
        <v>3291200</v>
      </c>
    </row>
    <row r="183" spans="1:17" x14ac:dyDescent="0.25">
      <c r="A183" s="15"/>
      <c r="B183" s="387" t="s">
        <v>99</v>
      </c>
      <c r="C183" s="387"/>
      <c r="D183" s="219">
        <v>52</v>
      </c>
      <c r="E183" s="219">
        <v>0</v>
      </c>
      <c r="F183" s="219">
        <v>852</v>
      </c>
      <c r="G183" s="1" t="s">
        <v>0</v>
      </c>
      <c r="H183" s="1" t="s">
        <v>6</v>
      </c>
      <c r="I183" s="1" t="s">
        <v>230</v>
      </c>
      <c r="J183" s="1" t="s">
        <v>100</v>
      </c>
      <c r="K183" s="2">
        <f t="shared" ref="K183:O183" si="99">K184</f>
        <v>1399060</v>
      </c>
      <c r="L183" s="2">
        <f t="shared" si="99"/>
        <v>1399060</v>
      </c>
      <c r="M183" s="2"/>
      <c r="N183" s="2">
        <f t="shared" si="70"/>
        <v>1399060</v>
      </c>
      <c r="O183" s="2">
        <f t="shared" si="99"/>
        <v>1399060</v>
      </c>
      <c r="P183" s="15"/>
      <c r="Q183" s="2">
        <f t="shared" si="97"/>
        <v>1399060</v>
      </c>
    </row>
    <row r="184" spans="1:17" s="13" customFormat="1" ht="24" customHeight="1" x14ac:dyDescent="0.25">
      <c r="A184" s="382"/>
      <c r="B184" s="382" t="s">
        <v>134</v>
      </c>
      <c r="C184" s="385"/>
      <c r="D184" s="219">
        <v>52</v>
      </c>
      <c r="E184" s="219">
        <v>0</v>
      </c>
      <c r="F184" s="219">
        <v>852</v>
      </c>
      <c r="G184" s="1" t="s">
        <v>36</v>
      </c>
      <c r="H184" s="1" t="s">
        <v>57</v>
      </c>
      <c r="I184" s="1" t="s">
        <v>230</v>
      </c>
      <c r="J184" s="1" t="s">
        <v>101</v>
      </c>
      <c r="K184" s="2">
        <f>'6 Вед15'!J272</f>
        <v>1399060</v>
      </c>
      <c r="L184" s="2">
        <v>1399060</v>
      </c>
      <c r="M184" s="2"/>
      <c r="N184" s="2">
        <f t="shared" si="70"/>
        <v>1399060</v>
      </c>
      <c r="O184" s="2">
        <v>1399060</v>
      </c>
      <c r="P184" s="390"/>
      <c r="Q184" s="2">
        <f t="shared" si="97"/>
        <v>1399060</v>
      </c>
    </row>
    <row r="185" spans="1:17" ht="36.75" customHeight="1" x14ac:dyDescent="0.25">
      <c r="A185" s="509" t="s">
        <v>469</v>
      </c>
      <c r="B185" s="509"/>
      <c r="C185" s="385"/>
      <c r="D185" s="219">
        <v>52</v>
      </c>
      <c r="E185" s="219">
        <v>0</v>
      </c>
      <c r="F185" s="219">
        <v>852</v>
      </c>
      <c r="G185" s="1" t="s">
        <v>0</v>
      </c>
      <c r="H185" s="1" t="s">
        <v>6</v>
      </c>
      <c r="I185" s="1" t="s">
        <v>239</v>
      </c>
      <c r="J185" s="11"/>
      <c r="K185" s="2">
        <f t="shared" ref="K185:O186" si="100">K186</f>
        <v>836736</v>
      </c>
      <c r="L185" s="2">
        <f t="shared" si="100"/>
        <v>836736</v>
      </c>
      <c r="M185" s="2"/>
      <c r="N185" s="2">
        <f t="shared" ref="N185:N248" si="101">L185+M185</f>
        <v>836736</v>
      </c>
      <c r="O185" s="2">
        <f t="shared" si="100"/>
        <v>836736</v>
      </c>
      <c r="P185" s="15"/>
      <c r="Q185" s="2">
        <f t="shared" si="97"/>
        <v>836736</v>
      </c>
    </row>
    <row r="186" spans="1:17" x14ac:dyDescent="0.25">
      <c r="A186" s="15"/>
      <c r="B186" s="387" t="s">
        <v>99</v>
      </c>
      <c r="C186" s="387"/>
      <c r="D186" s="219">
        <v>52</v>
      </c>
      <c r="E186" s="219">
        <v>0</v>
      </c>
      <c r="F186" s="219">
        <v>852</v>
      </c>
      <c r="G186" s="1" t="s">
        <v>0</v>
      </c>
      <c r="H186" s="1" t="s">
        <v>6</v>
      </c>
      <c r="I186" s="1" t="s">
        <v>239</v>
      </c>
      <c r="J186" s="1" t="s">
        <v>100</v>
      </c>
      <c r="K186" s="2">
        <f t="shared" si="100"/>
        <v>836736</v>
      </c>
      <c r="L186" s="2">
        <f t="shared" si="100"/>
        <v>836736</v>
      </c>
      <c r="M186" s="2"/>
      <c r="N186" s="2">
        <f t="shared" si="101"/>
        <v>836736</v>
      </c>
      <c r="O186" s="2">
        <f t="shared" si="100"/>
        <v>836736</v>
      </c>
      <c r="P186" s="15"/>
      <c r="Q186" s="2">
        <f t="shared" si="97"/>
        <v>836736</v>
      </c>
    </row>
    <row r="187" spans="1:17" ht="24" x14ac:dyDescent="0.25">
      <c r="A187" s="382"/>
      <c r="B187" s="387" t="s">
        <v>134</v>
      </c>
      <c r="C187" s="387"/>
      <c r="D187" s="219">
        <v>52</v>
      </c>
      <c r="E187" s="219">
        <v>0</v>
      </c>
      <c r="F187" s="219">
        <v>852</v>
      </c>
      <c r="G187" s="1" t="s">
        <v>0</v>
      </c>
      <c r="H187" s="1" t="s">
        <v>6</v>
      </c>
      <c r="I187" s="1" t="s">
        <v>239</v>
      </c>
      <c r="J187" s="1" t="s">
        <v>101</v>
      </c>
      <c r="K187" s="2">
        <f>'6 Вед15'!J284</f>
        <v>836736</v>
      </c>
      <c r="L187" s="2">
        <v>836736</v>
      </c>
      <c r="M187" s="2"/>
      <c r="N187" s="2">
        <f t="shared" si="101"/>
        <v>836736</v>
      </c>
      <c r="O187" s="2">
        <v>836736</v>
      </c>
      <c r="P187" s="15"/>
      <c r="Q187" s="2">
        <f t="shared" si="97"/>
        <v>836736</v>
      </c>
    </row>
    <row r="188" spans="1:17" ht="25.5" customHeight="1" x14ac:dyDescent="0.25">
      <c r="A188" s="509" t="s">
        <v>135</v>
      </c>
      <c r="B188" s="509"/>
      <c r="C188" s="385"/>
      <c r="D188" s="219">
        <v>52</v>
      </c>
      <c r="E188" s="219">
        <v>0</v>
      </c>
      <c r="F188" s="219">
        <v>852</v>
      </c>
      <c r="G188" s="1" t="s">
        <v>0</v>
      </c>
      <c r="H188" s="1" t="s">
        <v>3</v>
      </c>
      <c r="I188" s="1" t="s">
        <v>237</v>
      </c>
      <c r="J188" s="11"/>
      <c r="K188" s="2">
        <f t="shared" ref="K188:O189" si="102">K189</f>
        <v>93000</v>
      </c>
      <c r="L188" s="2">
        <f t="shared" si="102"/>
        <v>87000</v>
      </c>
      <c r="M188" s="2"/>
      <c r="N188" s="2">
        <f t="shared" si="101"/>
        <v>87000</v>
      </c>
      <c r="O188" s="2">
        <f t="shared" si="102"/>
        <v>87000</v>
      </c>
      <c r="P188" s="15"/>
      <c r="Q188" s="2">
        <f t="shared" si="97"/>
        <v>87000</v>
      </c>
    </row>
    <row r="189" spans="1:17" x14ac:dyDescent="0.25">
      <c r="A189" s="15"/>
      <c r="B189" s="387" t="s">
        <v>99</v>
      </c>
      <c r="C189" s="387"/>
      <c r="D189" s="219">
        <v>52</v>
      </c>
      <c r="E189" s="219">
        <v>0</v>
      </c>
      <c r="F189" s="219">
        <v>852</v>
      </c>
      <c r="G189" s="1" t="s">
        <v>0</v>
      </c>
      <c r="H189" s="1" t="s">
        <v>3</v>
      </c>
      <c r="I189" s="1" t="s">
        <v>237</v>
      </c>
      <c r="J189" s="1" t="s">
        <v>100</v>
      </c>
      <c r="K189" s="2">
        <f t="shared" si="102"/>
        <v>93000</v>
      </c>
      <c r="L189" s="2">
        <f t="shared" si="102"/>
        <v>87000</v>
      </c>
      <c r="M189" s="2"/>
      <c r="N189" s="2">
        <f t="shared" si="101"/>
        <v>87000</v>
      </c>
      <c r="O189" s="2">
        <f t="shared" si="102"/>
        <v>87000</v>
      </c>
      <c r="P189" s="15"/>
      <c r="Q189" s="2">
        <f t="shared" si="97"/>
        <v>87000</v>
      </c>
    </row>
    <row r="190" spans="1:17" ht="24" x14ac:dyDescent="0.25">
      <c r="A190" s="382"/>
      <c r="B190" s="387" t="s">
        <v>134</v>
      </c>
      <c r="C190" s="387"/>
      <c r="D190" s="219">
        <v>52</v>
      </c>
      <c r="E190" s="219">
        <v>0</v>
      </c>
      <c r="F190" s="219">
        <v>852</v>
      </c>
      <c r="G190" s="1" t="s">
        <v>0</v>
      </c>
      <c r="H190" s="1" t="s">
        <v>3</v>
      </c>
      <c r="I190" s="1" t="s">
        <v>237</v>
      </c>
      <c r="J190" s="1" t="s">
        <v>101</v>
      </c>
      <c r="K190" s="2">
        <f>'6 Вед15'!J280</f>
        <v>93000</v>
      </c>
      <c r="L190" s="2">
        <v>87000</v>
      </c>
      <c r="M190" s="2"/>
      <c r="N190" s="2">
        <f t="shared" si="101"/>
        <v>87000</v>
      </c>
      <c r="O190" s="2">
        <v>87000</v>
      </c>
      <c r="P190" s="15"/>
      <c r="Q190" s="2">
        <f t="shared" si="97"/>
        <v>87000</v>
      </c>
    </row>
    <row r="191" spans="1:17" ht="46.5" customHeight="1" x14ac:dyDescent="0.25">
      <c r="A191" s="530" t="s">
        <v>2</v>
      </c>
      <c r="B191" s="530"/>
      <c r="C191" s="387"/>
      <c r="D191" s="219">
        <v>52</v>
      </c>
      <c r="E191" s="219">
        <v>0</v>
      </c>
      <c r="F191" s="219">
        <v>852</v>
      </c>
      <c r="G191" s="1" t="s">
        <v>0</v>
      </c>
      <c r="H191" s="1" t="s">
        <v>6</v>
      </c>
      <c r="I191" s="1" t="s">
        <v>238</v>
      </c>
      <c r="J191" s="1"/>
      <c r="K191" s="2">
        <f t="shared" ref="K191:O191" si="103">K192+K194+K196+K198</f>
        <v>7634300</v>
      </c>
      <c r="L191" s="2">
        <f t="shared" si="103"/>
        <v>7732600</v>
      </c>
      <c r="M191" s="2"/>
      <c r="N191" s="2">
        <f t="shared" si="101"/>
        <v>7732600</v>
      </c>
      <c r="O191" s="2">
        <f t="shared" si="103"/>
        <v>7732600</v>
      </c>
      <c r="P191" s="15"/>
      <c r="Q191" s="2">
        <f t="shared" si="97"/>
        <v>7732600</v>
      </c>
    </row>
    <row r="192" spans="1:17" ht="41.25" customHeight="1" x14ac:dyDescent="0.25">
      <c r="A192" s="382"/>
      <c r="B192" s="387" t="s">
        <v>21</v>
      </c>
      <c r="C192" s="382"/>
      <c r="D192" s="219">
        <v>52</v>
      </c>
      <c r="E192" s="219">
        <v>0</v>
      </c>
      <c r="F192" s="219">
        <v>852</v>
      </c>
      <c r="G192" s="18" t="s">
        <v>0</v>
      </c>
      <c r="H192" s="18" t="s">
        <v>1</v>
      </c>
      <c r="I192" s="18" t="s">
        <v>238</v>
      </c>
      <c r="J192" s="1" t="s">
        <v>23</v>
      </c>
      <c r="K192" s="2">
        <f t="shared" ref="K192:O192" si="104">K193</f>
        <v>420900</v>
      </c>
      <c r="L192" s="2">
        <f t="shared" si="104"/>
        <v>420900</v>
      </c>
      <c r="M192" s="2"/>
      <c r="N192" s="2">
        <f t="shared" si="101"/>
        <v>420900</v>
      </c>
      <c r="O192" s="2">
        <f t="shared" si="104"/>
        <v>420900</v>
      </c>
      <c r="P192" s="15"/>
      <c r="Q192" s="2">
        <f t="shared" si="97"/>
        <v>420900</v>
      </c>
    </row>
    <row r="193" spans="1:17" ht="15" customHeight="1" x14ac:dyDescent="0.25">
      <c r="A193" s="15"/>
      <c r="B193" s="387" t="s">
        <v>24</v>
      </c>
      <c r="C193" s="387"/>
      <c r="D193" s="219">
        <v>52</v>
      </c>
      <c r="E193" s="219">
        <v>0</v>
      </c>
      <c r="F193" s="219">
        <v>852</v>
      </c>
      <c r="G193" s="18" t="s">
        <v>0</v>
      </c>
      <c r="H193" s="18" t="s">
        <v>1</v>
      </c>
      <c r="I193" s="18" t="s">
        <v>238</v>
      </c>
      <c r="J193" s="1" t="s">
        <v>25</v>
      </c>
      <c r="K193" s="2">
        <f>'6 Вед15'!J301</f>
        <v>420900</v>
      </c>
      <c r="L193" s="2">
        <v>420900</v>
      </c>
      <c r="M193" s="2"/>
      <c r="N193" s="2">
        <f t="shared" si="101"/>
        <v>420900</v>
      </c>
      <c r="O193" s="2">
        <v>420900</v>
      </c>
      <c r="P193" s="15"/>
      <c r="Q193" s="2">
        <f t="shared" si="97"/>
        <v>420900</v>
      </c>
    </row>
    <row r="194" spans="1:17" ht="15" customHeight="1" x14ac:dyDescent="0.25">
      <c r="A194" s="15"/>
      <c r="B194" s="382" t="s">
        <v>27</v>
      </c>
      <c r="C194" s="387"/>
      <c r="D194" s="219">
        <v>52</v>
      </c>
      <c r="E194" s="219">
        <v>0</v>
      </c>
      <c r="F194" s="219">
        <v>852</v>
      </c>
      <c r="G194" s="18" t="s">
        <v>0</v>
      </c>
      <c r="H194" s="18" t="s">
        <v>1</v>
      </c>
      <c r="I194" s="18" t="s">
        <v>238</v>
      </c>
      <c r="J194" s="1" t="s">
        <v>28</v>
      </c>
      <c r="K194" s="2">
        <f t="shared" ref="K194:O194" si="105">K195</f>
        <v>237100</v>
      </c>
      <c r="L194" s="2">
        <f t="shared" si="105"/>
        <v>237100</v>
      </c>
      <c r="M194" s="2"/>
      <c r="N194" s="2">
        <f t="shared" si="101"/>
        <v>237100</v>
      </c>
      <c r="O194" s="2">
        <f t="shared" si="105"/>
        <v>237100</v>
      </c>
      <c r="P194" s="15"/>
      <c r="Q194" s="2">
        <f t="shared" si="97"/>
        <v>237100</v>
      </c>
    </row>
    <row r="195" spans="1:17" ht="25.5" customHeight="1" x14ac:dyDescent="0.25">
      <c r="A195" s="15"/>
      <c r="B195" s="382" t="s">
        <v>29</v>
      </c>
      <c r="C195" s="382"/>
      <c r="D195" s="219">
        <v>52</v>
      </c>
      <c r="E195" s="219">
        <v>0</v>
      </c>
      <c r="F195" s="219">
        <v>852</v>
      </c>
      <c r="G195" s="18" t="s">
        <v>0</v>
      </c>
      <c r="H195" s="18" t="s">
        <v>1</v>
      </c>
      <c r="I195" s="18" t="s">
        <v>238</v>
      </c>
      <c r="J195" s="1" t="s">
        <v>30</v>
      </c>
      <c r="K195" s="2">
        <f>'6 Вед15'!J303</f>
        <v>237100</v>
      </c>
      <c r="L195" s="2">
        <v>237100</v>
      </c>
      <c r="M195" s="2"/>
      <c r="N195" s="2">
        <f t="shared" si="101"/>
        <v>237100</v>
      </c>
      <c r="O195" s="2">
        <v>237100</v>
      </c>
      <c r="P195" s="15"/>
      <c r="Q195" s="2">
        <f t="shared" si="97"/>
        <v>237100</v>
      </c>
    </row>
    <row r="196" spans="1:17" ht="15" customHeight="1" x14ac:dyDescent="0.25">
      <c r="A196" s="15"/>
      <c r="B196" s="382" t="s">
        <v>27</v>
      </c>
      <c r="C196" s="387"/>
      <c r="D196" s="219">
        <v>52</v>
      </c>
      <c r="E196" s="219">
        <v>0</v>
      </c>
      <c r="F196" s="219">
        <v>852</v>
      </c>
      <c r="G196" s="1" t="s">
        <v>137</v>
      </c>
      <c r="H196" s="1" t="s">
        <v>6</v>
      </c>
      <c r="I196" s="1" t="s">
        <v>238</v>
      </c>
      <c r="J196" s="1" t="s">
        <v>28</v>
      </c>
      <c r="K196" s="2">
        <f t="shared" ref="K196:O196" si="106">K197</f>
        <v>1795108</v>
      </c>
      <c r="L196" s="2">
        <f t="shared" si="106"/>
        <v>1795108</v>
      </c>
      <c r="M196" s="2"/>
      <c r="N196" s="2">
        <f t="shared" si="101"/>
        <v>1795108</v>
      </c>
      <c r="O196" s="2">
        <f t="shared" si="106"/>
        <v>1795108</v>
      </c>
      <c r="P196" s="15"/>
      <c r="Q196" s="2">
        <f t="shared" si="97"/>
        <v>1795108</v>
      </c>
    </row>
    <row r="197" spans="1:17" ht="24" x14ac:dyDescent="0.25">
      <c r="A197" s="15"/>
      <c r="B197" s="382" t="s">
        <v>29</v>
      </c>
      <c r="C197" s="382"/>
      <c r="D197" s="219">
        <v>52</v>
      </c>
      <c r="E197" s="219">
        <v>0</v>
      </c>
      <c r="F197" s="219">
        <v>852</v>
      </c>
      <c r="G197" s="1" t="s">
        <v>137</v>
      </c>
      <c r="H197" s="1" t="s">
        <v>6</v>
      </c>
      <c r="I197" s="1" t="s">
        <v>238</v>
      </c>
      <c r="J197" s="1" t="s">
        <v>30</v>
      </c>
      <c r="K197" s="2">
        <f>'6 Вед15'!J287</f>
        <v>1795108</v>
      </c>
      <c r="L197" s="2">
        <v>1795108</v>
      </c>
      <c r="M197" s="2"/>
      <c r="N197" s="2">
        <f t="shared" si="101"/>
        <v>1795108</v>
      </c>
      <c r="O197" s="2">
        <v>1795108</v>
      </c>
      <c r="P197" s="15"/>
      <c r="Q197" s="2">
        <f t="shared" si="97"/>
        <v>1795108</v>
      </c>
    </row>
    <row r="198" spans="1:17" x14ac:dyDescent="0.25">
      <c r="A198" s="241"/>
      <c r="B198" s="387" t="s">
        <v>99</v>
      </c>
      <c r="C198" s="387"/>
      <c r="D198" s="219">
        <v>52</v>
      </c>
      <c r="E198" s="219">
        <v>0</v>
      </c>
      <c r="F198" s="219">
        <v>852</v>
      </c>
      <c r="G198" s="1" t="s">
        <v>0</v>
      </c>
      <c r="H198" s="1" t="s">
        <v>6</v>
      </c>
      <c r="I198" s="1" t="s">
        <v>238</v>
      </c>
      <c r="J198" s="1" t="s">
        <v>100</v>
      </c>
      <c r="K198" s="2">
        <f t="shared" ref="K198:O198" si="107">K199</f>
        <v>5181192</v>
      </c>
      <c r="L198" s="2">
        <f t="shared" si="107"/>
        <v>5279492</v>
      </c>
      <c r="M198" s="2"/>
      <c r="N198" s="2">
        <f t="shared" si="101"/>
        <v>5279492</v>
      </c>
      <c r="O198" s="2">
        <f t="shared" si="107"/>
        <v>5279492</v>
      </c>
      <c r="P198" s="15"/>
      <c r="Q198" s="2">
        <f t="shared" si="97"/>
        <v>5279492</v>
      </c>
    </row>
    <row r="199" spans="1:17" ht="24" x14ac:dyDescent="0.25">
      <c r="A199" s="241"/>
      <c r="B199" s="387" t="s">
        <v>252</v>
      </c>
      <c r="C199" s="387"/>
      <c r="D199" s="219">
        <v>52</v>
      </c>
      <c r="E199" s="219">
        <v>0</v>
      </c>
      <c r="F199" s="219">
        <v>852</v>
      </c>
      <c r="G199" s="1" t="s">
        <v>0</v>
      </c>
      <c r="H199" s="1" t="s">
        <v>6</v>
      </c>
      <c r="I199" s="1" t="s">
        <v>238</v>
      </c>
      <c r="J199" s="1" t="s">
        <v>8</v>
      </c>
      <c r="K199" s="2">
        <f>'6 Вед15'!J289</f>
        <v>5181192</v>
      </c>
      <c r="L199" s="2">
        <v>5279492</v>
      </c>
      <c r="M199" s="2"/>
      <c r="N199" s="2">
        <f t="shared" si="101"/>
        <v>5279492</v>
      </c>
      <c r="O199" s="2">
        <v>5279492</v>
      </c>
      <c r="P199" s="15"/>
      <c r="Q199" s="2">
        <f t="shared" si="97"/>
        <v>5279492</v>
      </c>
    </row>
    <row r="200" spans="1:17" ht="12" customHeight="1" x14ac:dyDescent="0.25">
      <c r="A200" s="509" t="s">
        <v>117</v>
      </c>
      <c r="B200" s="509"/>
      <c r="C200" s="382"/>
      <c r="D200" s="219">
        <v>52</v>
      </c>
      <c r="E200" s="219">
        <v>0</v>
      </c>
      <c r="F200" s="219">
        <v>852</v>
      </c>
      <c r="G200" s="18" t="s">
        <v>36</v>
      </c>
      <c r="H200" s="1" t="s">
        <v>17</v>
      </c>
      <c r="I200" s="1" t="s">
        <v>219</v>
      </c>
      <c r="J200" s="1"/>
      <c r="K200" s="2">
        <f t="shared" ref="K200:O201" si="108">K201</f>
        <v>1110000</v>
      </c>
      <c r="L200" s="2">
        <f t="shared" si="108"/>
        <v>1421000</v>
      </c>
      <c r="M200" s="2"/>
      <c r="N200" s="2">
        <f t="shared" si="101"/>
        <v>1421000</v>
      </c>
      <c r="O200" s="2">
        <f t="shared" si="108"/>
        <v>1421000</v>
      </c>
      <c r="P200" s="15"/>
      <c r="Q200" s="2">
        <f t="shared" si="97"/>
        <v>1421000</v>
      </c>
    </row>
    <row r="201" spans="1:17" ht="23.25" customHeight="1" x14ac:dyDescent="0.25">
      <c r="A201" s="382"/>
      <c r="B201" s="382" t="s">
        <v>91</v>
      </c>
      <c r="C201" s="382"/>
      <c r="D201" s="219">
        <v>52</v>
      </c>
      <c r="E201" s="219">
        <v>0</v>
      </c>
      <c r="F201" s="219">
        <v>852</v>
      </c>
      <c r="G201" s="1" t="s">
        <v>36</v>
      </c>
      <c r="H201" s="1" t="s">
        <v>17</v>
      </c>
      <c r="I201" s="1" t="s">
        <v>219</v>
      </c>
      <c r="J201" s="1" t="s">
        <v>87</v>
      </c>
      <c r="K201" s="2">
        <f t="shared" si="108"/>
        <v>1110000</v>
      </c>
      <c r="L201" s="2">
        <f t="shared" si="108"/>
        <v>1421000</v>
      </c>
      <c r="M201" s="2"/>
      <c r="N201" s="2">
        <f t="shared" si="101"/>
        <v>1421000</v>
      </c>
      <c r="O201" s="2">
        <f t="shared" si="108"/>
        <v>1421000</v>
      </c>
      <c r="P201" s="15"/>
      <c r="Q201" s="2">
        <f t="shared" si="97"/>
        <v>1421000</v>
      </c>
    </row>
    <row r="202" spans="1:17" x14ac:dyDescent="0.25">
      <c r="A202" s="387"/>
      <c r="B202" s="387" t="s">
        <v>119</v>
      </c>
      <c r="C202" s="387"/>
      <c r="D202" s="219">
        <v>52</v>
      </c>
      <c r="E202" s="219">
        <v>0</v>
      </c>
      <c r="F202" s="219">
        <v>852</v>
      </c>
      <c r="G202" s="1" t="s">
        <v>36</v>
      </c>
      <c r="H202" s="1" t="s">
        <v>17</v>
      </c>
      <c r="I202" s="1" t="s">
        <v>219</v>
      </c>
      <c r="J202" s="1" t="s">
        <v>120</v>
      </c>
      <c r="K202" s="2">
        <f>'6 Вед15'!J248</f>
        <v>1110000</v>
      </c>
      <c r="L202" s="2">
        <v>1421000</v>
      </c>
      <c r="M202" s="2"/>
      <c r="N202" s="2">
        <f t="shared" si="101"/>
        <v>1421000</v>
      </c>
      <c r="O202" s="2">
        <v>1421000</v>
      </c>
      <c r="P202" s="15"/>
      <c r="Q202" s="2">
        <f t="shared" si="97"/>
        <v>1421000</v>
      </c>
    </row>
    <row r="203" spans="1:17" ht="24.75" customHeight="1" x14ac:dyDescent="0.25">
      <c r="A203" s="509" t="s">
        <v>121</v>
      </c>
      <c r="B203" s="509"/>
      <c r="C203" s="382"/>
      <c r="D203" s="219">
        <v>52</v>
      </c>
      <c r="E203" s="219">
        <v>0</v>
      </c>
      <c r="F203" s="219">
        <v>852</v>
      </c>
      <c r="G203" s="18" t="s">
        <v>36</v>
      </c>
      <c r="H203" s="18" t="s">
        <v>17</v>
      </c>
      <c r="I203" s="18" t="s">
        <v>235</v>
      </c>
      <c r="J203" s="1"/>
      <c r="K203" s="2">
        <f t="shared" ref="K203:O204" si="109">K204</f>
        <v>1038500</v>
      </c>
      <c r="L203" s="2">
        <f t="shared" si="109"/>
        <v>727500</v>
      </c>
      <c r="M203" s="2"/>
      <c r="N203" s="2">
        <f t="shared" si="101"/>
        <v>727500</v>
      </c>
      <c r="O203" s="2">
        <f t="shared" si="109"/>
        <v>727500</v>
      </c>
      <c r="P203" s="15"/>
      <c r="Q203" s="2">
        <f t="shared" si="97"/>
        <v>727500</v>
      </c>
    </row>
    <row r="204" spans="1:17" ht="24" x14ac:dyDescent="0.25">
      <c r="A204" s="382"/>
      <c r="B204" s="382" t="s">
        <v>91</v>
      </c>
      <c r="C204" s="382"/>
      <c r="D204" s="219">
        <v>52</v>
      </c>
      <c r="E204" s="219">
        <v>0</v>
      </c>
      <c r="F204" s="219">
        <v>852</v>
      </c>
      <c r="G204" s="1" t="s">
        <v>36</v>
      </c>
      <c r="H204" s="1" t="s">
        <v>17</v>
      </c>
      <c r="I204" s="18" t="s">
        <v>235</v>
      </c>
      <c r="J204" s="1" t="s">
        <v>87</v>
      </c>
      <c r="K204" s="2">
        <f t="shared" si="109"/>
        <v>1038500</v>
      </c>
      <c r="L204" s="2">
        <f t="shared" si="109"/>
        <v>727500</v>
      </c>
      <c r="M204" s="2"/>
      <c r="N204" s="2">
        <f t="shared" si="101"/>
        <v>727500</v>
      </c>
      <c r="O204" s="2">
        <f t="shared" si="109"/>
        <v>727500</v>
      </c>
      <c r="P204" s="15"/>
      <c r="Q204" s="2">
        <f t="shared" si="97"/>
        <v>727500</v>
      </c>
    </row>
    <row r="205" spans="1:17" x14ac:dyDescent="0.25">
      <c r="A205" s="387"/>
      <c r="B205" s="387" t="s">
        <v>119</v>
      </c>
      <c r="C205" s="387"/>
      <c r="D205" s="219">
        <v>52</v>
      </c>
      <c r="E205" s="219">
        <v>0</v>
      </c>
      <c r="F205" s="219">
        <v>852</v>
      </c>
      <c r="G205" s="1" t="s">
        <v>36</v>
      </c>
      <c r="H205" s="1" t="s">
        <v>17</v>
      </c>
      <c r="I205" s="18" t="s">
        <v>235</v>
      </c>
      <c r="J205" s="1" t="s">
        <v>120</v>
      </c>
      <c r="K205" s="2">
        <f>'6 Вед15'!J226+'6 Вед15'!J251</f>
        <v>1038500</v>
      </c>
      <c r="L205" s="2">
        <v>727500</v>
      </c>
      <c r="M205" s="2"/>
      <c r="N205" s="2">
        <f t="shared" si="101"/>
        <v>727500</v>
      </c>
      <c r="O205" s="2">
        <v>727500</v>
      </c>
      <c r="P205" s="15"/>
      <c r="Q205" s="2">
        <f t="shared" si="97"/>
        <v>727500</v>
      </c>
    </row>
    <row r="206" spans="1:17" ht="24" customHeight="1" x14ac:dyDescent="0.25">
      <c r="A206" s="509" t="s">
        <v>130</v>
      </c>
      <c r="B206" s="509"/>
      <c r="C206" s="382"/>
      <c r="D206" s="219">
        <v>52</v>
      </c>
      <c r="E206" s="219">
        <v>0</v>
      </c>
      <c r="F206" s="219">
        <v>852</v>
      </c>
      <c r="G206" s="1" t="s">
        <v>36</v>
      </c>
      <c r="H206" s="1" t="s">
        <v>36</v>
      </c>
      <c r="I206" s="1" t="s">
        <v>431</v>
      </c>
      <c r="J206" s="1"/>
      <c r="K206" s="2">
        <f t="shared" ref="K206:O207" si="110">K207</f>
        <v>122200</v>
      </c>
      <c r="L206" s="2">
        <f t="shared" si="110"/>
        <v>122200</v>
      </c>
      <c r="M206" s="2"/>
      <c r="N206" s="2">
        <f t="shared" si="101"/>
        <v>122200</v>
      </c>
      <c r="O206" s="2">
        <f t="shared" si="110"/>
        <v>122200</v>
      </c>
      <c r="P206" s="15"/>
      <c r="Q206" s="2">
        <f t="shared" si="97"/>
        <v>122200</v>
      </c>
    </row>
    <row r="207" spans="1:17" ht="12.75" customHeight="1" x14ac:dyDescent="0.25">
      <c r="A207" s="15"/>
      <c r="B207" s="382" t="s">
        <v>27</v>
      </c>
      <c r="C207" s="387"/>
      <c r="D207" s="219">
        <v>52</v>
      </c>
      <c r="E207" s="219">
        <v>0</v>
      </c>
      <c r="F207" s="219">
        <v>852</v>
      </c>
      <c r="G207" s="1" t="s">
        <v>36</v>
      </c>
      <c r="H207" s="1" t="s">
        <v>36</v>
      </c>
      <c r="I207" s="1" t="s">
        <v>431</v>
      </c>
      <c r="J207" s="1" t="s">
        <v>28</v>
      </c>
      <c r="K207" s="2">
        <f t="shared" si="110"/>
        <v>122200</v>
      </c>
      <c r="L207" s="2">
        <f t="shared" si="110"/>
        <v>122200</v>
      </c>
      <c r="M207" s="2"/>
      <c r="N207" s="2">
        <f t="shared" si="101"/>
        <v>122200</v>
      </c>
      <c r="O207" s="2">
        <f t="shared" si="110"/>
        <v>122200</v>
      </c>
      <c r="P207" s="15"/>
      <c r="Q207" s="2">
        <f t="shared" si="97"/>
        <v>122200</v>
      </c>
    </row>
    <row r="208" spans="1:17" ht="26.25" customHeight="1" x14ac:dyDescent="0.25">
      <c r="A208" s="15"/>
      <c r="B208" s="382" t="s">
        <v>29</v>
      </c>
      <c r="C208" s="382"/>
      <c r="D208" s="219">
        <v>52</v>
      </c>
      <c r="E208" s="219">
        <v>0</v>
      </c>
      <c r="F208" s="219">
        <v>852</v>
      </c>
      <c r="G208" s="1" t="s">
        <v>36</v>
      </c>
      <c r="H208" s="1" t="s">
        <v>36</v>
      </c>
      <c r="I208" s="1" t="s">
        <v>431</v>
      </c>
      <c r="J208" s="1" t="s">
        <v>30</v>
      </c>
      <c r="K208" s="2">
        <f>'6 Вед15'!J255</f>
        <v>122200</v>
      </c>
      <c r="L208" s="2">
        <v>122200</v>
      </c>
      <c r="M208" s="2"/>
      <c r="N208" s="2">
        <f t="shared" si="101"/>
        <v>122200</v>
      </c>
      <c r="O208" s="2">
        <v>122200</v>
      </c>
      <c r="P208" s="15"/>
      <c r="Q208" s="2">
        <f t="shared" si="97"/>
        <v>122200</v>
      </c>
    </row>
    <row r="209" spans="1:18" ht="48.75" customHeight="1" x14ac:dyDescent="0.25">
      <c r="A209" s="509" t="s">
        <v>5</v>
      </c>
      <c r="B209" s="509"/>
      <c r="C209" s="387"/>
      <c r="D209" s="219">
        <v>52</v>
      </c>
      <c r="E209" s="219">
        <v>0</v>
      </c>
      <c r="F209" s="219">
        <v>852</v>
      </c>
      <c r="G209" s="1" t="s">
        <v>0</v>
      </c>
      <c r="H209" s="1" t="s">
        <v>6</v>
      </c>
      <c r="I209" s="1" t="s">
        <v>240</v>
      </c>
      <c r="J209" s="1"/>
      <c r="K209" s="2">
        <f t="shared" ref="K209:O210" si="111">K210</f>
        <v>158000</v>
      </c>
      <c r="L209" s="2">
        <f t="shared" si="111"/>
        <v>210100</v>
      </c>
      <c r="M209" s="2"/>
      <c r="N209" s="2">
        <f t="shared" si="101"/>
        <v>210100</v>
      </c>
      <c r="O209" s="2">
        <f t="shared" si="111"/>
        <v>203900</v>
      </c>
      <c r="P209" s="15"/>
      <c r="Q209" s="2">
        <f t="shared" si="97"/>
        <v>203900</v>
      </c>
    </row>
    <row r="210" spans="1:18" x14ac:dyDescent="0.25">
      <c r="A210" s="241"/>
      <c r="B210" s="387" t="s">
        <v>99</v>
      </c>
      <c r="C210" s="387"/>
      <c r="D210" s="219">
        <v>52</v>
      </c>
      <c r="E210" s="219">
        <v>0</v>
      </c>
      <c r="F210" s="219">
        <v>852</v>
      </c>
      <c r="G210" s="1" t="s">
        <v>0</v>
      </c>
      <c r="H210" s="1" t="s">
        <v>6</v>
      </c>
      <c r="I210" s="1" t="s">
        <v>240</v>
      </c>
      <c r="J210" s="1" t="s">
        <v>100</v>
      </c>
      <c r="K210" s="2">
        <f t="shared" si="111"/>
        <v>158000</v>
      </c>
      <c r="L210" s="2">
        <f t="shared" si="111"/>
        <v>210100</v>
      </c>
      <c r="M210" s="2"/>
      <c r="N210" s="2">
        <f t="shared" si="101"/>
        <v>210100</v>
      </c>
      <c r="O210" s="2">
        <f t="shared" si="111"/>
        <v>203900</v>
      </c>
      <c r="P210" s="15"/>
      <c r="Q210" s="2">
        <f t="shared" si="97"/>
        <v>203900</v>
      </c>
    </row>
    <row r="211" spans="1:18" ht="24" x14ac:dyDescent="0.25">
      <c r="A211" s="241"/>
      <c r="B211" s="387" t="s">
        <v>252</v>
      </c>
      <c r="C211" s="387"/>
      <c r="D211" s="219">
        <v>52</v>
      </c>
      <c r="E211" s="219">
        <v>0</v>
      </c>
      <c r="F211" s="219">
        <v>852</v>
      </c>
      <c r="G211" s="1" t="s">
        <v>0</v>
      </c>
      <c r="H211" s="1" t="s">
        <v>6</v>
      </c>
      <c r="I211" s="1" t="s">
        <v>240</v>
      </c>
      <c r="J211" s="1" t="s">
        <v>8</v>
      </c>
      <c r="K211" s="2">
        <f>'6 Вед15'!J292</f>
        <v>158000</v>
      </c>
      <c r="L211" s="2">
        <v>210100</v>
      </c>
      <c r="M211" s="2"/>
      <c r="N211" s="2">
        <f t="shared" si="101"/>
        <v>210100</v>
      </c>
      <c r="O211" s="2">
        <v>203900</v>
      </c>
      <c r="P211" s="15"/>
      <c r="Q211" s="2">
        <f t="shared" si="97"/>
        <v>203900</v>
      </c>
    </row>
    <row r="212" spans="1:18" ht="24.75" customHeight="1" x14ac:dyDescent="0.25">
      <c r="A212" s="531" t="s">
        <v>509</v>
      </c>
      <c r="B212" s="531"/>
      <c r="C212" s="384"/>
      <c r="D212" s="389">
        <v>53</v>
      </c>
      <c r="E212" s="219"/>
      <c r="F212" s="389"/>
      <c r="G212" s="34"/>
      <c r="H212" s="34"/>
      <c r="I212" s="34"/>
      <c r="J212" s="7"/>
      <c r="K212" s="8">
        <f t="shared" ref="K212" si="112">K213</f>
        <v>19120517</v>
      </c>
      <c r="L212" s="8">
        <v>23312299</v>
      </c>
      <c r="M212" s="8">
        <v>-1278900</v>
      </c>
      <c r="N212" s="8">
        <f t="shared" si="101"/>
        <v>22033399</v>
      </c>
      <c r="O212" s="8">
        <v>19326467</v>
      </c>
      <c r="P212" s="394">
        <v>-883900</v>
      </c>
      <c r="Q212" s="8">
        <f t="shared" si="97"/>
        <v>18442567</v>
      </c>
    </row>
    <row r="213" spans="1:18" x14ac:dyDescent="0.25">
      <c r="A213" s="508" t="s">
        <v>143</v>
      </c>
      <c r="B213" s="508"/>
      <c r="C213" s="16"/>
      <c r="D213" s="16">
        <v>53</v>
      </c>
      <c r="E213" s="16">
        <v>0</v>
      </c>
      <c r="F213" s="16">
        <v>853</v>
      </c>
      <c r="G213" s="1"/>
      <c r="H213" s="1"/>
      <c r="I213" s="1"/>
      <c r="J213" s="1"/>
      <c r="K213" s="245">
        <f>K214+K222+K225+K228+K231+K234</f>
        <v>19120517</v>
      </c>
      <c r="L213" s="12">
        <v>23312299</v>
      </c>
      <c r="M213" s="12">
        <v>-1278900</v>
      </c>
      <c r="N213" s="12">
        <f t="shared" si="101"/>
        <v>22033399</v>
      </c>
      <c r="O213" s="12">
        <v>19326467</v>
      </c>
      <c r="P213" s="395">
        <v>-883900</v>
      </c>
      <c r="Q213" s="12">
        <f t="shared" si="97"/>
        <v>18442567</v>
      </c>
      <c r="R213" s="13"/>
    </row>
    <row r="214" spans="1:18" ht="27" customHeight="1" x14ac:dyDescent="0.25">
      <c r="A214" s="509" t="s">
        <v>26</v>
      </c>
      <c r="B214" s="509"/>
      <c r="C214" s="219"/>
      <c r="D214" s="219">
        <v>53</v>
      </c>
      <c r="E214" s="219">
        <v>0</v>
      </c>
      <c r="F214" s="63">
        <v>853</v>
      </c>
      <c r="G214" s="1" t="s">
        <v>22</v>
      </c>
      <c r="H214" s="1" t="s">
        <v>1</v>
      </c>
      <c r="I214" s="1" t="s">
        <v>435</v>
      </c>
      <c r="J214" s="1"/>
      <c r="K214" s="2">
        <f t="shared" ref="K214:O214" si="113">K215+K217+K219</f>
        <v>3735300</v>
      </c>
      <c r="L214" s="2">
        <f t="shared" si="113"/>
        <v>3420500</v>
      </c>
      <c r="M214" s="2"/>
      <c r="N214" s="2">
        <f t="shared" si="101"/>
        <v>3420500</v>
      </c>
      <c r="O214" s="2">
        <f t="shared" si="113"/>
        <v>3735300</v>
      </c>
      <c r="P214" s="15"/>
      <c r="Q214" s="2">
        <f t="shared" si="97"/>
        <v>3735300</v>
      </c>
    </row>
    <row r="215" spans="1:18" ht="36" customHeight="1" x14ac:dyDescent="0.25">
      <c r="A215" s="15"/>
      <c r="B215" s="387" t="s">
        <v>21</v>
      </c>
      <c r="C215" s="219"/>
      <c r="D215" s="219">
        <v>53</v>
      </c>
      <c r="E215" s="219">
        <v>0</v>
      </c>
      <c r="F215" s="63">
        <v>853</v>
      </c>
      <c r="G215" s="1" t="s">
        <v>17</v>
      </c>
      <c r="H215" s="1" t="s">
        <v>1</v>
      </c>
      <c r="I215" s="1" t="s">
        <v>435</v>
      </c>
      <c r="J215" s="1" t="s">
        <v>23</v>
      </c>
      <c r="K215" s="2">
        <f t="shared" ref="K215:O215" si="114">K216</f>
        <v>3406500</v>
      </c>
      <c r="L215" s="2">
        <f t="shared" si="114"/>
        <v>3406500</v>
      </c>
      <c r="M215" s="2"/>
      <c r="N215" s="2">
        <f t="shared" si="101"/>
        <v>3406500</v>
      </c>
      <c r="O215" s="2">
        <f t="shared" si="114"/>
        <v>3406500</v>
      </c>
      <c r="P215" s="15"/>
      <c r="Q215" s="2">
        <f t="shared" si="97"/>
        <v>3406500</v>
      </c>
    </row>
    <row r="216" spans="1:18" ht="15.75" customHeight="1" x14ac:dyDescent="0.25">
      <c r="A216" s="15"/>
      <c r="B216" s="387" t="s">
        <v>24</v>
      </c>
      <c r="C216" s="219"/>
      <c r="D216" s="219">
        <v>53</v>
      </c>
      <c r="E216" s="219">
        <v>0</v>
      </c>
      <c r="F216" s="63">
        <v>853</v>
      </c>
      <c r="G216" s="1" t="s">
        <v>17</v>
      </c>
      <c r="H216" s="1" t="s">
        <v>1</v>
      </c>
      <c r="I216" s="1" t="s">
        <v>435</v>
      </c>
      <c r="J216" s="1" t="s">
        <v>25</v>
      </c>
      <c r="K216" s="2">
        <f>'6 Вед15'!J309</f>
        <v>3406500</v>
      </c>
      <c r="L216" s="2">
        <v>3406500</v>
      </c>
      <c r="M216" s="2"/>
      <c r="N216" s="2">
        <f t="shared" si="101"/>
        <v>3406500</v>
      </c>
      <c r="O216" s="2">
        <v>3406500</v>
      </c>
      <c r="P216" s="15"/>
      <c r="Q216" s="2">
        <f t="shared" si="97"/>
        <v>3406500</v>
      </c>
    </row>
    <row r="217" spans="1:18" ht="15.75" customHeight="1" x14ac:dyDescent="0.25">
      <c r="A217" s="15"/>
      <c r="B217" s="382" t="s">
        <v>27</v>
      </c>
      <c r="C217" s="219"/>
      <c r="D217" s="219">
        <v>53</v>
      </c>
      <c r="E217" s="219">
        <v>0</v>
      </c>
      <c r="F217" s="63">
        <v>853</v>
      </c>
      <c r="G217" s="1" t="s">
        <v>17</v>
      </c>
      <c r="H217" s="1" t="s">
        <v>1</v>
      </c>
      <c r="I217" s="1" t="s">
        <v>435</v>
      </c>
      <c r="J217" s="1" t="s">
        <v>28</v>
      </c>
      <c r="K217" s="2">
        <f>'6 Вед15'!J310</f>
        <v>314800</v>
      </c>
      <c r="L217" s="2">
        <f>'6 Вед15'!K310</f>
        <v>0</v>
      </c>
      <c r="M217" s="2"/>
      <c r="N217" s="2">
        <f t="shared" si="101"/>
        <v>0</v>
      </c>
      <c r="O217" s="2">
        <f>'6 Вед15'!L310</f>
        <v>314800</v>
      </c>
      <c r="P217" s="15"/>
      <c r="Q217" s="2">
        <f t="shared" si="97"/>
        <v>314800</v>
      </c>
    </row>
    <row r="218" spans="1:18" ht="25.5" customHeight="1" x14ac:dyDescent="0.25">
      <c r="A218" s="15"/>
      <c r="B218" s="382" t="s">
        <v>29</v>
      </c>
      <c r="C218" s="219"/>
      <c r="D218" s="219">
        <v>53</v>
      </c>
      <c r="E218" s="219">
        <v>0</v>
      </c>
      <c r="F218" s="63">
        <v>853</v>
      </c>
      <c r="G218" s="1" t="s">
        <v>17</v>
      </c>
      <c r="H218" s="1" t="s">
        <v>1</v>
      </c>
      <c r="I218" s="1" t="s">
        <v>435</v>
      </c>
      <c r="J218" s="1" t="s">
        <v>30</v>
      </c>
      <c r="K218" s="2">
        <f>'6 Вед15'!J311</f>
        <v>314800</v>
      </c>
      <c r="L218" s="2">
        <v>314800</v>
      </c>
      <c r="M218" s="2"/>
      <c r="N218" s="2">
        <f t="shared" si="101"/>
        <v>314800</v>
      </c>
      <c r="O218" s="2">
        <v>314800</v>
      </c>
      <c r="P218" s="15"/>
      <c r="Q218" s="2">
        <f t="shared" si="97"/>
        <v>314800</v>
      </c>
    </row>
    <row r="219" spans="1:18" ht="14.25" customHeight="1" x14ac:dyDescent="0.25">
      <c r="A219" s="15"/>
      <c r="B219" s="382" t="s">
        <v>31</v>
      </c>
      <c r="C219" s="219"/>
      <c r="D219" s="219">
        <v>53</v>
      </c>
      <c r="E219" s="219">
        <v>0</v>
      </c>
      <c r="F219" s="63">
        <v>853</v>
      </c>
      <c r="G219" s="1" t="s">
        <v>17</v>
      </c>
      <c r="H219" s="1" t="s">
        <v>1</v>
      </c>
      <c r="I219" s="1" t="s">
        <v>435</v>
      </c>
      <c r="J219" s="1" t="s">
        <v>32</v>
      </c>
      <c r="K219" s="2">
        <f>K220+K221</f>
        <v>14000</v>
      </c>
      <c r="L219" s="2">
        <f t="shared" ref="L219:O219" si="115">L220</f>
        <v>14000</v>
      </c>
      <c r="M219" s="2"/>
      <c r="N219" s="2">
        <f t="shared" si="101"/>
        <v>14000</v>
      </c>
      <c r="O219" s="2">
        <f t="shared" si="115"/>
        <v>14000</v>
      </c>
      <c r="P219" s="15"/>
      <c r="Q219" s="2">
        <f t="shared" si="97"/>
        <v>14000</v>
      </c>
    </row>
    <row r="220" spans="1:18" ht="14.25" customHeight="1" x14ac:dyDescent="0.25">
      <c r="A220" s="15"/>
      <c r="B220" s="382" t="s">
        <v>33</v>
      </c>
      <c r="C220" s="219"/>
      <c r="D220" s="219">
        <v>53</v>
      </c>
      <c r="E220" s="219">
        <v>0</v>
      </c>
      <c r="F220" s="63">
        <v>853</v>
      </c>
      <c r="G220" s="1" t="s">
        <v>17</v>
      </c>
      <c r="H220" s="1" t="s">
        <v>1</v>
      </c>
      <c r="I220" s="1" t="s">
        <v>435</v>
      </c>
      <c r="J220" s="1" t="s">
        <v>34</v>
      </c>
      <c r="K220" s="2">
        <f>'6 Вед15'!J313</f>
        <v>13870</v>
      </c>
      <c r="L220" s="2">
        <v>14000</v>
      </c>
      <c r="M220" s="2"/>
      <c r="N220" s="2">
        <f t="shared" si="101"/>
        <v>14000</v>
      </c>
      <c r="O220" s="2">
        <v>14000</v>
      </c>
      <c r="P220" s="15"/>
      <c r="Q220" s="2">
        <f t="shared" si="97"/>
        <v>14000</v>
      </c>
    </row>
    <row r="221" spans="1:18" ht="12.75" hidden="1" customHeight="1" x14ac:dyDescent="0.25">
      <c r="A221" s="15"/>
      <c r="B221" s="387" t="s">
        <v>466</v>
      </c>
      <c r="C221" s="219"/>
      <c r="D221" s="219">
        <v>53</v>
      </c>
      <c r="E221" s="219">
        <v>0</v>
      </c>
      <c r="F221" s="63">
        <v>853</v>
      </c>
      <c r="G221" s="1" t="s">
        <v>17</v>
      </c>
      <c r="H221" s="1" t="s">
        <v>1</v>
      </c>
      <c r="I221" s="1" t="s">
        <v>435</v>
      </c>
      <c r="J221" s="1" t="s">
        <v>35</v>
      </c>
      <c r="K221" s="2">
        <f>'6 Вед15'!J314</f>
        <v>130</v>
      </c>
      <c r="L221" s="2"/>
      <c r="M221" s="2"/>
      <c r="N221" s="2">
        <f t="shared" si="101"/>
        <v>0</v>
      </c>
      <c r="O221" s="2"/>
      <c r="P221" s="15"/>
      <c r="Q221" s="2">
        <f t="shared" si="97"/>
        <v>0</v>
      </c>
    </row>
    <row r="222" spans="1:18" ht="50.25" customHeight="1" x14ac:dyDescent="0.25">
      <c r="A222" s="509" t="s">
        <v>45</v>
      </c>
      <c r="B222" s="509"/>
      <c r="C222" s="219"/>
      <c r="D222" s="219">
        <v>53</v>
      </c>
      <c r="E222" s="219">
        <v>0</v>
      </c>
      <c r="F222" s="63">
        <v>853</v>
      </c>
      <c r="G222" s="1" t="s">
        <v>17</v>
      </c>
      <c r="H222" s="1" t="s">
        <v>44</v>
      </c>
      <c r="I222" s="1" t="s">
        <v>210</v>
      </c>
      <c r="J222" s="1"/>
      <c r="K222" s="2">
        <f t="shared" ref="K222:O223" si="116">K223</f>
        <v>200</v>
      </c>
      <c r="L222" s="2">
        <f t="shared" si="116"/>
        <v>200</v>
      </c>
      <c r="M222" s="2"/>
      <c r="N222" s="2">
        <f t="shared" si="101"/>
        <v>200</v>
      </c>
      <c r="O222" s="2">
        <f t="shared" si="116"/>
        <v>200</v>
      </c>
      <c r="P222" s="15"/>
      <c r="Q222" s="2">
        <f t="shared" si="97"/>
        <v>200</v>
      </c>
    </row>
    <row r="223" spans="1:18" x14ac:dyDescent="0.25">
      <c r="A223" s="15"/>
      <c r="B223" s="387" t="s">
        <v>145</v>
      </c>
      <c r="C223" s="387"/>
      <c r="D223" s="219">
        <v>53</v>
      </c>
      <c r="E223" s="219">
        <v>0</v>
      </c>
      <c r="F223" s="63">
        <v>853</v>
      </c>
      <c r="G223" s="1" t="s">
        <v>17</v>
      </c>
      <c r="H223" s="18" t="s">
        <v>44</v>
      </c>
      <c r="I223" s="18" t="s">
        <v>210</v>
      </c>
      <c r="J223" s="1" t="s">
        <v>146</v>
      </c>
      <c r="K223" s="2">
        <f t="shared" si="116"/>
        <v>200</v>
      </c>
      <c r="L223" s="2">
        <f t="shared" si="116"/>
        <v>200</v>
      </c>
      <c r="M223" s="2"/>
      <c r="N223" s="2">
        <f t="shared" si="101"/>
        <v>200</v>
      </c>
      <c r="O223" s="2">
        <f t="shared" si="116"/>
        <v>200</v>
      </c>
      <c r="P223" s="15"/>
      <c r="Q223" s="2">
        <f t="shared" si="97"/>
        <v>200</v>
      </c>
    </row>
    <row r="224" spans="1:18" x14ac:dyDescent="0.25">
      <c r="A224" s="15"/>
      <c r="B224" s="387" t="s">
        <v>147</v>
      </c>
      <c r="C224" s="387"/>
      <c r="D224" s="219">
        <v>53</v>
      </c>
      <c r="E224" s="219">
        <v>0</v>
      </c>
      <c r="F224" s="63">
        <v>853</v>
      </c>
      <c r="G224" s="1" t="s">
        <v>17</v>
      </c>
      <c r="H224" s="18" t="s">
        <v>44</v>
      </c>
      <c r="I224" s="18" t="s">
        <v>210</v>
      </c>
      <c r="J224" s="1" t="s">
        <v>148</v>
      </c>
      <c r="K224" s="2">
        <f>'6 Вед15'!J318</f>
        <v>200</v>
      </c>
      <c r="L224" s="2">
        <v>200</v>
      </c>
      <c r="M224" s="2"/>
      <c r="N224" s="2">
        <f t="shared" si="101"/>
        <v>200</v>
      </c>
      <c r="O224" s="2">
        <v>200</v>
      </c>
      <c r="P224" s="15"/>
      <c r="Q224" s="2">
        <f t="shared" si="97"/>
        <v>200</v>
      </c>
    </row>
    <row r="225" spans="1:17" ht="38.25" customHeight="1" x14ac:dyDescent="0.25">
      <c r="A225" s="509" t="s">
        <v>86</v>
      </c>
      <c r="B225" s="509"/>
      <c r="C225" s="382"/>
      <c r="D225" s="219">
        <v>53</v>
      </c>
      <c r="E225" s="219">
        <v>0</v>
      </c>
      <c r="F225" s="219">
        <v>853</v>
      </c>
      <c r="G225" s="1" t="s">
        <v>84</v>
      </c>
      <c r="H225" s="1" t="s">
        <v>17</v>
      </c>
      <c r="I225" s="1" t="s">
        <v>220</v>
      </c>
      <c r="J225" s="1"/>
      <c r="K225" s="2">
        <f t="shared" ref="K225:O226" si="117">K226</f>
        <v>95400</v>
      </c>
      <c r="L225" s="2">
        <f t="shared" si="117"/>
        <v>95400</v>
      </c>
      <c r="M225" s="2"/>
      <c r="N225" s="2">
        <f t="shared" si="101"/>
        <v>95400</v>
      </c>
      <c r="O225" s="2">
        <f t="shared" si="117"/>
        <v>95400</v>
      </c>
      <c r="P225" s="15"/>
      <c r="Q225" s="2">
        <f t="shared" si="97"/>
        <v>95400</v>
      </c>
    </row>
    <row r="226" spans="1:17" x14ac:dyDescent="0.25">
      <c r="A226" s="15"/>
      <c r="B226" s="382" t="s">
        <v>145</v>
      </c>
      <c r="C226" s="387"/>
      <c r="D226" s="219">
        <v>53</v>
      </c>
      <c r="E226" s="219">
        <v>0</v>
      </c>
      <c r="F226" s="63">
        <v>853</v>
      </c>
      <c r="G226" s="1" t="s">
        <v>84</v>
      </c>
      <c r="H226" s="1" t="s">
        <v>6</v>
      </c>
      <c r="I226" s="1" t="s">
        <v>220</v>
      </c>
      <c r="J226" s="1" t="s">
        <v>146</v>
      </c>
      <c r="K226" s="2">
        <f t="shared" si="117"/>
        <v>95400</v>
      </c>
      <c r="L226" s="2">
        <f t="shared" si="117"/>
        <v>95400</v>
      </c>
      <c r="M226" s="2"/>
      <c r="N226" s="2">
        <f t="shared" si="101"/>
        <v>95400</v>
      </c>
      <c r="O226" s="2">
        <f t="shared" si="117"/>
        <v>95400</v>
      </c>
      <c r="P226" s="15"/>
      <c r="Q226" s="2">
        <f t="shared" si="97"/>
        <v>95400</v>
      </c>
    </row>
    <row r="227" spans="1:17" x14ac:dyDescent="0.25">
      <c r="A227" s="382"/>
      <c r="B227" s="382" t="s">
        <v>147</v>
      </c>
      <c r="C227" s="382"/>
      <c r="D227" s="219">
        <v>53</v>
      </c>
      <c r="E227" s="219">
        <v>0</v>
      </c>
      <c r="F227" s="63">
        <v>853</v>
      </c>
      <c r="G227" s="1" t="s">
        <v>84</v>
      </c>
      <c r="H227" s="1" t="s">
        <v>6</v>
      </c>
      <c r="I227" s="1" t="s">
        <v>220</v>
      </c>
      <c r="J227" s="1" t="s">
        <v>148</v>
      </c>
      <c r="K227" s="2">
        <f>'6 Вед15'!J346</f>
        <v>95400</v>
      </c>
      <c r="L227" s="2">
        <v>95400</v>
      </c>
      <c r="M227" s="2"/>
      <c r="N227" s="2">
        <f t="shared" si="101"/>
        <v>95400</v>
      </c>
      <c r="O227" s="2">
        <v>95400</v>
      </c>
      <c r="P227" s="15"/>
      <c r="Q227" s="2">
        <f t="shared" si="97"/>
        <v>95400</v>
      </c>
    </row>
    <row r="228" spans="1:17" ht="15" customHeight="1" x14ac:dyDescent="0.25">
      <c r="A228" s="509" t="s">
        <v>155</v>
      </c>
      <c r="B228" s="509"/>
      <c r="C228" s="385"/>
      <c r="D228" s="219">
        <v>53</v>
      </c>
      <c r="E228" s="219">
        <v>0</v>
      </c>
      <c r="F228" s="63">
        <v>853</v>
      </c>
      <c r="G228" s="18" t="s">
        <v>153</v>
      </c>
      <c r="H228" s="18" t="s">
        <v>17</v>
      </c>
      <c r="I228" s="18" t="s">
        <v>241</v>
      </c>
      <c r="J228" s="20"/>
      <c r="K228" s="37">
        <f t="shared" ref="K228:O229" si="118">K229</f>
        <v>5882000</v>
      </c>
      <c r="L228" s="37">
        <f t="shared" si="118"/>
        <v>5882000</v>
      </c>
      <c r="M228" s="37"/>
      <c r="N228" s="2">
        <f t="shared" si="101"/>
        <v>5882000</v>
      </c>
      <c r="O228" s="37">
        <f t="shared" si="118"/>
        <v>5882000</v>
      </c>
      <c r="P228" s="15"/>
      <c r="Q228" s="2">
        <f t="shared" si="97"/>
        <v>5882000</v>
      </c>
    </row>
    <row r="229" spans="1:17" x14ac:dyDescent="0.25">
      <c r="A229" s="15"/>
      <c r="B229" s="387" t="s">
        <v>145</v>
      </c>
      <c r="C229" s="387"/>
      <c r="D229" s="219">
        <v>53</v>
      </c>
      <c r="E229" s="219">
        <v>0</v>
      </c>
      <c r="F229" s="63">
        <v>853</v>
      </c>
      <c r="G229" s="1" t="s">
        <v>153</v>
      </c>
      <c r="H229" s="1" t="s">
        <v>17</v>
      </c>
      <c r="I229" s="1" t="s">
        <v>241</v>
      </c>
      <c r="J229" s="1" t="s">
        <v>146</v>
      </c>
      <c r="K229" s="2">
        <f t="shared" si="118"/>
        <v>5882000</v>
      </c>
      <c r="L229" s="2">
        <f t="shared" si="118"/>
        <v>5882000</v>
      </c>
      <c r="M229" s="2"/>
      <c r="N229" s="2">
        <f t="shared" si="101"/>
        <v>5882000</v>
      </c>
      <c r="O229" s="2">
        <f t="shared" si="118"/>
        <v>5882000</v>
      </c>
      <c r="P229" s="15"/>
      <c r="Q229" s="2">
        <f t="shared" si="97"/>
        <v>5882000</v>
      </c>
    </row>
    <row r="230" spans="1:17" x14ac:dyDescent="0.25">
      <c r="A230" s="15"/>
      <c r="B230" s="382" t="s">
        <v>157</v>
      </c>
      <c r="C230" s="382"/>
      <c r="D230" s="219">
        <v>53</v>
      </c>
      <c r="E230" s="219">
        <v>0</v>
      </c>
      <c r="F230" s="63">
        <v>853</v>
      </c>
      <c r="G230" s="1" t="s">
        <v>153</v>
      </c>
      <c r="H230" s="1" t="s">
        <v>17</v>
      </c>
      <c r="I230" s="1" t="s">
        <v>241</v>
      </c>
      <c r="J230" s="1" t="s">
        <v>158</v>
      </c>
      <c r="K230" s="2">
        <f>'6 Вед15'!J353</f>
        <v>5882000</v>
      </c>
      <c r="L230" s="2">
        <v>5882000</v>
      </c>
      <c r="M230" s="2"/>
      <c r="N230" s="2">
        <f t="shared" si="101"/>
        <v>5882000</v>
      </c>
      <c r="O230" s="2">
        <v>5882000</v>
      </c>
      <c r="P230" s="15"/>
      <c r="Q230" s="2">
        <f t="shared" si="97"/>
        <v>5882000</v>
      </c>
    </row>
    <row r="231" spans="1:17" ht="15" customHeight="1" x14ac:dyDescent="0.25">
      <c r="A231" s="530" t="s">
        <v>160</v>
      </c>
      <c r="B231" s="530"/>
      <c r="C231" s="387"/>
      <c r="D231" s="219">
        <v>53</v>
      </c>
      <c r="E231" s="219">
        <v>0</v>
      </c>
      <c r="F231" s="63">
        <v>853</v>
      </c>
      <c r="G231" s="1" t="s">
        <v>153</v>
      </c>
      <c r="H231" s="1" t="s">
        <v>72</v>
      </c>
      <c r="I231" s="1" t="s">
        <v>242</v>
      </c>
      <c r="J231" s="1"/>
      <c r="K231" s="2">
        <f t="shared" ref="K231:Q232" si="119">K232</f>
        <v>8607000</v>
      </c>
      <c r="L231" s="2">
        <f t="shared" si="119"/>
        <v>12789000</v>
      </c>
      <c r="M231" s="2">
        <f t="shared" si="119"/>
        <v>-1278900</v>
      </c>
      <c r="N231" s="2">
        <f t="shared" si="119"/>
        <v>11510100</v>
      </c>
      <c r="O231" s="2">
        <f t="shared" si="119"/>
        <v>8839000</v>
      </c>
      <c r="P231" s="2">
        <f t="shared" si="119"/>
        <v>-883900</v>
      </c>
      <c r="Q231" s="2">
        <f t="shared" si="119"/>
        <v>7955100</v>
      </c>
    </row>
    <row r="232" spans="1:17" x14ac:dyDescent="0.25">
      <c r="A232" s="15"/>
      <c r="B232" s="387" t="s">
        <v>145</v>
      </c>
      <c r="C232" s="387"/>
      <c r="D232" s="219">
        <v>53</v>
      </c>
      <c r="E232" s="219">
        <v>0</v>
      </c>
      <c r="F232" s="63">
        <v>853</v>
      </c>
      <c r="G232" s="1" t="s">
        <v>153</v>
      </c>
      <c r="H232" s="1" t="s">
        <v>72</v>
      </c>
      <c r="I232" s="1" t="s">
        <v>242</v>
      </c>
      <c r="J232" s="1" t="s">
        <v>146</v>
      </c>
      <c r="K232" s="2">
        <f t="shared" si="119"/>
        <v>8607000</v>
      </c>
      <c r="L232" s="2">
        <f t="shared" si="119"/>
        <v>12789000</v>
      </c>
      <c r="M232" s="2">
        <f t="shared" si="119"/>
        <v>-1278900</v>
      </c>
      <c r="N232" s="2">
        <f t="shared" si="119"/>
        <v>11510100</v>
      </c>
      <c r="O232" s="2">
        <f t="shared" si="119"/>
        <v>8839000</v>
      </c>
      <c r="P232" s="2">
        <f t="shared" si="119"/>
        <v>-883900</v>
      </c>
      <c r="Q232" s="2">
        <f t="shared" si="119"/>
        <v>7955100</v>
      </c>
    </row>
    <row r="233" spans="1:17" x14ac:dyDescent="0.25">
      <c r="A233" s="15"/>
      <c r="B233" s="382" t="s">
        <v>157</v>
      </c>
      <c r="C233" s="382"/>
      <c r="D233" s="219">
        <v>53</v>
      </c>
      <c r="E233" s="219">
        <v>0</v>
      </c>
      <c r="F233" s="63">
        <v>853</v>
      </c>
      <c r="G233" s="1" t="s">
        <v>153</v>
      </c>
      <c r="H233" s="1" t="s">
        <v>72</v>
      </c>
      <c r="I233" s="1" t="s">
        <v>242</v>
      </c>
      <c r="J233" s="1" t="s">
        <v>158</v>
      </c>
      <c r="K233" s="2">
        <f>'6 Вед15'!J359</f>
        <v>8607000</v>
      </c>
      <c r="L233" s="2">
        <v>12789000</v>
      </c>
      <c r="M233" s="2">
        <v>-1278900</v>
      </c>
      <c r="N233" s="2">
        <f t="shared" si="101"/>
        <v>11510100</v>
      </c>
      <c r="O233" s="2">
        <v>8839000</v>
      </c>
      <c r="P233" s="342">
        <v>-883900</v>
      </c>
      <c r="Q233" s="2">
        <f t="shared" si="97"/>
        <v>7955100</v>
      </c>
    </row>
    <row r="234" spans="1:17" s="23" customFormat="1" ht="48.75" customHeight="1" x14ac:dyDescent="0.25">
      <c r="A234" s="509" t="s">
        <v>499</v>
      </c>
      <c r="B234" s="509"/>
      <c r="C234" s="387"/>
      <c r="D234" s="219">
        <v>53</v>
      </c>
      <c r="E234" s="219">
        <v>0</v>
      </c>
      <c r="F234" s="63">
        <v>853</v>
      </c>
      <c r="G234" s="219" t="s">
        <v>72</v>
      </c>
      <c r="H234" s="219" t="s">
        <v>3</v>
      </c>
      <c r="I234" s="219">
        <v>5118</v>
      </c>
      <c r="J234" s="387" t="s">
        <v>151</v>
      </c>
      <c r="K234" s="37">
        <f t="shared" ref="K234:O235" si="120">K235</f>
        <v>800617</v>
      </c>
      <c r="L234" s="37">
        <f t="shared" si="120"/>
        <v>810399</v>
      </c>
      <c r="M234" s="37"/>
      <c r="N234" s="2">
        <f t="shared" si="101"/>
        <v>810399</v>
      </c>
      <c r="O234" s="37">
        <f t="shared" si="120"/>
        <v>774567</v>
      </c>
      <c r="P234" s="398"/>
      <c r="Q234" s="2">
        <f t="shared" si="97"/>
        <v>774567</v>
      </c>
    </row>
    <row r="235" spans="1:17" s="23" customFormat="1" x14ac:dyDescent="0.25">
      <c r="A235" s="387"/>
      <c r="B235" s="382" t="s">
        <v>145</v>
      </c>
      <c r="C235" s="387"/>
      <c r="D235" s="219">
        <v>53</v>
      </c>
      <c r="E235" s="219">
        <v>0</v>
      </c>
      <c r="F235" s="63">
        <v>853</v>
      </c>
      <c r="G235" s="219" t="s">
        <v>72</v>
      </c>
      <c r="H235" s="219" t="s">
        <v>3</v>
      </c>
      <c r="I235" s="219">
        <v>5118</v>
      </c>
      <c r="J235" s="219" t="s">
        <v>146</v>
      </c>
      <c r="K235" s="37">
        <f t="shared" si="120"/>
        <v>800617</v>
      </c>
      <c r="L235" s="37">
        <f t="shared" si="120"/>
        <v>810399</v>
      </c>
      <c r="M235" s="37"/>
      <c r="N235" s="2">
        <f t="shared" si="101"/>
        <v>810399</v>
      </c>
      <c r="O235" s="37">
        <f t="shared" si="120"/>
        <v>774567</v>
      </c>
      <c r="P235" s="398"/>
      <c r="Q235" s="2">
        <f t="shared" si="97"/>
        <v>774567</v>
      </c>
    </row>
    <row r="236" spans="1:17" s="23" customFormat="1" x14ac:dyDescent="0.25">
      <c r="A236" s="387"/>
      <c r="B236" s="382" t="s">
        <v>147</v>
      </c>
      <c r="C236" s="387"/>
      <c r="D236" s="219">
        <v>53</v>
      </c>
      <c r="E236" s="219">
        <v>0</v>
      </c>
      <c r="F236" s="63">
        <v>853</v>
      </c>
      <c r="G236" s="219" t="s">
        <v>72</v>
      </c>
      <c r="H236" s="219" t="s">
        <v>3</v>
      </c>
      <c r="I236" s="219">
        <v>5118</v>
      </c>
      <c r="J236" s="219" t="s">
        <v>148</v>
      </c>
      <c r="K236" s="37">
        <f>'6 Вед15'!J323</f>
        <v>800617</v>
      </c>
      <c r="L236" s="37">
        <v>810399</v>
      </c>
      <c r="M236" s="37"/>
      <c r="N236" s="2">
        <f t="shared" si="101"/>
        <v>810399</v>
      </c>
      <c r="O236" s="37">
        <v>774567</v>
      </c>
      <c r="P236" s="398"/>
      <c r="Q236" s="2">
        <f t="shared" si="97"/>
        <v>774567</v>
      </c>
    </row>
    <row r="237" spans="1:17" ht="13.5" customHeight="1" x14ac:dyDescent="0.25">
      <c r="A237" s="531" t="s">
        <v>244</v>
      </c>
      <c r="B237" s="531"/>
      <c r="C237" s="382"/>
      <c r="D237" s="389">
        <v>70</v>
      </c>
      <c r="E237" s="219"/>
      <c r="F237" s="63"/>
      <c r="G237" s="1"/>
      <c r="H237" s="1"/>
      <c r="I237" s="1"/>
      <c r="J237" s="1"/>
      <c r="K237" s="8">
        <f>K238+K242+K246+K257</f>
        <v>2123620</v>
      </c>
      <c r="L237" s="8">
        <f t="shared" ref="L237:O237" si="121">L238+L242+L246+L257</f>
        <v>5764462</v>
      </c>
      <c r="M237" s="8"/>
      <c r="N237" s="2">
        <f t="shared" si="101"/>
        <v>5764462</v>
      </c>
      <c r="O237" s="8">
        <f t="shared" si="121"/>
        <v>9420267</v>
      </c>
      <c r="P237" s="342"/>
      <c r="Q237" s="2">
        <f t="shared" si="97"/>
        <v>9420267</v>
      </c>
    </row>
    <row r="238" spans="1:17" ht="13.5" customHeight="1" x14ac:dyDescent="0.25">
      <c r="A238" s="512" t="s">
        <v>15</v>
      </c>
      <c r="B238" s="512"/>
      <c r="C238" s="382"/>
      <c r="D238" s="16">
        <v>70</v>
      </c>
      <c r="E238" s="16">
        <v>0</v>
      </c>
      <c r="F238" s="75">
        <v>851</v>
      </c>
      <c r="G238" s="11"/>
      <c r="H238" s="11"/>
      <c r="I238" s="11"/>
      <c r="J238" s="11"/>
      <c r="K238" s="12">
        <f>K239</f>
        <v>200000</v>
      </c>
      <c r="L238" s="12">
        <f t="shared" ref="L238:O238" si="122">L239</f>
        <v>200000</v>
      </c>
      <c r="M238" s="12"/>
      <c r="N238" s="2">
        <f t="shared" si="101"/>
        <v>200000</v>
      </c>
      <c r="O238" s="12">
        <f t="shared" si="122"/>
        <v>200000</v>
      </c>
      <c r="P238" s="342"/>
      <c r="Q238" s="2">
        <f t="shared" si="97"/>
        <v>200000</v>
      </c>
    </row>
    <row r="239" spans="1:17" x14ac:dyDescent="0.25">
      <c r="A239" s="509" t="s">
        <v>40</v>
      </c>
      <c r="B239" s="509"/>
      <c r="C239" s="382"/>
      <c r="D239" s="219">
        <v>70</v>
      </c>
      <c r="E239" s="219">
        <v>0</v>
      </c>
      <c r="F239" s="219">
        <v>851</v>
      </c>
      <c r="G239" s="1" t="s">
        <v>17</v>
      </c>
      <c r="H239" s="1" t="s">
        <v>38</v>
      </c>
      <c r="I239" s="1" t="s">
        <v>245</v>
      </c>
      <c r="J239" s="1"/>
      <c r="K239" s="2">
        <f t="shared" ref="K239:O240" si="123">K240</f>
        <v>200000</v>
      </c>
      <c r="L239" s="2">
        <f t="shared" si="123"/>
        <v>200000</v>
      </c>
      <c r="M239" s="2"/>
      <c r="N239" s="2">
        <f t="shared" si="101"/>
        <v>200000</v>
      </c>
      <c r="O239" s="2">
        <f t="shared" si="123"/>
        <v>200000</v>
      </c>
      <c r="P239" s="342"/>
      <c r="Q239" s="2">
        <f t="shared" si="97"/>
        <v>200000</v>
      </c>
    </row>
    <row r="240" spans="1:17" x14ac:dyDescent="0.25">
      <c r="A240" s="15"/>
      <c r="B240" s="382" t="s">
        <v>31</v>
      </c>
      <c r="C240" s="382"/>
      <c r="D240" s="219">
        <v>70</v>
      </c>
      <c r="E240" s="219">
        <v>0</v>
      </c>
      <c r="F240" s="219">
        <v>851</v>
      </c>
      <c r="G240" s="1" t="s">
        <v>17</v>
      </c>
      <c r="H240" s="1" t="s">
        <v>38</v>
      </c>
      <c r="I240" s="1" t="s">
        <v>245</v>
      </c>
      <c r="J240" s="1" t="s">
        <v>32</v>
      </c>
      <c r="K240" s="2">
        <f t="shared" si="123"/>
        <v>200000</v>
      </c>
      <c r="L240" s="2">
        <f t="shared" si="123"/>
        <v>200000</v>
      </c>
      <c r="M240" s="2"/>
      <c r="N240" s="2">
        <f t="shared" si="101"/>
        <v>200000</v>
      </c>
      <c r="O240" s="2">
        <f t="shared" si="123"/>
        <v>200000</v>
      </c>
      <c r="P240" s="342"/>
      <c r="Q240" s="2">
        <f t="shared" si="97"/>
        <v>200000</v>
      </c>
    </row>
    <row r="241" spans="1:17" x14ac:dyDescent="0.25">
      <c r="A241" s="15"/>
      <c r="B241" s="387" t="s">
        <v>41</v>
      </c>
      <c r="C241" s="387"/>
      <c r="D241" s="219">
        <v>70</v>
      </c>
      <c r="E241" s="219">
        <v>0</v>
      </c>
      <c r="F241" s="219">
        <v>851</v>
      </c>
      <c r="G241" s="1" t="s">
        <v>17</v>
      </c>
      <c r="H241" s="1" t="s">
        <v>38</v>
      </c>
      <c r="I241" s="1" t="s">
        <v>245</v>
      </c>
      <c r="J241" s="1" t="s">
        <v>42</v>
      </c>
      <c r="K241" s="2">
        <f>'6 Вед15'!J35</f>
        <v>200000</v>
      </c>
      <c r="L241" s="2">
        <v>200000</v>
      </c>
      <c r="M241" s="2"/>
      <c r="N241" s="2">
        <f t="shared" si="101"/>
        <v>200000</v>
      </c>
      <c r="O241" s="2">
        <v>200000</v>
      </c>
      <c r="P241" s="342"/>
      <c r="Q241" s="2">
        <f t="shared" si="97"/>
        <v>200000</v>
      </c>
    </row>
    <row r="242" spans="1:17" ht="12" customHeight="1" x14ac:dyDescent="0.25">
      <c r="A242" s="508" t="s">
        <v>167</v>
      </c>
      <c r="B242" s="508"/>
      <c r="C242" s="387"/>
      <c r="D242" s="16">
        <v>70</v>
      </c>
      <c r="E242" s="16">
        <v>0</v>
      </c>
      <c r="F242" s="75">
        <v>853</v>
      </c>
      <c r="G242" s="16" t="s">
        <v>168</v>
      </c>
      <c r="H242" s="386" t="s">
        <v>151</v>
      </c>
      <c r="I242" s="1"/>
      <c r="J242" s="386" t="s">
        <v>151</v>
      </c>
      <c r="K242" s="12">
        <f t="shared" ref="K242:O244" si="124">K243</f>
        <v>0</v>
      </c>
      <c r="L242" s="12">
        <f t="shared" si="124"/>
        <v>3647342</v>
      </c>
      <c r="M242" s="12"/>
      <c r="N242" s="2">
        <f t="shared" si="101"/>
        <v>3647342</v>
      </c>
      <c r="O242" s="12">
        <f t="shared" si="124"/>
        <v>7303147</v>
      </c>
      <c r="P242" s="342"/>
      <c r="Q242" s="2">
        <f t="shared" si="97"/>
        <v>7303147</v>
      </c>
    </row>
    <row r="243" spans="1:17" x14ac:dyDescent="0.25">
      <c r="A243" s="508" t="s">
        <v>167</v>
      </c>
      <c r="B243" s="508"/>
      <c r="C243" s="387"/>
      <c r="D243" s="16">
        <v>70</v>
      </c>
      <c r="E243" s="16">
        <v>0</v>
      </c>
      <c r="F243" s="75">
        <v>853</v>
      </c>
      <c r="G243" s="16" t="s">
        <v>168</v>
      </c>
      <c r="H243" s="16" t="s">
        <v>168</v>
      </c>
      <c r="I243" s="1" t="s">
        <v>243</v>
      </c>
      <c r="J243" s="386" t="s">
        <v>151</v>
      </c>
      <c r="K243" s="12">
        <f t="shared" si="124"/>
        <v>0</v>
      </c>
      <c r="L243" s="12">
        <f t="shared" si="124"/>
        <v>3647342</v>
      </c>
      <c r="M243" s="12"/>
      <c r="N243" s="2">
        <f t="shared" si="101"/>
        <v>3647342</v>
      </c>
      <c r="O243" s="12">
        <f t="shared" si="124"/>
        <v>7303147</v>
      </c>
      <c r="P243" s="342"/>
      <c r="Q243" s="2">
        <f t="shared" si="97"/>
        <v>7303147</v>
      </c>
    </row>
    <row r="244" spans="1:17" x14ac:dyDescent="0.25">
      <c r="A244" s="15"/>
      <c r="B244" s="382" t="s">
        <v>167</v>
      </c>
      <c r="C244" s="387"/>
      <c r="D244" s="219">
        <v>70</v>
      </c>
      <c r="E244" s="219">
        <v>0</v>
      </c>
      <c r="F244" s="63">
        <v>853</v>
      </c>
      <c r="G244" s="219" t="s">
        <v>168</v>
      </c>
      <c r="H244" s="219" t="s">
        <v>168</v>
      </c>
      <c r="I244" s="1" t="s">
        <v>243</v>
      </c>
      <c r="J244" s="387" t="s">
        <v>151</v>
      </c>
      <c r="K244" s="2">
        <f t="shared" si="124"/>
        <v>0</v>
      </c>
      <c r="L244" s="2">
        <f t="shared" si="124"/>
        <v>3647342</v>
      </c>
      <c r="M244" s="2"/>
      <c r="N244" s="2">
        <f t="shared" si="101"/>
        <v>3647342</v>
      </c>
      <c r="O244" s="2">
        <f t="shared" si="124"/>
        <v>7303147</v>
      </c>
      <c r="P244" s="342"/>
      <c r="Q244" s="2">
        <f t="shared" ref="Q244:Q265" si="125">O244+P244</f>
        <v>7303147</v>
      </c>
    </row>
    <row r="245" spans="1:17" x14ac:dyDescent="0.25">
      <c r="A245" s="15"/>
      <c r="B245" s="382" t="s">
        <v>167</v>
      </c>
      <c r="C245" s="387"/>
      <c r="D245" s="219">
        <v>70</v>
      </c>
      <c r="E245" s="219">
        <v>0</v>
      </c>
      <c r="F245" s="63">
        <v>853</v>
      </c>
      <c r="G245" s="219" t="s">
        <v>168</v>
      </c>
      <c r="H245" s="219" t="s">
        <v>168</v>
      </c>
      <c r="I245" s="1" t="s">
        <v>243</v>
      </c>
      <c r="J245" s="219" t="s">
        <v>170</v>
      </c>
      <c r="K245" s="2">
        <f>'6 Вед15'!J367</f>
        <v>0</v>
      </c>
      <c r="L245" s="2">
        <v>3647342</v>
      </c>
      <c r="M245" s="2"/>
      <c r="N245" s="2">
        <f t="shared" si="101"/>
        <v>3647342</v>
      </c>
      <c r="O245" s="2">
        <v>7303147</v>
      </c>
      <c r="P245" s="342"/>
      <c r="Q245" s="2">
        <f t="shared" si="125"/>
        <v>7303147</v>
      </c>
    </row>
    <row r="246" spans="1:17" s="13" customFormat="1" ht="13.5" customHeight="1" x14ac:dyDescent="0.25">
      <c r="A246" s="512" t="s">
        <v>162</v>
      </c>
      <c r="B246" s="512"/>
      <c r="C246" s="75"/>
      <c r="D246" s="75">
        <v>70</v>
      </c>
      <c r="E246" s="75">
        <v>0</v>
      </c>
      <c r="F246" s="75">
        <v>854</v>
      </c>
      <c r="G246" s="75"/>
      <c r="H246" s="11"/>
      <c r="I246" s="11"/>
      <c r="J246" s="11"/>
      <c r="K246" s="12">
        <f>K247+K250</f>
        <v>1416920</v>
      </c>
      <c r="L246" s="12">
        <f t="shared" ref="L246:O246" si="126">L247+L250</f>
        <v>1416920</v>
      </c>
      <c r="M246" s="12"/>
      <c r="N246" s="2">
        <f t="shared" si="101"/>
        <v>1416920</v>
      </c>
      <c r="O246" s="12">
        <f t="shared" si="126"/>
        <v>1416920</v>
      </c>
      <c r="P246" s="395"/>
      <c r="Q246" s="2">
        <f t="shared" si="125"/>
        <v>1416920</v>
      </c>
    </row>
    <row r="247" spans="1:17" x14ac:dyDescent="0.25">
      <c r="A247" s="509" t="s">
        <v>454</v>
      </c>
      <c r="B247" s="509"/>
      <c r="C247" s="382"/>
      <c r="D247" s="219">
        <v>70</v>
      </c>
      <c r="E247" s="219">
        <v>0</v>
      </c>
      <c r="F247" s="219">
        <v>854</v>
      </c>
      <c r="G247" s="1" t="s">
        <v>22</v>
      </c>
      <c r="H247" s="1" t="s">
        <v>72</v>
      </c>
      <c r="I247" s="1" t="s">
        <v>456</v>
      </c>
      <c r="J247" s="1"/>
      <c r="K247" s="2">
        <f t="shared" ref="K247:O248" si="127">K248</f>
        <v>789500</v>
      </c>
      <c r="L247" s="2">
        <f t="shared" si="127"/>
        <v>789500</v>
      </c>
      <c r="M247" s="2"/>
      <c r="N247" s="2">
        <f t="shared" si="101"/>
        <v>789500</v>
      </c>
      <c r="O247" s="2">
        <f t="shared" si="127"/>
        <v>789500</v>
      </c>
      <c r="P247" s="342"/>
      <c r="Q247" s="2">
        <f t="shared" si="125"/>
        <v>789500</v>
      </c>
    </row>
    <row r="248" spans="1:17" ht="36" customHeight="1" x14ac:dyDescent="0.25">
      <c r="A248" s="382"/>
      <c r="B248" s="387" t="s">
        <v>21</v>
      </c>
      <c r="C248" s="382"/>
      <c r="D248" s="219">
        <v>70</v>
      </c>
      <c r="E248" s="219">
        <v>0</v>
      </c>
      <c r="F248" s="219">
        <v>854</v>
      </c>
      <c r="G248" s="1" t="s">
        <v>17</v>
      </c>
      <c r="H248" s="1" t="s">
        <v>72</v>
      </c>
      <c r="I248" s="1" t="s">
        <v>456</v>
      </c>
      <c r="J248" s="1" t="s">
        <v>23</v>
      </c>
      <c r="K248" s="2">
        <f t="shared" si="127"/>
        <v>789500</v>
      </c>
      <c r="L248" s="2">
        <f t="shared" si="127"/>
        <v>789500</v>
      </c>
      <c r="M248" s="2"/>
      <c r="N248" s="2">
        <f t="shared" si="101"/>
        <v>789500</v>
      </c>
      <c r="O248" s="2">
        <f t="shared" si="127"/>
        <v>789500</v>
      </c>
      <c r="P248" s="342"/>
      <c r="Q248" s="2">
        <f t="shared" si="125"/>
        <v>789500</v>
      </c>
    </row>
    <row r="249" spans="1:17" ht="15" customHeight="1" x14ac:dyDescent="0.25">
      <c r="A249" s="382"/>
      <c r="B249" s="387" t="s">
        <v>24</v>
      </c>
      <c r="C249" s="382"/>
      <c r="D249" s="219">
        <v>70</v>
      </c>
      <c r="E249" s="219">
        <v>0</v>
      </c>
      <c r="F249" s="219">
        <v>854</v>
      </c>
      <c r="G249" s="1" t="s">
        <v>17</v>
      </c>
      <c r="H249" s="1" t="s">
        <v>72</v>
      </c>
      <c r="I249" s="1" t="s">
        <v>456</v>
      </c>
      <c r="J249" s="1" t="s">
        <v>25</v>
      </c>
      <c r="K249" s="2">
        <f>'6 Вед15'!J373</f>
        <v>789500</v>
      </c>
      <c r="L249" s="2">
        <v>789500</v>
      </c>
      <c r="M249" s="2"/>
      <c r="N249" s="2">
        <f t="shared" ref="N249:N265" si="128">L249+M249</f>
        <v>789500</v>
      </c>
      <c r="O249" s="2">
        <v>789500</v>
      </c>
      <c r="P249" s="342"/>
      <c r="Q249" s="2">
        <f t="shared" si="125"/>
        <v>789500</v>
      </c>
    </row>
    <row r="250" spans="1:17" ht="27" customHeight="1" x14ac:dyDescent="0.25">
      <c r="A250" s="509" t="s">
        <v>26</v>
      </c>
      <c r="B250" s="509"/>
      <c r="C250" s="219"/>
      <c r="D250" s="219">
        <v>70</v>
      </c>
      <c r="E250" s="219">
        <v>0</v>
      </c>
      <c r="F250" s="219">
        <v>854</v>
      </c>
      <c r="G250" s="1" t="s">
        <v>22</v>
      </c>
      <c r="H250" s="1" t="s">
        <v>3</v>
      </c>
      <c r="I250" s="1" t="s">
        <v>435</v>
      </c>
      <c r="J250" s="1"/>
      <c r="K250" s="2">
        <f t="shared" ref="K250:O250" si="129">K251+K253+K255</f>
        <v>627420</v>
      </c>
      <c r="L250" s="2">
        <f t="shared" si="129"/>
        <v>627420</v>
      </c>
      <c r="M250" s="2"/>
      <c r="N250" s="2">
        <f t="shared" si="128"/>
        <v>627420</v>
      </c>
      <c r="O250" s="2">
        <f t="shared" si="129"/>
        <v>627420</v>
      </c>
      <c r="P250" s="342"/>
      <c r="Q250" s="2">
        <f t="shared" si="125"/>
        <v>627420</v>
      </c>
    </row>
    <row r="251" spans="1:17" ht="36.75" customHeight="1" x14ac:dyDescent="0.25">
      <c r="A251" s="15"/>
      <c r="B251" s="387" t="s">
        <v>21</v>
      </c>
      <c r="C251" s="219"/>
      <c r="D251" s="219">
        <v>70</v>
      </c>
      <c r="E251" s="219">
        <v>0</v>
      </c>
      <c r="F251" s="219">
        <v>854</v>
      </c>
      <c r="G251" s="1" t="s">
        <v>17</v>
      </c>
      <c r="H251" s="1" t="s">
        <v>3</v>
      </c>
      <c r="I251" s="1" t="s">
        <v>435</v>
      </c>
      <c r="J251" s="1" t="s">
        <v>23</v>
      </c>
      <c r="K251" s="2">
        <f t="shared" ref="K251:O251" si="130">K252</f>
        <v>418200</v>
      </c>
      <c r="L251" s="2">
        <f t="shared" si="130"/>
        <v>418200</v>
      </c>
      <c r="M251" s="2"/>
      <c r="N251" s="2">
        <f t="shared" si="128"/>
        <v>418200</v>
      </c>
      <c r="O251" s="2">
        <f t="shared" si="130"/>
        <v>418200</v>
      </c>
      <c r="P251" s="342"/>
      <c r="Q251" s="2">
        <f t="shared" si="125"/>
        <v>418200</v>
      </c>
    </row>
    <row r="252" spans="1:17" ht="13.5" customHeight="1" x14ac:dyDescent="0.25">
      <c r="A252" s="15"/>
      <c r="B252" s="387" t="s">
        <v>24</v>
      </c>
      <c r="C252" s="219"/>
      <c r="D252" s="219">
        <v>70</v>
      </c>
      <c r="E252" s="219">
        <v>0</v>
      </c>
      <c r="F252" s="219">
        <v>854</v>
      </c>
      <c r="G252" s="1" t="s">
        <v>17</v>
      </c>
      <c r="H252" s="1" t="s">
        <v>3</v>
      </c>
      <c r="I252" s="1" t="s">
        <v>435</v>
      </c>
      <c r="J252" s="1" t="s">
        <v>25</v>
      </c>
      <c r="K252" s="2">
        <f>'6 Вед15'!J377</f>
        <v>418200</v>
      </c>
      <c r="L252" s="2">
        <v>418200</v>
      </c>
      <c r="M252" s="2"/>
      <c r="N252" s="2">
        <f t="shared" si="128"/>
        <v>418200</v>
      </c>
      <c r="O252" s="2">
        <v>418200</v>
      </c>
      <c r="P252" s="342"/>
      <c r="Q252" s="2">
        <f t="shared" si="125"/>
        <v>418200</v>
      </c>
    </row>
    <row r="253" spans="1:17" ht="13.5" customHeight="1" x14ac:dyDescent="0.25">
      <c r="A253" s="15"/>
      <c r="B253" s="382" t="s">
        <v>27</v>
      </c>
      <c r="C253" s="219"/>
      <c r="D253" s="219">
        <v>70</v>
      </c>
      <c r="E253" s="219">
        <v>0</v>
      </c>
      <c r="F253" s="219">
        <v>854</v>
      </c>
      <c r="G253" s="1" t="s">
        <v>17</v>
      </c>
      <c r="H253" s="1" t="s">
        <v>3</v>
      </c>
      <c r="I253" s="1" t="s">
        <v>435</v>
      </c>
      <c r="J253" s="1" t="s">
        <v>28</v>
      </c>
      <c r="K253" s="2">
        <f>'6 Вед15'!J378</f>
        <v>208700</v>
      </c>
      <c r="L253" s="2">
        <f>L254</f>
        <v>208700</v>
      </c>
      <c r="M253" s="2"/>
      <c r="N253" s="2">
        <f t="shared" si="128"/>
        <v>208700</v>
      </c>
      <c r="O253" s="2">
        <f>'6 Вед15'!L378</f>
        <v>208700</v>
      </c>
      <c r="P253" s="342"/>
      <c r="Q253" s="2">
        <f t="shared" si="125"/>
        <v>208700</v>
      </c>
    </row>
    <row r="254" spans="1:17" ht="25.5" customHeight="1" x14ac:dyDescent="0.25">
      <c r="A254" s="15"/>
      <c r="B254" s="382" t="s">
        <v>29</v>
      </c>
      <c r="C254" s="219"/>
      <c r="D254" s="219">
        <v>70</v>
      </c>
      <c r="E254" s="219">
        <v>0</v>
      </c>
      <c r="F254" s="219">
        <v>854</v>
      </c>
      <c r="G254" s="1" t="s">
        <v>17</v>
      </c>
      <c r="H254" s="1" t="s">
        <v>3</v>
      </c>
      <c r="I254" s="1" t="s">
        <v>435</v>
      </c>
      <c r="J254" s="1" t="s">
        <v>30</v>
      </c>
      <c r="K254" s="2">
        <f>'6 Вед15'!J379</f>
        <v>208700</v>
      </c>
      <c r="L254" s="2">
        <v>208700</v>
      </c>
      <c r="M254" s="2"/>
      <c r="N254" s="2">
        <f t="shared" si="128"/>
        <v>208700</v>
      </c>
      <c r="O254" s="2">
        <v>208700</v>
      </c>
      <c r="P254" s="342"/>
      <c r="Q254" s="2">
        <f t="shared" si="125"/>
        <v>208700</v>
      </c>
    </row>
    <row r="255" spans="1:17" ht="13.5" customHeight="1" x14ac:dyDescent="0.25">
      <c r="A255" s="15"/>
      <c r="B255" s="382" t="s">
        <v>31</v>
      </c>
      <c r="C255" s="219"/>
      <c r="D255" s="219">
        <v>70</v>
      </c>
      <c r="E255" s="219">
        <v>0</v>
      </c>
      <c r="F255" s="219">
        <v>854</v>
      </c>
      <c r="G255" s="1" t="s">
        <v>17</v>
      </c>
      <c r="H255" s="1" t="s">
        <v>3</v>
      </c>
      <c r="I255" s="1" t="s">
        <v>435</v>
      </c>
      <c r="J255" s="1" t="s">
        <v>32</v>
      </c>
      <c r="K255" s="2">
        <f>'6 Вед15'!J380</f>
        <v>520</v>
      </c>
      <c r="L255" s="2">
        <f>L256</f>
        <v>520</v>
      </c>
      <c r="M255" s="2"/>
      <c r="N255" s="2">
        <f t="shared" si="128"/>
        <v>520</v>
      </c>
      <c r="O255" s="2">
        <f>'6 Вед15'!L380</f>
        <v>520</v>
      </c>
      <c r="P255" s="342"/>
      <c r="Q255" s="2">
        <f t="shared" si="125"/>
        <v>520</v>
      </c>
    </row>
    <row r="256" spans="1:17" x14ac:dyDescent="0.25">
      <c r="A256" s="15"/>
      <c r="B256" s="387" t="s">
        <v>466</v>
      </c>
      <c r="C256" s="382"/>
      <c r="D256" s="219">
        <v>70</v>
      </c>
      <c r="E256" s="219">
        <v>0</v>
      </c>
      <c r="F256" s="219">
        <v>854</v>
      </c>
      <c r="G256" s="1" t="s">
        <v>17</v>
      </c>
      <c r="H256" s="1" t="s">
        <v>3</v>
      </c>
      <c r="I256" s="1" t="s">
        <v>435</v>
      </c>
      <c r="J256" s="1" t="s">
        <v>35</v>
      </c>
      <c r="K256" s="2">
        <f>'6 Вед15'!J381</f>
        <v>520</v>
      </c>
      <c r="L256" s="2">
        <v>520</v>
      </c>
      <c r="M256" s="2"/>
      <c r="N256" s="2">
        <f t="shared" si="128"/>
        <v>520</v>
      </c>
      <c r="O256" s="2">
        <v>520</v>
      </c>
      <c r="P256" s="342"/>
      <c r="Q256" s="2">
        <f t="shared" si="125"/>
        <v>520</v>
      </c>
    </row>
    <row r="257" spans="1:17" x14ac:dyDescent="0.25">
      <c r="A257" s="512" t="s">
        <v>575</v>
      </c>
      <c r="B257" s="512"/>
      <c r="C257" s="382"/>
      <c r="D257" s="16">
        <v>70</v>
      </c>
      <c r="E257" s="16">
        <v>0</v>
      </c>
      <c r="F257" s="16">
        <v>857</v>
      </c>
      <c r="G257" s="11"/>
      <c r="H257" s="11"/>
      <c r="I257" s="11"/>
      <c r="J257" s="11"/>
      <c r="K257" s="12">
        <f>K258+K263</f>
        <v>506700</v>
      </c>
      <c r="L257" s="12">
        <f t="shared" ref="L257:O257" si="131">L258+L263</f>
        <v>500200</v>
      </c>
      <c r="M257" s="12"/>
      <c r="N257" s="2">
        <f t="shared" si="128"/>
        <v>500200</v>
      </c>
      <c r="O257" s="12">
        <f t="shared" si="131"/>
        <v>500200</v>
      </c>
      <c r="P257" s="342"/>
      <c r="Q257" s="2">
        <f t="shared" si="125"/>
        <v>500200</v>
      </c>
    </row>
    <row r="258" spans="1:17" ht="14.25" customHeight="1" x14ac:dyDescent="0.25">
      <c r="A258" s="509" t="s">
        <v>164</v>
      </c>
      <c r="B258" s="509"/>
      <c r="C258" s="382"/>
      <c r="D258" s="219">
        <v>70</v>
      </c>
      <c r="E258" s="219">
        <v>0</v>
      </c>
      <c r="F258" s="219">
        <v>857</v>
      </c>
      <c r="G258" s="1" t="s">
        <v>17</v>
      </c>
      <c r="H258" s="1" t="s">
        <v>1</v>
      </c>
      <c r="I258" s="1" t="s">
        <v>246</v>
      </c>
      <c r="J258" s="1"/>
      <c r="K258" s="2">
        <f>K259+K261</f>
        <v>488700</v>
      </c>
      <c r="L258" s="2">
        <f t="shared" ref="L258:O258" si="132">L259+L261</f>
        <v>500200</v>
      </c>
      <c r="M258" s="2"/>
      <c r="N258" s="2">
        <f t="shared" si="128"/>
        <v>500200</v>
      </c>
      <c r="O258" s="2">
        <f t="shared" si="132"/>
        <v>500200</v>
      </c>
      <c r="P258" s="342"/>
      <c r="Q258" s="2">
        <f t="shared" si="125"/>
        <v>500200</v>
      </c>
    </row>
    <row r="259" spans="1:17" ht="39.75" customHeight="1" x14ac:dyDescent="0.25">
      <c r="A259" s="382"/>
      <c r="B259" s="387" t="s">
        <v>21</v>
      </c>
      <c r="C259" s="382"/>
      <c r="D259" s="219">
        <v>70</v>
      </c>
      <c r="E259" s="219">
        <v>0</v>
      </c>
      <c r="F259" s="219">
        <v>857</v>
      </c>
      <c r="G259" s="1" t="s">
        <v>22</v>
      </c>
      <c r="H259" s="1" t="s">
        <v>1</v>
      </c>
      <c r="I259" s="1" t="s">
        <v>246</v>
      </c>
      <c r="J259" s="1" t="s">
        <v>23</v>
      </c>
      <c r="K259" s="2">
        <f t="shared" ref="K259:O259" si="133">K260</f>
        <v>459000</v>
      </c>
      <c r="L259" s="2">
        <f t="shared" si="133"/>
        <v>472000</v>
      </c>
      <c r="M259" s="2"/>
      <c r="N259" s="2">
        <f t="shared" si="128"/>
        <v>472000</v>
      </c>
      <c r="O259" s="2">
        <f t="shared" si="133"/>
        <v>472000</v>
      </c>
      <c r="P259" s="342"/>
      <c r="Q259" s="2">
        <f t="shared" si="125"/>
        <v>472000</v>
      </c>
    </row>
    <row r="260" spans="1:17" ht="15" customHeight="1" x14ac:dyDescent="0.25">
      <c r="A260" s="15"/>
      <c r="B260" s="387" t="s">
        <v>24</v>
      </c>
      <c r="C260" s="387"/>
      <c r="D260" s="219">
        <v>70</v>
      </c>
      <c r="E260" s="219">
        <v>0</v>
      </c>
      <c r="F260" s="219">
        <v>857</v>
      </c>
      <c r="G260" s="1" t="s">
        <v>17</v>
      </c>
      <c r="H260" s="1" t="s">
        <v>1</v>
      </c>
      <c r="I260" s="1" t="s">
        <v>246</v>
      </c>
      <c r="J260" s="1" t="s">
        <v>25</v>
      </c>
      <c r="K260" s="2">
        <f>'6 Вед15'!J387</f>
        <v>459000</v>
      </c>
      <c r="L260" s="2">
        <v>472000</v>
      </c>
      <c r="M260" s="2"/>
      <c r="N260" s="2">
        <f t="shared" si="128"/>
        <v>472000</v>
      </c>
      <c r="O260" s="2">
        <v>472000</v>
      </c>
      <c r="P260" s="342"/>
      <c r="Q260" s="2">
        <f t="shared" si="125"/>
        <v>472000</v>
      </c>
    </row>
    <row r="261" spans="1:17" ht="13.5" customHeight="1" x14ac:dyDescent="0.25">
      <c r="A261" s="15"/>
      <c r="B261" s="382" t="s">
        <v>27</v>
      </c>
      <c r="C261" s="219"/>
      <c r="D261" s="219">
        <v>70</v>
      </c>
      <c r="E261" s="219">
        <v>0</v>
      </c>
      <c r="F261" s="219">
        <v>857</v>
      </c>
      <c r="G261" s="1" t="s">
        <v>17</v>
      </c>
      <c r="H261" s="1" t="s">
        <v>3</v>
      </c>
      <c r="I261" s="1" t="s">
        <v>246</v>
      </c>
      <c r="J261" s="1" t="s">
        <v>28</v>
      </c>
      <c r="K261" s="2">
        <f>K262</f>
        <v>29700</v>
      </c>
      <c r="L261" s="2">
        <f t="shared" ref="L261:O261" si="134">L262</f>
        <v>28200</v>
      </c>
      <c r="M261" s="2"/>
      <c r="N261" s="2">
        <f t="shared" si="128"/>
        <v>28200</v>
      </c>
      <c r="O261" s="2">
        <f t="shared" si="134"/>
        <v>28200</v>
      </c>
      <c r="P261" s="342"/>
      <c r="Q261" s="2">
        <f t="shared" si="125"/>
        <v>28200</v>
      </c>
    </row>
    <row r="262" spans="1:17" ht="25.5" customHeight="1" x14ac:dyDescent="0.25">
      <c r="A262" s="15"/>
      <c r="B262" s="382" t="s">
        <v>29</v>
      </c>
      <c r="C262" s="219"/>
      <c r="D262" s="219">
        <v>70</v>
      </c>
      <c r="E262" s="219">
        <v>0</v>
      </c>
      <c r="F262" s="219">
        <v>857</v>
      </c>
      <c r="G262" s="1" t="s">
        <v>17</v>
      </c>
      <c r="H262" s="1" t="s">
        <v>3</v>
      </c>
      <c r="I262" s="1" t="s">
        <v>246</v>
      </c>
      <c r="J262" s="1" t="s">
        <v>30</v>
      </c>
      <c r="K262" s="2">
        <f>'6 Вед15'!J389</f>
        <v>29700</v>
      </c>
      <c r="L262" s="2">
        <v>28200</v>
      </c>
      <c r="M262" s="2"/>
      <c r="N262" s="2">
        <f t="shared" si="128"/>
        <v>28200</v>
      </c>
      <c r="O262" s="2">
        <v>28200</v>
      </c>
      <c r="P262" s="342"/>
      <c r="Q262" s="2">
        <f t="shared" si="125"/>
        <v>28200</v>
      </c>
    </row>
    <row r="263" spans="1:17" ht="26.25" hidden="1" customHeight="1" x14ac:dyDescent="0.25">
      <c r="A263" s="509" t="s">
        <v>249</v>
      </c>
      <c r="B263" s="509"/>
      <c r="C263" s="382"/>
      <c r="D263" s="219">
        <v>70</v>
      </c>
      <c r="E263" s="219">
        <v>0</v>
      </c>
      <c r="F263" s="219">
        <v>857</v>
      </c>
      <c r="G263" s="1" t="s">
        <v>22</v>
      </c>
      <c r="H263" s="1" t="s">
        <v>1</v>
      </c>
      <c r="I263" s="1" t="s">
        <v>488</v>
      </c>
      <c r="J263" s="2"/>
      <c r="K263" s="2">
        <f t="shared" ref="K263:O264" si="135">K264</f>
        <v>18000</v>
      </c>
      <c r="L263" s="2">
        <f t="shared" si="135"/>
        <v>0</v>
      </c>
      <c r="M263" s="2"/>
      <c r="N263" s="2">
        <f t="shared" si="128"/>
        <v>0</v>
      </c>
      <c r="O263" s="2">
        <f t="shared" si="135"/>
        <v>0</v>
      </c>
      <c r="P263" s="342"/>
      <c r="Q263" s="2">
        <f t="shared" si="125"/>
        <v>0</v>
      </c>
    </row>
    <row r="264" spans="1:17" ht="14.25" hidden="1" customHeight="1" x14ac:dyDescent="0.25">
      <c r="A264" s="15"/>
      <c r="B264" s="382" t="s">
        <v>27</v>
      </c>
      <c r="C264" s="387"/>
      <c r="D264" s="219">
        <v>70</v>
      </c>
      <c r="E264" s="219">
        <v>0</v>
      </c>
      <c r="F264" s="219">
        <v>857</v>
      </c>
      <c r="G264" s="1" t="s">
        <v>17</v>
      </c>
      <c r="H264" s="1" t="s">
        <v>1</v>
      </c>
      <c r="I264" s="1" t="s">
        <v>488</v>
      </c>
      <c r="J264" s="1" t="s">
        <v>28</v>
      </c>
      <c r="K264" s="2">
        <f t="shared" si="135"/>
        <v>18000</v>
      </c>
      <c r="L264" s="2">
        <f t="shared" si="135"/>
        <v>0</v>
      </c>
      <c r="M264" s="2"/>
      <c r="N264" s="2">
        <f t="shared" si="128"/>
        <v>0</v>
      </c>
      <c r="O264" s="2">
        <f t="shared" si="135"/>
        <v>0</v>
      </c>
      <c r="P264" s="342"/>
      <c r="Q264" s="2">
        <f t="shared" si="125"/>
        <v>0</v>
      </c>
    </row>
    <row r="265" spans="1:17" ht="24" hidden="1" x14ac:dyDescent="0.25">
      <c r="A265" s="15"/>
      <c r="B265" s="382" t="s">
        <v>29</v>
      </c>
      <c r="C265" s="382"/>
      <c r="D265" s="219">
        <v>70</v>
      </c>
      <c r="E265" s="219">
        <v>0</v>
      </c>
      <c r="F265" s="219">
        <v>857</v>
      </c>
      <c r="G265" s="1" t="s">
        <v>17</v>
      </c>
      <c r="H265" s="1" t="s">
        <v>1</v>
      </c>
      <c r="I265" s="1" t="s">
        <v>488</v>
      </c>
      <c r="J265" s="1" t="s">
        <v>30</v>
      </c>
      <c r="K265" s="2">
        <f>'6 Вед15'!J392</f>
        <v>18000</v>
      </c>
      <c r="L265" s="2">
        <f>'6 Вед15'!K392</f>
        <v>0</v>
      </c>
      <c r="M265" s="2"/>
      <c r="N265" s="2">
        <f t="shared" si="128"/>
        <v>0</v>
      </c>
      <c r="O265" s="2"/>
      <c r="P265" s="342"/>
      <c r="Q265" s="2">
        <f t="shared" si="125"/>
        <v>0</v>
      </c>
    </row>
    <row r="266" spans="1:17" s="13" customFormat="1" ht="16.5" customHeight="1" x14ac:dyDescent="0.25">
      <c r="A266" s="390"/>
      <c r="B266" s="386" t="s">
        <v>166</v>
      </c>
      <c r="C266" s="386"/>
      <c r="D266" s="16"/>
      <c r="E266" s="16"/>
      <c r="F266" s="16"/>
      <c r="G266" s="11"/>
      <c r="H266" s="11"/>
      <c r="I266" s="11"/>
      <c r="J266" s="11"/>
      <c r="K266" s="12">
        <f>K8+K146+K212+K237</f>
        <v>234246433</v>
      </c>
      <c r="L266" s="12">
        <f>L8+L146+L212+L237</f>
        <v>230823280</v>
      </c>
      <c r="M266" s="12">
        <f t="shared" ref="M266:Q266" si="136">M8+M146+M212+M237</f>
        <v>-5599900</v>
      </c>
      <c r="N266" s="12">
        <f t="shared" si="136"/>
        <v>225223380</v>
      </c>
      <c r="O266" s="12">
        <f t="shared" si="136"/>
        <v>229348073</v>
      </c>
      <c r="P266" s="12">
        <f t="shared" si="136"/>
        <v>-5153400</v>
      </c>
      <c r="Q266" s="12">
        <f t="shared" si="136"/>
        <v>224194673</v>
      </c>
    </row>
    <row r="267" spans="1:17" x14ac:dyDescent="0.25">
      <c r="G267" s="6"/>
      <c r="H267" s="6"/>
      <c r="K267" s="9"/>
    </row>
    <row r="268" spans="1:17" x14ac:dyDescent="0.25">
      <c r="G268" s="6"/>
      <c r="H268" s="6"/>
      <c r="K268" s="9">
        <f>'6 Вед15'!J393</f>
        <v>234246433</v>
      </c>
      <c r="L268" s="9">
        <f>'6 Вед15'!K393</f>
        <v>8505006</v>
      </c>
      <c r="M268" s="9"/>
      <c r="N268" s="9"/>
      <c r="O268" s="9">
        <f>'6 Вед15'!L393</f>
        <v>242751439</v>
      </c>
    </row>
    <row r="269" spans="1:17" x14ac:dyDescent="0.25">
      <c r="G269" s="6"/>
      <c r="H269" s="6"/>
      <c r="K269" s="9">
        <f t="shared" ref="K269:O269" si="137">K266-K268</f>
        <v>0</v>
      </c>
      <c r="L269" s="9">
        <f t="shared" si="137"/>
        <v>222318274</v>
      </c>
      <c r="M269" s="9"/>
      <c r="N269" s="9"/>
      <c r="O269" s="9">
        <f t="shared" si="137"/>
        <v>-13403366</v>
      </c>
    </row>
    <row r="270" spans="1:17" x14ac:dyDescent="0.25">
      <c r="F270" s="67"/>
      <c r="G270" s="68"/>
      <c r="H270" s="68"/>
      <c r="I270" s="67"/>
      <c r="J270" s="68"/>
      <c r="K270" s="9"/>
    </row>
    <row r="271" spans="1:17" x14ac:dyDescent="0.25">
      <c r="F271" s="6"/>
    </row>
    <row r="272" spans="1:17" x14ac:dyDescent="0.25">
      <c r="F272" s="6"/>
    </row>
    <row r="273" spans="6:9" x14ac:dyDescent="0.25">
      <c r="F273" s="6"/>
    </row>
    <row r="274" spans="6:9" x14ac:dyDescent="0.25">
      <c r="F274" s="6"/>
    </row>
    <row r="275" spans="6:9" x14ac:dyDescent="0.25">
      <c r="F275" s="6"/>
      <c r="G275" s="6"/>
      <c r="H275" s="6"/>
      <c r="I275" s="6"/>
    </row>
    <row r="276" spans="6:9" x14ac:dyDescent="0.25">
      <c r="F276" s="6"/>
    </row>
    <row r="277" spans="6:9" x14ac:dyDescent="0.25">
      <c r="F277" s="6"/>
    </row>
    <row r="278" spans="6:9" x14ac:dyDescent="0.25">
      <c r="F278" s="6"/>
    </row>
    <row r="279" spans="6:9" x14ac:dyDescent="0.25">
      <c r="F279" s="6"/>
    </row>
    <row r="280" spans="6:9" x14ac:dyDescent="0.25">
      <c r="F280" s="6"/>
    </row>
    <row r="281" spans="6:9" x14ac:dyDescent="0.25">
      <c r="F281" s="6"/>
    </row>
    <row r="282" spans="6:9" x14ac:dyDescent="0.25">
      <c r="F282" s="6"/>
    </row>
    <row r="284" spans="6:9" x14ac:dyDescent="0.25">
      <c r="F284" s="6"/>
    </row>
    <row r="285" spans="6:9" x14ac:dyDescent="0.25">
      <c r="F285" s="6"/>
    </row>
    <row r="286" spans="6:9" x14ac:dyDescent="0.25">
      <c r="F286" s="6"/>
    </row>
    <row r="287" spans="6:9" x14ac:dyDescent="0.25">
      <c r="F287" s="6"/>
      <c r="G287" s="6"/>
      <c r="H287" s="6"/>
      <c r="I287" s="6"/>
    </row>
    <row r="288" spans="6:9" x14ac:dyDescent="0.25">
      <c r="F288" s="6"/>
      <c r="G288" s="6"/>
      <c r="H288" s="6"/>
      <c r="I288" s="6"/>
    </row>
    <row r="289" spans="6:15" x14ac:dyDescent="0.25">
      <c r="F289" s="6"/>
      <c r="G289" s="6"/>
      <c r="H289" s="6"/>
      <c r="I289" s="6"/>
    </row>
    <row r="290" spans="6:15" x14ac:dyDescent="0.25">
      <c r="F290" s="6"/>
      <c r="G290" s="6"/>
      <c r="H290" s="6"/>
      <c r="I290" s="6"/>
    </row>
    <row r="291" spans="6:15" x14ac:dyDescent="0.25">
      <c r="F291" s="6"/>
      <c r="G291" s="6"/>
      <c r="H291" s="6"/>
      <c r="I291" s="6"/>
    </row>
    <row r="297" spans="6:15" x14ac:dyDescent="0.25">
      <c r="F297" s="6"/>
      <c r="L297" s="9">
        <f>'6 Вед15'!K393</f>
        <v>8505006</v>
      </c>
      <c r="M297" s="9"/>
      <c r="N297" s="9"/>
      <c r="O297" s="9">
        <f>'6 Вед15'!L393</f>
        <v>242751439</v>
      </c>
    </row>
    <row r="298" spans="6:15" x14ac:dyDescent="0.25">
      <c r="L298" s="9">
        <f t="shared" ref="L298:O298" si="138">L266-L297</f>
        <v>222318274</v>
      </c>
      <c r="M298" s="9"/>
      <c r="N298" s="9"/>
      <c r="O298" s="9">
        <f t="shared" si="138"/>
        <v>-13403366</v>
      </c>
    </row>
    <row r="299" spans="6:15" x14ac:dyDescent="0.25">
      <c r="F299" s="6"/>
      <c r="L299" s="9" t="e">
        <f>#REF!</f>
        <v>#REF!</v>
      </c>
      <c r="M299" s="9"/>
      <c r="N299" s="9"/>
      <c r="O299" s="9" t="e">
        <f>#REF!</f>
        <v>#REF!</v>
      </c>
    </row>
    <row r="300" spans="6:15" x14ac:dyDescent="0.25">
      <c r="F300" s="6"/>
      <c r="L300" s="9" t="e">
        <f t="shared" ref="L300:O300" si="139">L266-L299</f>
        <v>#REF!</v>
      </c>
      <c r="M300" s="9"/>
      <c r="N300" s="9"/>
      <c r="O300" s="9" t="e">
        <f t="shared" si="139"/>
        <v>#REF!</v>
      </c>
    </row>
    <row r="301" spans="6:15" x14ac:dyDescent="0.25">
      <c r="F301" s="6"/>
      <c r="L301" s="9" t="e">
        <f>#REF!</f>
        <v>#REF!</v>
      </c>
      <c r="M301" s="9"/>
      <c r="N301" s="9"/>
      <c r="O301" s="9" t="e">
        <f>#REF!</f>
        <v>#REF!</v>
      </c>
    </row>
    <row r="302" spans="6:15" x14ac:dyDescent="0.25">
      <c r="F302" s="6"/>
      <c r="G302" s="6"/>
      <c r="H302" s="6"/>
      <c r="I302" s="6"/>
      <c r="L302" s="9" t="e">
        <f t="shared" ref="L302:O302" si="140">L266-L301</f>
        <v>#REF!</v>
      </c>
      <c r="M302" s="9"/>
      <c r="N302" s="9"/>
      <c r="O302" s="9" t="e">
        <f t="shared" si="140"/>
        <v>#REF!</v>
      </c>
    </row>
    <row r="303" spans="6:15" x14ac:dyDescent="0.25">
      <c r="F303" s="6"/>
      <c r="G303" s="6"/>
      <c r="H303" s="6"/>
      <c r="I303" s="6"/>
      <c r="L303" s="9" t="e">
        <f>'12 Ист.15'!H15</f>
        <v>#REF!</v>
      </c>
      <c r="M303" s="9"/>
      <c r="N303" s="9"/>
      <c r="O303" s="9" t="e">
        <f>'12 Ист.15'!I15</f>
        <v>#REF!</v>
      </c>
    </row>
    <row r="304" spans="6:15" x14ac:dyDescent="0.25">
      <c r="F304" s="6"/>
      <c r="G304" s="6"/>
      <c r="H304" s="6"/>
      <c r="I304" s="6"/>
      <c r="L304" s="9" t="e">
        <f t="shared" ref="L304:O304" si="141">L266-L301-L303</f>
        <v>#REF!</v>
      </c>
      <c r="M304" s="9"/>
      <c r="N304" s="9"/>
      <c r="O304" s="9" t="e">
        <f t="shared" si="141"/>
        <v>#REF!</v>
      </c>
    </row>
    <row r="305" spans="6:9" hidden="1" x14ac:dyDescent="0.25">
      <c r="F305" s="6"/>
      <c r="G305" s="6"/>
      <c r="H305" s="6"/>
      <c r="I305" s="6"/>
    </row>
    <row r="306" spans="6:9" x14ac:dyDescent="0.25">
      <c r="F306" s="6"/>
      <c r="G306" s="6"/>
      <c r="H306" s="6"/>
      <c r="I306" s="6"/>
    </row>
  </sheetData>
  <mergeCells count="94">
    <mergeCell ref="A5:Q5"/>
    <mergeCell ref="E1:L1"/>
    <mergeCell ref="E2:Q2"/>
    <mergeCell ref="A257:B257"/>
    <mergeCell ref="A258:B258"/>
    <mergeCell ref="A8:B8"/>
    <mergeCell ref="A243:B243"/>
    <mergeCell ref="A138:B138"/>
    <mergeCell ref="A154:B154"/>
    <mergeCell ref="A169:B169"/>
    <mergeCell ref="A180:B180"/>
    <mergeCell ref="A188:B188"/>
    <mergeCell ref="A191:B191"/>
    <mergeCell ref="A200:B200"/>
    <mergeCell ref="A203:B203"/>
    <mergeCell ref="A206:B206"/>
    <mergeCell ref="A263:B263"/>
    <mergeCell ref="A214:B214"/>
    <mergeCell ref="A38:B38"/>
    <mergeCell ref="A41:B41"/>
    <mergeCell ref="A174:B174"/>
    <mergeCell ref="A92:B92"/>
    <mergeCell ref="A133:B133"/>
    <mergeCell ref="A136:B136"/>
    <mergeCell ref="A49:B49"/>
    <mergeCell ref="A54:B54"/>
    <mergeCell ref="A79:B79"/>
    <mergeCell ref="A82:B82"/>
    <mergeCell ref="A246:B246"/>
    <mergeCell ref="A160:B160"/>
    <mergeCell ref="A225:B225"/>
    <mergeCell ref="A228:B228"/>
    <mergeCell ref="A242:B242"/>
    <mergeCell ref="A213:B213"/>
    <mergeCell ref="A143:B143"/>
    <mergeCell ref="G6:H6"/>
    <mergeCell ref="A95:B95"/>
    <mergeCell ref="A65:B65"/>
    <mergeCell ref="A185:B185"/>
    <mergeCell ref="A125:B125"/>
    <mergeCell ref="A98:B98"/>
    <mergeCell ref="A112:B112"/>
    <mergeCell ref="A115:B115"/>
    <mergeCell ref="A124:B124"/>
    <mergeCell ref="A101:B101"/>
    <mergeCell ref="A7:B7"/>
    <mergeCell ref="A10:B10"/>
    <mergeCell ref="A25:B25"/>
    <mergeCell ref="E4:Q4"/>
    <mergeCell ref="A250:B250"/>
    <mergeCell ref="A222:B222"/>
    <mergeCell ref="A234:B234"/>
    <mergeCell ref="A237:B237"/>
    <mergeCell ref="A238:B238"/>
    <mergeCell ref="A239:B239"/>
    <mergeCell ref="A231:B231"/>
    <mergeCell ref="A22:B22"/>
    <mergeCell ref="A30:B30"/>
    <mergeCell ref="A35:B35"/>
    <mergeCell ref="A157:B157"/>
    <mergeCell ref="A247:B247"/>
    <mergeCell ref="A177:B177"/>
    <mergeCell ref="A209:B209"/>
    <mergeCell ref="A212:B212"/>
    <mergeCell ref="A44:B44"/>
    <mergeCell ref="A57:B57"/>
    <mergeCell ref="A60:B60"/>
    <mergeCell ref="A68:B68"/>
    <mergeCell ref="A9:B9"/>
    <mergeCell ref="A13:B13"/>
    <mergeCell ref="A147:B147"/>
    <mergeCell ref="A148:B148"/>
    <mergeCell ref="A151:B151"/>
    <mergeCell ref="A123:B123"/>
    <mergeCell ref="A73:B73"/>
    <mergeCell ref="A76:B76"/>
    <mergeCell ref="A84:B84"/>
    <mergeCell ref="A87:B87"/>
    <mergeCell ref="E3:O3"/>
    <mergeCell ref="A137:B137"/>
    <mergeCell ref="A141:B141"/>
    <mergeCell ref="A142:B142"/>
    <mergeCell ref="A146:B146"/>
    <mergeCell ref="A110:B110"/>
    <mergeCell ref="A111:B111"/>
    <mergeCell ref="A128:B128"/>
    <mergeCell ref="A83:B83"/>
    <mergeCell ref="A88:B88"/>
    <mergeCell ref="A89:B89"/>
    <mergeCell ref="A104:B104"/>
    <mergeCell ref="A107:B107"/>
    <mergeCell ref="A116:B116"/>
    <mergeCell ref="A117:B117"/>
    <mergeCell ref="A120:B120"/>
  </mergeCells>
  <pageMargins left="0.11811023622047245" right="0.11811023622047245" top="0.55118110236220474" bottom="0.15748031496062992" header="0.31496062992125984" footer="0.31496062992125984"/>
  <pageSetup paperSize="9" scale="7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activeCell="B12" sqref="B12"/>
    </sheetView>
  </sheetViews>
  <sheetFormatPr defaultRowHeight="12.75" x14ac:dyDescent="0.2"/>
  <cols>
    <col min="1" max="1" width="4.140625" style="46" customWidth="1"/>
    <col min="2" max="2" width="59.5703125" style="46" customWidth="1"/>
    <col min="3" max="3" width="33.28515625" style="46" customWidth="1"/>
    <col min="4" max="4" width="13.85546875" style="46" customWidth="1"/>
    <col min="5" max="251" width="9.140625" style="46"/>
    <col min="252" max="252" width="4.140625" style="46" customWidth="1"/>
    <col min="253" max="253" width="58.85546875" style="46" customWidth="1"/>
    <col min="254" max="254" width="32.85546875" style="46" customWidth="1"/>
    <col min="255" max="507" width="9.140625" style="46"/>
    <col min="508" max="508" width="4.140625" style="46" customWidth="1"/>
    <col min="509" max="509" width="58.85546875" style="46" customWidth="1"/>
    <col min="510" max="510" width="32.85546875" style="46" customWidth="1"/>
    <col min="511" max="763" width="9.140625" style="46"/>
    <col min="764" max="764" width="4.140625" style="46" customWidth="1"/>
    <col min="765" max="765" width="58.85546875" style="46" customWidth="1"/>
    <col min="766" max="766" width="32.85546875" style="46" customWidth="1"/>
    <col min="767" max="1019" width="9.140625" style="46"/>
    <col min="1020" max="1020" width="4.140625" style="46" customWidth="1"/>
    <col min="1021" max="1021" width="58.85546875" style="46" customWidth="1"/>
    <col min="1022" max="1022" width="32.85546875" style="46" customWidth="1"/>
    <col min="1023" max="1275" width="9.140625" style="46"/>
    <col min="1276" max="1276" width="4.140625" style="46" customWidth="1"/>
    <col min="1277" max="1277" width="58.85546875" style="46" customWidth="1"/>
    <col min="1278" max="1278" width="32.85546875" style="46" customWidth="1"/>
    <col min="1279" max="1531" width="9.140625" style="46"/>
    <col min="1532" max="1532" width="4.140625" style="46" customWidth="1"/>
    <col min="1533" max="1533" width="58.85546875" style="46" customWidth="1"/>
    <col min="1534" max="1534" width="32.85546875" style="46" customWidth="1"/>
    <col min="1535" max="1787" width="9.140625" style="46"/>
    <col min="1788" max="1788" width="4.140625" style="46" customWidth="1"/>
    <col min="1789" max="1789" width="58.85546875" style="46" customWidth="1"/>
    <col min="1790" max="1790" width="32.85546875" style="46" customWidth="1"/>
    <col min="1791" max="2043" width="9.140625" style="46"/>
    <col min="2044" max="2044" width="4.140625" style="46" customWidth="1"/>
    <col min="2045" max="2045" width="58.85546875" style="46" customWidth="1"/>
    <col min="2046" max="2046" width="32.85546875" style="46" customWidth="1"/>
    <col min="2047" max="2299" width="9.140625" style="46"/>
    <col min="2300" max="2300" width="4.140625" style="46" customWidth="1"/>
    <col min="2301" max="2301" width="58.85546875" style="46" customWidth="1"/>
    <col min="2302" max="2302" width="32.85546875" style="46" customWidth="1"/>
    <col min="2303" max="2555" width="9.140625" style="46"/>
    <col min="2556" max="2556" width="4.140625" style="46" customWidth="1"/>
    <col min="2557" max="2557" width="58.85546875" style="46" customWidth="1"/>
    <col min="2558" max="2558" width="32.85546875" style="46" customWidth="1"/>
    <col min="2559" max="2811" width="9.140625" style="46"/>
    <col min="2812" max="2812" width="4.140625" style="46" customWidth="1"/>
    <col min="2813" max="2813" width="58.85546875" style="46" customWidth="1"/>
    <col min="2814" max="2814" width="32.85546875" style="46" customWidth="1"/>
    <col min="2815" max="3067" width="9.140625" style="46"/>
    <col min="3068" max="3068" width="4.140625" style="46" customWidth="1"/>
    <col min="3069" max="3069" width="58.85546875" style="46" customWidth="1"/>
    <col min="3070" max="3070" width="32.85546875" style="46" customWidth="1"/>
    <col min="3071" max="3323" width="9.140625" style="46"/>
    <col min="3324" max="3324" width="4.140625" style="46" customWidth="1"/>
    <col min="3325" max="3325" width="58.85546875" style="46" customWidth="1"/>
    <col min="3326" max="3326" width="32.85546875" style="46" customWidth="1"/>
    <col min="3327" max="3579" width="9.140625" style="46"/>
    <col min="3580" max="3580" width="4.140625" style="46" customWidth="1"/>
    <col min="3581" max="3581" width="58.85546875" style="46" customWidth="1"/>
    <col min="3582" max="3582" width="32.85546875" style="46" customWidth="1"/>
    <col min="3583" max="3835" width="9.140625" style="46"/>
    <col min="3836" max="3836" width="4.140625" style="46" customWidth="1"/>
    <col min="3837" max="3837" width="58.85546875" style="46" customWidth="1"/>
    <col min="3838" max="3838" width="32.85546875" style="46" customWidth="1"/>
    <col min="3839" max="4091" width="9.140625" style="46"/>
    <col min="4092" max="4092" width="4.140625" style="46" customWidth="1"/>
    <col min="4093" max="4093" width="58.85546875" style="46" customWidth="1"/>
    <col min="4094" max="4094" width="32.85546875" style="46" customWidth="1"/>
    <col min="4095" max="4347" width="9.140625" style="46"/>
    <col min="4348" max="4348" width="4.140625" style="46" customWidth="1"/>
    <col min="4349" max="4349" width="58.85546875" style="46" customWidth="1"/>
    <col min="4350" max="4350" width="32.85546875" style="46" customWidth="1"/>
    <col min="4351" max="4603" width="9.140625" style="46"/>
    <col min="4604" max="4604" width="4.140625" style="46" customWidth="1"/>
    <col min="4605" max="4605" width="58.85546875" style="46" customWidth="1"/>
    <col min="4606" max="4606" width="32.85546875" style="46" customWidth="1"/>
    <col min="4607" max="4859" width="9.140625" style="46"/>
    <col min="4860" max="4860" width="4.140625" style="46" customWidth="1"/>
    <col min="4861" max="4861" width="58.85546875" style="46" customWidth="1"/>
    <col min="4862" max="4862" width="32.85546875" style="46" customWidth="1"/>
    <col min="4863" max="5115" width="9.140625" style="46"/>
    <col min="5116" max="5116" width="4.140625" style="46" customWidth="1"/>
    <col min="5117" max="5117" width="58.85546875" style="46" customWidth="1"/>
    <col min="5118" max="5118" width="32.85546875" style="46" customWidth="1"/>
    <col min="5119" max="5371" width="9.140625" style="46"/>
    <col min="5372" max="5372" width="4.140625" style="46" customWidth="1"/>
    <col min="5373" max="5373" width="58.85546875" style="46" customWidth="1"/>
    <col min="5374" max="5374" width="32.85546875" style="46" customWidth="1"/>
    <col min="5375" max="5627" width="9.140625" style="46"/>
    <col min="5628" max="5628" width="4.140625" style="46" customWidth="1"/>
    <col min="5629" max="5629" width="58.85546875" style="46" customWidth="1"/>
    <col min="5630" max="5630" width="32.85546875" style="46" customWidth="1"/>
    <col min="5631" max="5883" width="9.140625" style="46"/>
    <col min="5884" max="5884" width="4.140625" style="46" customWidth="1"/>
    <col min="5885" max="5885" width="58.85546875" style="46" customWidth="1"/>
    <col min="5886" max="5886" width="32.85546875" style="46" customWidth="1"/>
    <col min="5887" max="6139" width="9.140625" style="46"/>
    <col min="6140" max="6140" width="4.140625" style="46" customWidth="1"/>
    <col min="6141" max="6141" width="58.85546875" style="46" customWidth="1"/>
    <col min="6142" max="6142" width="32.85546875" style="46" customWidth="1"/>
    <col min="6143" max="6395" width="9.140625" style="46"/>
    <col min="6396" max="6396" width="4.140625" style="46" customWidth="1"/>
    <col min="6397" max="6397" width="58.85546875" style="46" customWidth="1"/>
    <col min="6398" max="6398" width="32.85546875" style="46" customWidth="1"/>
    <col min="6399" max="6651" width="9.140625" style="46"/>
    <col min="6652" max="6652" width="4.140625" style="46" customWidth="1"/>
    <col min="6653" max="6653" width="58.85546875" style="46" customWidth="1"/>
    <col min="6654" max="6654" width="32.85546875" style="46" customWidth="1"/>
    <col min="6655" max="6907" width="9.140625" style="46"/>
    <col min="6908" max="6908" width="4.140625" style="46" customWidth="1"/>
    <col min="6909" max="6909" width="58.85546875" style="46" customWidth="1"/>
    <col min="6910" max="6910" width="32.85546875" style="46" customWidth="1"/>
    <col min="6911" max="7163" width="9.140625" style="46"/>
    <col min="7164" max="7164" width="4.140625" style="46" customWidth="1"/>
    <col min="7165" max="7165" width="58.85546875" style="46" customWidth="1"/>
    <col min="7166" max="7166" width="32.85546875" style="46" customWidth="1"/>
    <col min="7167" max="7419" width="9.140625" style="46"/>
    <col min="7420" max="7420" width="4.140625" style="46" customWidth="1"/>
    <col min="7421" max="7421" width="58.85546875" style="46" customWidth="1"/>
    <col min="7422" max="7422" width="32.85546875" style="46" customWidth="1"/>
    <col min="7423" max="7675" width="9.140625" style="46"/>
    <col min="7676" max="7676" width="4.140625" style="46" customWidth="1"/>
    <col min="7677" max="7677" width="58.85546875" style="46" customWidth="1"/>
    <col min="7678" max="7678" width="32.85546875" style="46" customWidth="1"/>
    <col min="7679" max="7931" width="9.140625" style="46"/>
    <col min="7932" max="7932" width="4.140625" style="46" customWidth="1"/>
    <col min="7933" max="7933" width="58.85546875" style="46" customWidth="1"/>
    <col min="7934" max="7934" width="32.85546875" style="46" customWidth="1"/>
    <col min="7935" max="8187" width="9.140625" style="46"/>
    <col min="8188" max="8188" width="4.140625" style="46" customWidth="1"/>
    <col min="8189" max="8189" width="58.85546875" style="46" customWidth="1"/>
    <col min="8190" max="8190" width="32.85546875" style="46" customWidth="1"/>
    <col min="8191" max="8443" width="9.140625" style="46"/>
    <col min="8444" max="8444" width="4.140625" style="46" customWidth="1"/>
    <col min="8445" max="8445" width="58.85546875" style="46" customWidth="1"/>
    <col min="8446" max="8446" width="32.85546875" style="46" customWidth="1"/>
    <col min="8447" max="8699" width="9.140625" style="46"/>
    <col min="8700" max="8700" width="4.140625" style="46" customWidth="1"/>
    <col min="8701" max="8701" width="58.85546875" style="46" customWidth="1"/>
    <col min="8702" max="8702" width="32.85546875" style="46" customWidth="1"/>
    <col min="8703" max="8955" width="9.140625" style="46"/>
    <col min="8956" max="8956" width="4.140625" style="46" customWidth="1"/>
    <col min="8957" max="8957" width="58.85546875" style="46" customWidth="1"/>
    <col min="8958" max="8958" width="32.85546875" style="46" customWidth="1"/>
    <col min="8959" max="9211" width="9.140625" style="46"/>
    <col min="9212" max="9212" width="4.140625" style="46" customWidth="1"/>
    <col min="9213" max="9213" width="58.85546875" style="46" customWidth="1"/>
    <col min="9214" max="9214" width="32.85546875" style="46" customWidth="1"/>
    <col min="9215" max="9467" width="9.140625" style="46"/>
    <col min="9468" max="9468" width="4.140625" style="46" customWidth="1"/>
    <col min="9469" max="9469" width="58.85546875" style="46" customWidth="1"/>
    <col min="9470" max="9470" width="32.85546875" style="46" customWidth="1"/>
    <col min="9471" max="9723" width="9.140625" style="46"/>
    <col min="9724" max="9724" width="4.140625" style="46" customWidth="1"/>
    <col min="9725" max="9725" width="58.85546875" style="46" customWidth="1"/>
    <col min="9726" max="9726" width="32.85546875" style="46" customWidth="1"/>
    <col min="9727" max="9979" width="9.140625" style="46"/>
    <col min="9980" max="9980" width="4.140625" style="46" customWidth="1"/>
    <col min="9981" max="9981" width="58.85546875" style="46" customWidth="1"/>
    <col min="9982" max="9982" width="32.85546875" style="46" customWidth="1"/>
    <col min="9983" max="10235" width="9.140625" style="46"/>
    <col min="10236" max="10236" width="4.140625" style="46" customWidth="1"/>
    <col min="10237" max="10237" width="58.85546875" style="46" customWidth="1"/>
    <col min="10238" max="10238" width="32.85546875" style="46" customWidth="1"/>
    <col min="10239" max="10491" width="9.140625" style="46"/>
    <col min="10492" max="10492" width="4.140625" style="46" customWidth="1"/>
    <col min="10493" max="10493" width="58.85546875" style="46" customWidth="1"/>
    <col min="10494" max="10494" width="32.85546875" style="46" customWidth="1"/>
    <col min="10495" max="10747" width="9.140625" style="46"/>
    <col min="10748" max="10748" width="4.140625" style="46" customWidth="1"/>
    <col min="10749" max="10749" width="58.85546875" style="46" customWidth="1"/>
    <col min="10750" max="10750" width="32.85546875" style="46" customWidth="1"/>
    <col min="10751" max="11003" width="9.140625" style="46"/>
    <col min="11004" max="11004" width="4.140625" style="46" customWidth="1"/>
    <col min="11005" max="11005" width="58.85546875" style="46" customWidth="1"/>
    <col min="11006" max="11006" width="32.85546875" style="46" customWidth="1"/>
    <col min="11007" max="11259" width="9.140625" style="46"/>
    <col min="11260" max="11260" width="4.140625" style="46" customWidth="1"/>
    <col min="11261" max="11261" width="58.85546875" style="46" customWidth="1"/>
    <col min="11262" max="11262" width="32.85546875" style="46" customWidth="1"/>
    <col min="11263" max="11515" width="9.140625" style="46"/>
    <col min="11516" max="11516" width="4.140625" style="46" customWidth="1"/>
    <col min="11517" max="11517" width="58.85546875" style="46" customWidth="1"/>
    <col min="11518" max="11518" width="32.85546875" style="46" customWidth="1"/>
    <col min="11519" max="11771" width="9.140625" style="46"/>
    <col min="11772" max="11772" width="4.140625" style="46" customWidth="1"/>
    <col min="11773" max="11773" width="58.85546875" style="46" customWidth="1"/>
    <col min="11774" max="11774" width="32.85546875" style="46" customWidth="1"/>
    <col min="11775" max="12027" width="9.140625" style="46"/>
    <col min="12028" max="12028" width="4.140625" style="46" customWidth="1"/>
    <col min="12029" max="12029" width="58.85546875" style="46" customWidth="1"/>
    <col min="12030" max="12030" width="32.85546875" style="46" customWidth="1"/>
    <col min="12031" max="12283" width="9.140625" style="46"/>
    <col min="12284" max="12284" width="4.140625" style="46" customWidth="1"/>
    <col min="12285" max="12285" width="58.85546875" style="46" customWidth="1"/>
    <col min="12286" max="12286" width="32.85546875" style="46" customWidth="1"/>
    <col min="12287" max="12539" width="9.140625" style="46"/>
    <col min="12540" max="12540" width="4.140625" style="46" customWidth="1"/>
    <col min="12541" max="12541" width="58.85546875" style="46" customWidth="1"/>
    <col min="12542" max="12542" width="32.85546875" style="46" customWidth="1"/>
    <col min="12543" max="12795" width="9.140625" style="46"/>
    <col min="12796" max="12796" width="4.140625" style="46" customWidth="1"/>
    <col min="12797" max="12797" width="58.85546875" style="46" customWidth="1"/>
    <col min="12798" max="12798" width="32.85546875" style="46" customWidth="1"/>
    <col min="12799" max="13051" width="9.140625" style="46"/>
    <col min="13052" max="13052" width="4.140625" style="46" customWidth="1"/>
    <col min="13053" max="13053" width="58.85546875" style="46" customWidth="1"/>
    <col min="13054" max="13054" width="32.85546875" style="46" customWidth="1"/>
    <col min="13055" max="13307" width="9.140625" style="46"/>
    <col min="13308" max="13308" width="4.140625" style="46" customWidth="1"/>
    <col min="13309" max="13309" width="58.85546875" style="46" customWidth="1"/>
    <col min="13310" max="13310" width="32.85546875" style="46" customWidth="1"/>
    <col min="13311" max="13563" width="9.140625" style="46"/>
    <col min="13564" max="13564" width="4.140625" style="46" customWidth="1"/>
    <col min="13565" max="13565" width="58.85546875" style="46" customWidth="1"/>
    <col min="13566" max="13566" width="32.85546875" style="46" customWidth="1"/>
    <col min="13567" max="13819" width="9.140625" style="46"/>
    <col min="13820" max="13820" width="4.140625" style="46" customWidth="1"/>
    <col min="13821" max="13821" width="58.85546875" style="46" customWidth="1"/>
    <col min="13822" max="13822" width="32.85546875" style="46" customWidth="1"/>
    <col min="13823" max="14075" width="9.140625" style="46"/>
    <col min="14076" max="14076" width="4.140625" style="46" customWidth="1"/>
    <col min="14077" max="14077" width="58.85546875" style="46" customWidth="1"/>
    <col min="14078" max="14078" width="32.85546875" style="46" customWidth="1"/>
    <col min="14079" max="14331" width="9.140625" style="46"/>
    <col min="14332" max="14332" width="4.140625" style="46" customWidth="1"/>
    <col min="14333" max="14333" width="58.85546875" style="46" customWidth="1"/>
    <col min="14334" max="14334" width="32.85546875" style="46" customWidth="1"/>
    <col min="14335" max="14587" width="9.140625" style="46"/>
    <col min="14588" max="14588" width="4.140625" style="46" customWidth="1"/>
    <col min="14589" max="14589" width="58.85546875" style="46" customWidth="1"/>
    <col min="14590" max="14590" width="32.85546875" style="46" customWidth="1"/>
    <col min="14591" max="14843" width="9.140625" style="46"/>
    <col min="14844" max="14844" width="4.140625" style="46" customWidth="1"/>
    <col min="14845" max="14845" width="58.85546875" style="46" customWidth="1"/>
    <col min="14846" max="14846" width="32.85546875" style="46" customWidth="1"/>
    <col min="14847" max="15099" width="9.140625" style="46"/>
    <col min="15100" max="15100" width="4.140625" style="46" customWidth="1"/>
    <col min="15101" max="15101" width="58.85546875" style="46" customWidth="1"/>
    <col min="15102" max="15102" width="32.85546875" style="46" customWidth="1"/>
    <col min="15103" max="15355" width="9.140625" style="46"/>
    <col min="15356" max="15356" width="4.140625" style="46" customWidth="1"/>
    <col min="15357" max="15357" width="58.85546875" style="46" customWidth="1"/>
    <col min="15358" max="15358" width="32.85546875" style="46" customWidth="1"/>
    <col min="15359" max="15611" width="9.140625" style="46"/>
    <col min="15612" max="15612" width="4.140625" style="46" customWidth="1"/>
    <col min="15613" max="15613" width="58.85546875" style="46" customWidth="1"/>
    <col min="15614" max="15614" width="32.85546875" style="46" customWidth="1"/>
    <col min="15615" max="15867" width="9.140625" style="46"/>
    <col min="15868" max="15868" width="4.140625" style="46" customWidth="1"/>
    <col min="15869" max="15869" width="58.85546875" style="46" customWidth="1"/>
    <col min="15870" max="15870" width="32.85546875" style="46" customWidth="1"/>
    <col min="15871" max="16123" width="9.140625" style="46"/>
    <col min="16124" max="16124" width="4.140625" style="46" customWidth="1"/>
    <col min="16125" max="16125" width="58.85546875" style="46" customWidth="1"/>
    <col min="16126" max="16126" width="32.85546875" style="46" customWidth="1"/>
    <col min="16127" max="16384" width="9.140625" style="46"/>
  </cols>
  <sheetData>
    <row r="1" spans="1:3" x14ac:dyDescent="0.2">
      <c r="A1" s="43"/>
      <c r="B1" s="44"/>
      <c r="C1" s="45" t="s">
        <v>551</v>
      </c>
    </row>
    <row r="2" spans="1:3" ht="66" customHeight="1" x14ac:dyDescent="0.2">
      <c r="A2" s="43"/>
      <c r="B2" s="44"/>
      <c r="C2" s="186" t="s">
        <v>463</v>
      </c>
    </row>
    <row r="3" spans="1:3" x14ac:dyDescent="0.2">
      <c r="A3" s="43"/>
      <c r="B3" s="44"/>
      <c r="C3" s="47" t="s">
        <v>171</v>
      </c>
    </row>
    <row r="4" spans="1:3" s="62" customFormat="1" ht="81.75" customHeight="1" x14ac:dyDescent="0.25">
      <c r="A4" s="60"/>
      <c r="B4" s="546" t="s">
        <v>470</v>
      </c>
      <c r="C4" s="546"/>
    </row>
    <row r="5" spans="1:3" ht="15" x14ac:dyDescent="0.2">
      <c r="A5" s="43"/>
      <c r="B5" s="49"/>
      <c r="C5" s="49"/>
    </row>
    <row r="6" spans="1:3" s="51" customFormat="1" ht="30.75" customHeight="1" x14ac:dyDescent="0.25">
      <c r="A6" s="331" t="s">
        <v>172</v>
      </c>
      <c r="B6" s="331" t="s">
        <v>173</v>
      </c>
      <c r="C6" s="332" t="s">
        <v>174</v>
      </c>
    </row>
    <row r="7" spans="1:3" s="82" customFormat="1" ht="41.25" customHeight="1" x14ac:dyDescent="0.25">
      <c r="A7" s="78">
        <v>1</v>
      </c>
      <c r="B7" s="79" t="s">
        <v>175</v>
      </c>
      <c r="C7" s="80">
        <v>1369205</v>
      </c>
    </row>
    <row r="8" spans="1:3" s="82" customFormat="1" ht="41.25" customHeight="1" x14ac:dyDescent="0.25">
      <c r="A8" s="78">
        <v>2</v>
      </c>
      <c r="B8" s="79" t="s">
        <v>176</v>
      </c>
      <c r="C8" s="80">
        <v>563172</v>
      </c>
    </row>
    <row r="9" spans="1:3" s="82" customFormat="1" ht="41.25" customHeight="1" x14ac:dyDescent="0.25">
      <c r="A9" s="78">
        <v>3</v>
      </c>
      <c r="B9" s="79" t="s">
        <v>177</v>
      </c>
      <c r="C9" s="80">
        <v>1134489</v>
      </c>
    </row>
    <row r="10" spans="1:3" s="82" customFormat="1" ht="41.25" customHeight="1" x14ac:dyDescent="0.25">
      <c r="A10" s="78">
        <v>4</v>
      </c>
      <c r="B10" s="79" t="s">
        <v>178</v>
      </c>
      <c r="C10" s="80">
        <v>1701554</v>
      </c>
    </row>
    <row r="11" spans="1:3" s="82" customFormat="1" ht="41.25" customHeight="1" x14ac:dyDescent="0.25">
      <c r="A11" s="78">
        <v>5</v>
      </c>
      <c r="B11" s="79" t="s">
        <v>179</v>
      </c>
      <c r="C11" s="80">
        <v>566810</v>
      </c>
    </row>
    <row r="12" spans="1:3" s="82" customFormat="1" ht="41.25" customHeight="1" x14ac:dyDescent="0.25">
      <c r="A12" s="78">
        <v>6</v>
      </c>
      <c r="B12" s="79" t="s">
        <v>180</v>
      </c>
      <c r="C12" s="80">
        <v>546770</v>
      </c>
    </row>
    <row r="13" spans="1:3" s="87" customFormat="1" ht="41.25" customHeight="1" x14ac:dyDescent="0.25">
      <c r="A13" s="83"/>
      <c r="B13" s="84" t="s">
        <v>9</v>
      </c>
      <c r="C13" s="85">
        <f>SUM(C7:C12)</f>
        <v>5882000</v>
      </c>
    </row>
  </sheetData>
  <mergeCells count="1">
    <mergeCell ref="B4:C4"/>
  </mergeCells>
  <pageMargins left="0.9055118110236221" right="0.51181102362204722" top="0.15748031496062992" bottom="0.74803149606299213" header="0.31496062992125984" footer="0.31496062992125984"/>
  <pageSetup paperSize="9"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election activeCell="G1" sqref="G1:J1048576"/>
    </sheetView>
  </sheetViews>
  <sheetFormatPr defaultRowHeight="12.75" x14ac:dyDescent="0.2"/>
  <cols>
    <col min="1" max="1" width="4.140625" style="46" customWidth="1"/>
    <col min="2" max="2" width="56" style="46" customWidth="1"/>
    <col min="3" max="4" width="19.140625" style="46" hidden="1" customWidth="1"/>
    <col min="5" max="5" width="30" style="46" customWidth="1"/>
    <col min="6" max="7" width="9.140625" style="46"/>
    <col min="8" max="8" width="13.5703125" style="46" customWidth="1"/>
    <col min="9" max="254" width="9.140625" style="46"/>
    <col min="255" max="255" width="4.140625" style="46" customWidth="1"/>
    <col min="256" max="256" width="58.85546875" style="46" customWidth="1"/>
    <col min="257" max="257" width="32.85546875" style="46" customWidth="1"/>
    <col min="258" max="510" width="9.140625" style="46"/>
    <col min="511" max="511" width="4.140625" style="46" customWidth="1"/>
    <col min="512" max="512" width="58.85546875" style="46" customWidth="1"/>
    <col min="513" max="513" width="32.85546875" style="46" customWidth="1"/>
    <col min="514" max="766" width="9.140625" style="46"/>
    <col min="767" max="767" width="4.140625" style="46" customWidth="1"/>
    <col min="768" max="768" width="58.85546875" style="46" customWidth="1"/>
    <col min="769" max="769" width="32.85546875" style="46" customWidth="1"/>
    <col min="770" max="1022" width="9.140625" style="46"/>
    <col min="1023" max="1023" width="4.140625" style="46" customWidth="1"/>
    <col min="1024" max="1024" width="58.85546875" style="46" customWidth="1"/>
    <col min="1025" max="1025" width="32.85546875" style="46" customWidth="1"/>
    <col min="1026" max="1278" width="9.140625" style="46"/>
    <col min="1279" max="1279" width="4.140625" style="46" customWidth="1"/>
    <col min="1280" max="1280" width="58.85546875" style="46" customWidth="1"/>
    <col min="1281" max="1281" width="32.85546875" style="46" customWidth="1"/>
    <col min="1282" max="1534" width="9.140625" style="46"/>
    <col min="1535" max="1535" width="4.140625" style="46" customWidth="1"/>
    <col min="1536" max="1536" width="58.85546875" style="46" customWidth="1"/>
    <col min="1537" max="1537" width="32.85546875" style="46" customWidth="1"/>
    <col min="1538" max="1790" width="9.140625" style="46"/>
    <col min="1791" max="1791" width="4.140625" style="46" customWidth="1"/>
    <col min="1792" max="1792" width="58.85546875" style="46" customWidth="1"/>
    <col min="1793" max="1793" width="32.85546875" style="46" customWidth="1"/>
    <col min="1794" max="2046" width="9.140625" style="46"/>
    <col min="2047" max="2047" width="4.140625" style="46" customWidth="1"/>
    <col min="2048" max="2048" width="58.85546875" style="46" customWidth="1"/>
    <col min="2049" max="2049" width="32.85546875" style="46" customWidth="1"/>
    <col min="2050" max="2302" width="9.140625" style="46"/>
    <col min="2303" max="2303" width="4.140625" style="46" customWidth="1"/>
    <col min="2304" max="2304" width="58.85546875" style="46" customWidth="1"/>
    <col min="2305" max="2305" width="32.85546875" style="46" customWidth="1"/>
    <col min="2306" max="2558" width="9.140625" style="46"/>
    <col min="2559" max="2559" width="4.140625" style="46" customWidth="1"/>
    <col min="2560" max="2560" width="58.85546875" style="46" customWidth="1"/>
    <col min="2561" max="2561" width="32.85546875" style="46" customWidth="1"/>
    <col min="2562" max="2814" width="9.140625" style="46"/>
    <col min="2815" max="2815" width="4.140625" style="46" customWidth="1"/>
    <col min="2816" max="2816" width="58.85546875" style="46" customWidth="1"/>
    <col min="2817" max="2817" width="32.85546875" style="46" customWidth="1"/>
    <col min="2818" max="3070" width="9.140625" style="46"/>
    <col min="3071" max="3071" width="4.140625" style="46" customWidth="1"/>
    <col min="3072" max="3072" width="58.85546875" style="46" customWidth="1"/>
    <col min="3073" max="3073" width="32.85546875" style="46" customWidth="1"/>
    <col min="3074" max="3326" width="9.140625" style="46"/>
    <col min="3327" max="3327" width="4.140625" style="46" customWidth="1"/>
    <col min="3328" max="3328" width="58.85546875" style="46" customWidth="1"/>
    <col min="3329" max="3329" width="32.85546875" style="46" customWidth="1"/>
    <col min="3330" max="3582" width="9.140625" style="46"/>
    <col min="3583" max="3583" width="4.140625" style="46" customWidth="1"/>
    <col min="3584" max="3584" width="58.85546875" style="46" customWidth="1"/>
    <col min="3585" max="3585" width="32.85546875" style="46" customWidth="1"/>
    <col min="3586" max="3838" width="9.140625" style="46"/>
    <col min="3839" max="3839" width="4.140625" style="46" customWidth="1"/>
    <col min="3840" max="3840" width="58.85546875" style="46" customWidth="1"/>
    <col min="3841" max="3841" width="32.85546875" style="46" customWidth="1"/>
    <col min="3842" max="4094" width="9.140625" style="46"/>
    <col min="4095" max="4095" width="4.140625" style="46" customWidth="1"/>
    <col min="4096" max="4096" width="58.85546875" style="46" customWidth="1"/>
    <col min="4097" max="4097" width="32.85546875" style="46" customWidth="1"/>
    <col min="4098" max="4350" width="9.140625" style="46"/>
    <col min="4351" max="4351" width="4.140625" style="46" customWidth="1"/>
    <col min="4352" max="4352" width="58.85546875" style="46" customWidth="1"/>
    <col min="4353" max="4353" width="32.85546875" style="46" customWidth="1"/>
    <col min="4354" max="4606" width="9.140625" style="46"/>
    <col min="4607" max="4607" width="4.140625" style="46" customWidth="1"/>
    <col min="4608" max="4608" width="58.85546875" style="46" customWidth="1"/>
    <col min="4609" max="4609" width="32.85546875" style="46" customWidth="1"/>
    <col min="4610" max="4862" width="9.140625" style="46"/>
    <col min="4863" max="4863" width="4.140625" style="46" customWidth="1"/>
    <col min="4864" max="4864" width="58.85546875" style="46" customWidth="1"/>
    <col min="4865" max="4865" width="32.85546875" style="46" customWidth="1"/>
    <col min="4866" max="5118" width="9.140625" style="46"/>
    <col min="5119" max="5119" width="4.140625" style="46" customWidth="1"/>
    <col min="5120" max="5120" width="58.85546875" style="46" customWidth="1"/>
    <col min="5121" max="5121" width="32.85546875" style="46" customWidth="1"/>
    <col min="5122" max="5374" width="9.140625" style="46"/>
    <col min="5375" max="5375" width="4.140625" style="46" customWidth="1"/>
    <col min="5376" max="5376" width="58.85546875" style="46" customWidth="1"/>
    <col min="5377" max="5377" width="32.85546875" style="46" customWidth="1"/>
    <col min="5378" max="5630" width="9.140625" style="46"/>
    <col min="5631" max="5631" width="4.140625" style="46" customWidth="1"/>
    <col min="5632" max="5632" width="58.85546875" style="46" customWidth="1"/>
    <col min="5633" max="5633" width="32.85546875" style="46" customWidth="1"/>
    <col min="5634" max="5886" width="9.140625" style="46"/>
    <col min="5887" max="5887" width="4.140625" style="46" customWidth="1"/>
    <col min="5888" max="5888" width="58.85546875" style="46" customWidth="1"/>
    <col min="5889" max="5889" width="32.85546875" style="46" customWidth="1"/>
    <col min="5890" max="6142" width="9.140625" style="46"/>
    <col min="6143" max="6143" width="4.140625" style="46" customWidth="1"/>
    <col min="6144" max="6144" width="58.85546875" style="46" customWidth="1"/>
    <col min="6145" max="6145" width="32.85546875" style="46" customWidth="1"/>
    <col min="6146" max="6398" width="9.140625" style="46"/>
    <col min="6399" max="6399" width="4.140625" style="46" customWidth="1"/>
    <col min="6400" max="6400" width="58.85546875" style="46" customWidth="1"/>
    <col min="6401" max="6401" width="32.85546875" style="46" customWidth="1"/>
    <col min="6402" max="6654" width="9.140625" style="46"/>
    <col min="6655" max="6655" width="4.140625" style="46" customWidth="1"/>
    <col min="6656" max="6656" width="58.85546875" style="46" customWidth="1"/>
    <col min="6657" max="6657" width="32.85546875" style="46" customWidth="1"/>
    <col min="6658" max="6910" width="9.140625" style="46"/>
    <col min="6911" max="6911" width="4.140625" style="46" customWidth="1"/>
    <col min="6912" max="6912" width="58.85546875" style="46" customWidth="1"/>
    <col min="6913" max="6913" width="32.85546875" style="46" customWidth="1"/>
    <col min="6914" max="7166" width="9.140625" style="46"/>
    <col min="7167" max="7167" width="4.140625" style="46" customWidth="1"/>
    <col min="7168" max="7168" width="58.85546875" style="46" customWidth="1"/>
    <col min="7169" max="7169" width="32.85546875" style="46" customWidth="1"/>
    <col min="7170" max="7422" width="9.140625" style="46"/>
    <col min="7423" max="7423" width="4.140625" style="46" customWidth="1"/>
    <col min="7424" max="7424" width="58.85546875" style="46" customWidth="1"/>
    <col min="7425" max="7425" width="32.85546875" style="46" customWidth="1"/>
    <col min="7426" max="7678" width="9.140625" style="46"/>
    <col min="7679" max="7679" width="4.140625" style="46" customWidth="1"/>
    <col min="7680" max="7680" width="58.85546875" style="46" customWidth="1"/>
    <col min="7681" max="7681" width="32.85546875" style="46" customWidth="1"/>
    <col min="7682" max="7934" width="9.140625" style="46"/>
    <col min="7935" max="7935" width="4.140625" style="46" customWidth="1"/>
    <col min="7936" max="7936" width="58.85546875" style="46" customWidth="1"/>
    <col min="7937" max="7937" width="32.85546875" style="46" customWidth="1"/>
    <col min="7938" max="8190" width="9.140625" style="46"/>
    <col min="8191" max="8191" width="4.140625" style="46" customWidth="1"/>
    <col min="8192" max="8192" width="58.85546875" style="46" customWidth="1"/>
    <col min="8193" max="8193" width="32.85546875" style="46" customWidth="1"/>
    <col min="8194" max="8446" width="9.140625" style="46"/>
    <col min="8447" max="8447" width="4.140625" style="46" customWidth="1"/>
    <col min="8448" max="8448" width="58.85546875" style="46" customWidth="1"/>
    <col min="8449" max="8449" width="32.85546875" style="46" customWidth="1"/>
    <col min="8450" max="8702" width="9.140625" style="46"/>
    <col min="8703" max="8703" width="4.140625" style="46" customWidth="1"/>
    <col min="8704" max="8704" width="58.85546875" style="46" customWidth="1"/>
    <col min="8705" max="8705" width="32.85546875" style="46" customWidth="1"/>
    <col min="8706" max="8958" width="9.140625" style="46"/>
    <col min="8959" max="8959" width="4.140625" style="46" customWidth="1"/>
    <col min="8960" max="8960" width="58.85546875" style="46" customWidth="1"/>
    <col min="8961" max="8961" width="32.85546875" style="46" customWidth="1"/>
    <col min="8962" max="9214" width="9.140625" style="46"/>
    <col min="9215" max="9215" width="4.140625" style="46" customWidth="1"/>
    <col min="9216" max="9216" width="58.85546875" style="46" customWidth="1"/>
    <col min="9217" max="9217" width="32.85546875" style="46" customWidth="1"/>
    <col min="9218" max="9470" width="9.140625" style="46"/>
    <col min="9471" max="9471" width="4.140625" style="46" customWidth="1"/>
    <col min="9472" max="9472" width="58.85546875" style="46" customWidth="1"/>
    <col min="9473" max="9473" width="32.85546875" style="46" customWidth="1"/>
    <col min="9474" max="9726" width="9.140625" style="46"/>
    <col min="9727" max="9727" width="4.140625" style="46" customWidth="1"/>
    <col min="9728" max="9728" width="58.85546875" style="46" customWidth="1"/>
    <col min="9729" max="9729" width="32.85546875" style="46" customWidth="1"/>
    <col min="9730" max="9982" width="9.140625" style="46"/>
    <col min="9983" max="9983" width="4.140625" style="46" customWidth="1"/>
    <col min="9984" max="9984" width="58.85546875" style="46" customWidth="1"/>
    <col min="9985" max="9985" width="32.85546875" style="46" customWidth="1"/>
    <col min="9986" max="10238" width="9.140625" style="46"/>
    <col min="10239" max="10239" width="4.140625" style="46" customWidth="1"/>
    <col min="10240" max="10240" width="58.85546875" style="46" customWidth="1"/>
    <col min="10241" max="10241" width="32.85546875" style="46" customWidth="1"/>
    <col min="10242" max="10494" width="9.140625" style="46"/>
    <col min="10495" max="10495" width="4.140625" style="46" customWidth="1"/>
    <col min="10496" max="10496" width="58.85546875" style="46" customWidth="1"/>
    <col min="10497" max="10497" width="32.85546875" style="46" customWidth="1"/>
    <col min="10498" max="10750" width="9.140625" style="46"/>
    <col min="10751" max="10751" width="4.140625" style="46" customWidth="1"/>
    <col min="10752" max="10752" width="58.85546875" style="46" customWidth="1"/>
    <col min="10753" max="10753" width="32.85546875" style="46" customWidth="1"/>
    <col min="10754" max="11006" width="9.140625" style="46"/>
    <col min="11007" max="11007" width="4.140625" style="46" customWidth="1"/>
    <col min="11008" max="11008" width="58.85546875" style="46" customWidth="1"/>
    <col min="11009" max="11009" width="32.85546875" style="46" customWidth="1"/>
    <col min="11010" max="11262" width="9.140625" style="46"/>
    <col min="11263" max="11263" width="4.140625" style="46" customWidth="1"/>
    <col min="11264" max="11264" width="58.85546875" style="46" customWidth="1"/>
    <col min="11265" max="11265" width="32.85546875" style="46" customWidth="1"/>
    <col min="11266" max="11518" width="9.140625" style="46"/>
    <col min="11519" max="11519" width="4.140625" style="46" customWidth="1"/>
    <col min="11520" max="11520" width="58.85546875" style="46" customWidth="1"/>
    <col min="11521" max="11521" width="32.85546875" style="46" customWidth="1"/>
    <col min="11522" max="11774" width="9.140625" style="46"/>
    <col min="11775" max="11775" width="4.140625" style="46" customWidth="1"/>
    <col min="11776" max="11776" width="58.85546875" style="46" customWidth="1"/>
    <col min="11777" max="11777" width="32.85546875" style="46" customWidth="1"/>
    <col min="11778" max="12030" width="9.140625" style="46"/>
    <col min="12031" max="12031" width="4.140625" style="46" customWidth="1"/>
    <col min="12032" max="12032" width="58.85546875" style="46" customWidth="1"/>
    <col min="12033" max="12033" width="32.85546875" style="46" customWidth="1"/>
    <col min="12034" max="12286" width="9.140625" style="46"/>
    <col min="12287" max="12287" width="4.140625" style="46" customWidth="1"/>
    <col min="12288" max="12288" width="58.85546875" style="46" customWidth="1"/>
    <col min="12289" max="12289" width="32.85546875" style="46" customWidth="1"/>
    <col min="12290" max="12542" width="9.140625" style="46"/>
    <col min="12543" max="12543" width="4.140625" style="46" customWidth="1"/>
    <col min="12544" max="12544" width="58.85546875" style="46" customWidth="1"/>
    <col min="12545" max="12545" width="32.85546875" style="46" customWidth="1"/>
    <col min="12546" max="12798" width="9.140625" style="46"/>
    <col min="12799" max="12799" width="4.140625" style="46" customWidth="1"/>
    <col min="12800" max="12800" width="58.85546875" style="46" customWidth="1"/>
    <col min="12801" max="12801" width="32.85546875" style="46" customWidth="1"/>
    <col min="12802" max="13054" width="9.140625" style="46"/>
    <col min="13055" max="13055" width="4.140625" style="46" customWidth="1"/>
    <col min="13056" max="13056" width="58.85546875" style="46" customWidth="1"/>
    <col min="13057" max="13057" width="32.85546875" style="46" customWidth="1"/>
    <col min="13058" max="13310" width="9.140625" style="46"/>
    <col min="13311" max="13311" width="4.140625" style="46" customWidth="1"/>
    <col min="13312" max="13312" width="58.85546875" style="46" customWidth="1"/>
    <col min="13313" max="13313" width="32.85546875" style="46" customWidth="1"/>
    <col min="13314" max="13566" width="9.140625" style="46"/>
    <col min="13567" max="13567" width="4.140625" style="46" customWidth="1"/>
    <col min="13568" max="13568" width="58.85546875" style="46" customWidth="1"/>
    <col min="13569" max="13569" width="32.85546875" style="46" customWidth="1"/>
    <col min="13570" max="13822" width="9.140625" style="46"/>
    <col min="13823" max="13823" width="4.140625" style="46" customWidth="1"/>
    <col min="13824" max="13824" width="58.85546875" style="46" customWidth="1"/>
    <col min="13825" max="13825" width="32.85546875" style="46" customWidth="1"/>
    <col min="13826" max="14078" width="9.140625" style="46"/>
    <col min="14079" max="14079" width="4.140625" style="46" customWidth="1"/>
    <col min="14080" max="14080" width="58.85546875" style="46" customWidth="1"/>
    <col min="14081" max="14081" width="32.85546875" style="46" customWidth="1"/>
    <col min="14082" max="14334" width="9.140625" style="46"/>
    <col min="14335" max="14335" width="4.140625" style="46" customWidth="1"/>
    <col min="14336" max="14336" width="58.85546875" style="46" customWidth="1"/>
    <col min="14337" max="14337" width="32.85546875" style="46" customWidth="1"/>
    <col min="14338" max="14590" width="9.140625" style="46"/>
    <col min="14591" max="14591" width="4.140625" style="46" customWidth="1"/>
    <col min="14592" max="14592" width="58.85546875" style="46" customWidth="1"/>
    <col min="14593" max="14593" width="32.85546875" style="46" customWidth="1"/>
    <col min="14594" max="14846" width="9.140625" style="46"/>
    <col min="14847" max="14847" width="4.140625" style="46" customWidth="1"/>
    <col min="14848" max="14848" width="58.85546875" style="46" customWidth="1"/>
    <col min="14849" max="14849" width="32.85546875" style="46" customWidth="1"/>
    <col min="14850" max="15102" width="9.140625" style="46"/>
    <col min="15103" max="15103" width="4.140625" style="46" customWidth="1"/>
    <col min="15104" max="15104" width="58.85546875" style="46" customWidth="1"/>
    <col min="15105" max="15105" width="32.85546875" style="46" customWidth="1"/>
    <col min="15106" max="15358" width="9.140625" style="46"/>
    <col min="15359" max="15359" width="4.140625" style="46" customWidth="1"/>
    <col min="15360" max="15360" width="58.85546875" style="46" customWidth="1"/>
    <col min="15361" max="15361" width="32.85546875" style="46" customWidth="1"/>
    <col min="15362" max="15614" width="9.140625" style="46"/>
    <col min="15615" max="15615" width="4.140625" style="46" customWidth="1"/>
    <col min="15616" max="15616" width="58.85546875" style="46" customWidth="1"/>
    <col min="15617" max="15617" width="32.85546875" style="46" customWidth="1"/>
    <col min="15618" max="15870" width="9.140625" style="46"/>
    <col min="15871" max="15871" width="4.140625" style="46" customWidth="1"/>
    <col min="15872" max="15872" width="58.85546875" style="46" customWidth="1"/>
    <col min="15873" max="15873" width="32.85546875" style="46" customWidth="1"/>
    <col min="15874" max="16126" width="9.140625" style="46"/>
    <col min="16127" max="16127" width="4.140625" style="46" customWidth="1"/>
    <col min="16128" max="16128" width="58.85546875" style="46" customWidth="1"/>
    <col min="16129" max="16129" width="32.85546875" style="46" customWidth="1"/>
    <col min="16130" max="16384" width="9.140625" style="46"/>
  </cols>
  <sheetData>
    <row r="1" spans="1:8" x14ac:dyDescent="0.2">
      <c r="A1" s="43"/>
      <c r="B1" s="44"/>
      <c r="E1" s="465" t="s">
        <v>551</v>
      </c>
    </row>
    <row r="2" spans="1:8" ht="86.25" customHeight="1" x14ac:dyDescent="0.2">
      <c r="A2" s="43"/>
      <c r="B2" s="44"/>
      <c r="D2" s="186"/>
      <c r="E2" s="186" t="s">
        <v>463</v>
      </c>
      <c r="F2" s="186"/>
      <c r="G2" s="186"/>
    </row>
    <row r="3" spans="1:8" ht="31.5" customHeight="1" x14ac:dyDescent="0.2">
      <c r="A3" s="43"/>
      <c r="B3" s="44"/>
      <c r="E3" s="464" t="s">
        <v>425</v>
      </c>
    </row>
    <row r="4" spans="1:8" s="62" customFormat="1" ht="48" customHeight="1" x14ac:dyDescent="0.25">
      <c r="A4" s="60"/>
      <c r="B4" s="546" t="s">
        <v>472</v>
      </c>
      <c r="C4" s="546"/>
      <c r="D4" s="546"/>
      <c r="E4" s="546"/>
    </row>
    <row r="5" spans="1:8" ht="15" x14ac:dyDescent="0.2">
      <c r="A5" s="43"/>
      <c r="B5" s="49"/>
      <c r="C5" s="49"/>
    </row>
    <row r="6" spans="1:8" s="51" customFormat="1" ht="25.5" x14ac:dyDescent="0.25">
      <c r="A6" s="194" t="s">
        <v>172</v>
      </c>
      <c r="B6" s="194" t="s">
        <v>173</v>
      </c>
      <c r="C6" s="195" t="s">
        <v>174</v>
      </c>
      <c r="D6" s="330" t="s">
        <v>606</v>
      </c>
      <c r="E6" s="330" t="s">
        <v>692</v>
      </c>
    </row>
    <row r="7" spans="1:8" s="82" customFormat="1" ht="35.25" customHeight="1" x14ac:dyDescent="0.25">
      <c r="A7" s="78">
        <v>1</v>
      </c>
      <c r="B7" s="79" t="s">
        <v>175</v>
      </c>
      <c r="C7" s="80">
        <v>2783568</v>
      </c>
      <c r="D7" s="355">
        <v>-278356</v>
      </c>
      <c r="E7" s="356">
        <f>C7+D7</f>
        <v>2505212</v>
      </c>
      <c r="F7" s="358"/>
      <c r="H7" s="357"/>
    </row>
    <row r="8" spans="1:8" s="82" customFormat="1" ht="35.25" customHeight="1" x14ac:dyDescent="0.25">
      <c r="A8" s="78">
        <v>2</v>
      </c>
      <c r="B8" s="79" t="s">
        <v>176</v>
      </c>
      <c r="C8" s="80">
        <v>1045409</v>
      </c>
      <c r="D8" s="355">
        <v>-104541</v>
      </c>
      <c r="E8" s="356">
        <f t="shared" ref="E8:E12" si="0">C8+D8</f>
        <v>940868</v>
      </c>
      <c r="F8" s="358"/>
      <c r="H8" s="357"/>
    </row>
    <row r="9" spans="1:8" s="82" customFormat="1" ht="35.25" customHeight="1" x14ac:dyDescent="0.25">
      <c r="A9" s="78">
        <v>3</v>
      </c>
      <c r="B9" s="79" t="s">
        <v>177</v>
      </c>
      <c r="C9" s="80">
        <v>1413904</v>
      </c>
      <c r="D9" s="355">
        <v>-141390</v>
      </c>
      <c r="E9" s="356">
        <f t="shared" si="0"/>
        <v>1272514</v>
      </c>
      <c r="F9" s="358"/>
      <c r="H9" s="357"/>
    </row>
    <row r="10" spans="1:8" s="82" customFormat="1" ht="35.25" customHeight="1" x14ac:dyDescent="0.25">
      <c r="A10" s="78">
        <v>4</v>
      </c>
      <c r="B10" s="79" t="s">
        <v>178</v>
      </c>
      <c r="C10" s="80">
        <v>1152814</v>
      </c>
      <c r="D10" s="355">
        <v>-115282</v>
      </c>
      <c r="E10" s="356">
        <f t="shared" si="0"/>
        <v>1037532</v>
      </c>
      <c r="F10" s="358"/>
      <c r="H10" s="357"/>
    </row>
    <row r="11" spans="1:8" s="82" customFormat="1" ht="35.25" customHeight="1" x14ac:dyDescent="0.25">
      <c r="A11" s="78">
        <v>5</v>
      </c>
      <c r="B11" s="79" t="s">
        <v>179</v>
      </c>
      <c r="C11" s="80">
        <v>1035504</v>
      </c>
      <c r="D11" s="355">
        <v>-103550</v>
      </c>
      <c r="E11" s="356">
        <f t="shared" si="0"/>
        <v>931954</v>
      </c>
      <c r="F11" s="358"/>
      <c r="H11" s="357"/>
    </row>
    <row r="12" spans="1:8" s="82" customFormat="1" ht="35.25" customHeight="1" x14ac:dyDescent="0.25">
      <c r="A12" s="78">
        <v>6</v>
      </c>
      <c r="B12" s="79" t="s">
        <v>180</v>
      </c>
      <c r="C12" s="80">
        <v>1175801</v>
      </c>
      <c r="D12" s="355">
        <v>-117581</v>
      </c>
      <c r="E12" s="356">
        <f t="shared" si="0"/>
        <v>1058220</v>
      </c>
      <c r="F12" s="358"/>
      <c r="H12" s="357"/>
    </row>
    <row r="13" spans="1:8" s="87" customFormat="1" ht="35.25" customHeight="1" x14ac:dyDescent="0.25">
      <c r="A13" s="83"/>
      <c r="B13" s="84" t="s">
        <v>9</v>
      </c>
      <c r="C13" s="85">
        <f>SUM(C7:C12)</f>
        <v>8607000</v>
      </c>
      <c r="D13" s="85">
        <f t="shared" ref="D13:E13" si="1">SUM(D7:D12)</f>
        <v>-860700</v>
      </c>
      <c r="E13" s="85">
        <f t="shared" si="1"/>
        <v>7746300</v>
      </c>
    </row>
    <row r="15" spans="1:8" x14ac:dyDescent="0.2">
      <c r="C15" s="196"/>
    </row>
  </sheetData>
  <mergeCells count="1">
    <mergeCell ref="B4:E4"/>
  </mergeCells>
  <pageMargins left="0.31496062992125984" right="0.31496062992125984" top="0.74803149606299213" bottom="0.74803149606299213" header="0.31496062992125984" footer="0.31496062992125984"/>
  <pageSetup paperSize="9" scale="8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activeCell="E7" sqref="E7:E8"/>
    </sheetView>
  </sheetViews>
  <sheetFormatPr defaultRowHeight="12.75" x14ac:dyDescent="0.2"/>
  <cols>
    <col min="1" max="1" width="4.140625" style="46" customWidth="1"/>
    <col min="2" max="2" width="51.42578125" style="46" customWidth="1"/>
    <col min="3" max="4" width="20.42578125" style="46" hidden="1" customWidth="1"/>
    <col min="5" max="5" width="31.42578125" style="46" customWidth="1"/>
    <col min="6" max="256" width="9.140625" style="46"/>
    <col min="257" max="257" width="4.140625" style="46" customWidth="1"/>
    <col min="258" max="258" width="58.85546875" style="46" customWidth="1"/>
    <col min="259" max="259" width="32.85546875" style="46" customWidth="1"/>
    <col min="260" max="512" width="9.140625" style="46"/>
    <col min="513" max="513" width="4.140625" style="46" customWidth="1"/>
    <col min="514" max="514" width="58.85546875" style="46" customWidth="1"/>
    <col min="515" max="515" width="32.85546875" style="46" customWidth="1"/>
    <col min="516" max="768" width="9.140625" style="46"/>
    <col min="769" max="769" width="4.140625" style="46" customWidth="1"/>
    <col min="770" max="770" width="58.85546875" style="46" customWidth="1"/>
    <col min="771" max="771" width="32.85546875" style="46" customWidth="1"/>
    <col min="772" max="1024" width="9.140625" style="46"/>
    <col min="1025" max="1025" width="4.140625" style="46" customWidth="1"/>
    <col min="1026" max="1026" width="58.85546875" style="46" customWidth="1"/>
    <col min="1027" max="1027" width="32.85546875" style="46" customWidth="1"/>
    <col min="1028" max="1280" width="9.140625" style="46"/>
    <col min="1281" max="1281" width="4.140625" style="46" customWidth="1"/>
    <col min="1282" max="1282" width="58.85546875" style="46" customWidth="1"/>
    <col min="1283" max="1283" width="32.85546875" style="46" customWidth="1"/>
    <col min="1284" max="1536" width="9.140625" style="46"/>
    <col min="1537" max="1537" width="4.140625" style="46" customWidth="1"/>
    <col min="1538" max="1538" width="58.85546875" style="46" customWidth="1"/>
    <col min="1539" max="1539" width="32.85546875" style="46" customWidth="1"/>
    <col min="1540" max="1792" width="9.140625" style="46"/>
    <col min="1793" max="1793" width="4.140625" style="46" customWidth="1"/>
    <col min="1794" max="1794" width="58.85546875" style="46" customWidth="1"/>
    <col min="1795" max="1795" width="32.85546875" style="46" customWidth="1"/>
    <col min="1796" max="2048" width="9.140625" style="46"/>
    <col min="2049" max="2049" width="4.140625" style="46" customWidth="1"/>
    <col min="2050" max="2050" width="58.85546875" style="46" customWidth="1"/>
    <col min="2051" max="2051" width="32.85546875" style="46" customWidth="1"/>
    <col min="2052" max="2304" width="9.140625" style="46"/>
    <col min="2305" max="2305" width="4.140625" style="46" customWidth="1"/>
    <col min="2306" max="2306" width="58.85546875" style="46" customWidth="1"/>
    <col min="2307" max="2307" width="32.85546875" style="46" customWidth="1"/>
    <col min="2308" max="2560" width="9.140625" style="46"/>
    <col min="2561" max="2561" width="4.140625" style="46" customWidth="1"/>
    <col min="2562" max="2562" width="58.85546875" style="46" customWidth="1"/>
    <col min="2563" max="2563" width="32.85546875" style="46" customWidth="1"/>
    <col min="2564" max="2816" width="9.140625" style="46"/>
    <col min="2817" max="2817" width="4.140625" style="46" customWidth="1"/>
    <col min="2818" max="2818" width="58.85546875" style="46" customWidth="1"/>
    <col min="2819" max="2819" width="32.85546875" style="46" customWidth="1"/>
    <col min="2820" max="3072" width="9.140625" style="46"/>
    <col min="3073" max="3073" width="4.140625" style="46" customWidth="1"/>
    <col min="3074" max="3074" width="58.85546875" style="46" customWidth="1"/>
    <col min="3075" max="3075" width="32.85546875" style="46" customWidth="1"/>
    <col min="3076" max="3328" width="9.140625" style="46"/>
    <col min="3329" max="3329" width="4.140625" style="46" customWidth="1"/>
    <col min="3330" max="3330" width="58.85546875" style="46" customWidth="1"/>
    <col min="3331" max="3331" width="32.85546875" style="46" customWidth="1"/>
    <col min="3332" max="3584" width="9.140625" style="46"/>
    <col min="3585" max="3585" width="4.140625" style="46" customWidth="1"/>
    <col min="3586" max="3586" width="58.85546875" style="46" customWidth="1"/>
    <col min="3587" max="3587" width="32.85546875" style="46" customWidth="1"/>
    <col min="3588" max="3840" width="9.140625" style="46"/>
    <col min="3841" max="3841" width="4.140625" style="46" customWidth="1"/>
    <col min="3842" max="3842" width="58.85546875" style="46" customWidth="1"/>
    <col min="3843" max="3843" width="32.85546875" style="46" customWidth="1"/>
    <col min="3844" max="4096" width="9.140625" style="46"/>
    <col min="4097" max="4097" width="4.140625" style="46" customWidth="1"/>
    <col min="4098" max="4098" width="58.85546875" style="46" customWidth="1"/>
    <col min="4099" max="4099" width="32.85546875" style="46" customWidth="1"/>
    <col min="4100" max="4352" width="9.140625" style="46"/>
    <col min="4353" max="4353" width="4.140625" style="46" customWidth="1"/>
    <col min="4354" max="4354" width="58.85546875" style="46" customWidth="1"/>
    <col min="4355" max="4355" width="32.85546875" style="46" customWidth="1"/>
    <col min="4356" max="4608" width="9.140625" style="46"/>
    <col min="4609" max="4609" width="4.140625" style="46" customWidth="1"/>
    <col min="4610" max="4610" width="58.85546875" style="46" customWidth="1"/>
    <col min="4611" max="4611" width="32.85546875" style="46" customWidth="1"/>
    <col min="4612" max="4864" width="9.140625" style="46"/>
    <col min="4865" max="4865" width="4.140625" style="46" customWidth="1"/>
    <col min="4866" max="4866" width="58.85546875" style="46" customWidth="1"/>
    <col min="4867" max="4867" width="32.85546875" style="46" customWidth="1"/>
    <col min="4868" max="5120" width="9.140625" style="46"/>
    <col min="5121" max="5121" width="4.140625" style="46" customWidth="1"/>
    <col min="5122" max="5122" width="58.85546875" style="46" customWidth="1"/>
    <col min="5123" max="5123" width="32.85546875" style="46" customWidth="1"/>
    <col min="5124" max="5376" width="9.140625" style="46"/>
    <col min="5377" max="5377" width="4.140625" style="46" customWidth="1"/>
    <col min="5378" max="5378" width="58.85546875" style="46" customWidth="1"/>
    <col min="5379" max="5379" width="32.85546875" style="46" customWidth="1"/>
    <col min="5380" max="5632" width="9.140625" style="46"/>
    <col min="5633" max="5633" width="4.140625" style="46" customWidth="1"/>
    <col min="5634" max="5634" width="58.85546875" style="46" customWidth="1"/>
    <col min="5635" max="5635" width="32.85546875" style="46" customWidth="1"/>
    <col min="5636" max="5888" width="9.140625" style="46"/>
    <col min="5889" max="5889" width="4.140625" style="46" customWidth="1"/>
    <col min="5890" max="5890" width="58.85546875" style="46" customWidth="1"/>
    <col min="5891" max="5891" width="32.85546875" style="46" customWidth="1"/>
    <col min="5892" max="6144" width="9.140625" style="46"/>
    <col min="6145" max="6145" width="4.140625" style="46" customWidth="1"/>
    <col min="6146" max="6146" width="58.85546875" style="46" customWidth="1"/>
    <col min="6147" max="6147" width="32.85546875" style="46" customWidth="1"/>
    <col min="6148" max="6400" width="9.140625" style="46"/>
    <col min="6401" max="6401" width="4.140625" style="46" customWidth="1"/>
    <col min="6402" max="6402" width="58.85546875" style="46" customWidth="1"/>
    <col min="6403" max="6403" width="32.85546875" style="46" customWidth="1"/>
    <col min="6404" max="6656" width="9.140625" style="46"/>
    <col min="6657" max="6657" width="4.140625" style="46" customWidth="1"/>
    <col min="6658" max="6658" width="58.85546875" style="46" customWidth="1"/>
    <col min="6659" max="6659" width="32.85546875" style="46" customWidth="1"/>
    <col min="6660" max="6912" width="9.140625" style="46"/>
    <col min="6913" max="6913" width="4.140625" style="46" customWidth="1"/>
    <col min="6914" max="6914" width="58.85546875" style="46" customWidth="1"/>
    <col min="6915" max="6915" width="32.85546875" style="46" customWidth="1"/>
    <col min="6916" max="7168" width="9.140625" style="46"/>
    <col min="7169" max="7169" width="4.140625" style="46" customWidth="1"/>
    <col min="7170" max="7170" width="58.85546875" style="46" customWidth="1"/>
    <col min="7171" max="7171" width="32.85546875" style="46" customWidth="1"/>
    <col min="7172" max="7424" width="9.140625" style="46"/>
    <col min="7425" max="7425" width="4.140625" style="46" customWidth="1"/>
    <col min="7426" max="7426" width="58.85546875" style="46" customWidth="1"/>
    <col min="7427" max="7427" width="32.85546875" style="46" customWidth="1"/>
    <col min="7428" max="7680" width="9.140625" style="46"/>
    <col min="7681" max="7681" width="4.140625" style="46" customWidth="1"/>
    <col min="7682" max="7682" width="58.85546875" style="46" customWidth="1"/>
    <col min="7683" max="7683" width="32.85546875" style="46" customWidth="1"/>
    <col min="7684" max="7936" width="9.140625" style="46"/>
    <col min="7937" max="7937" width="4.140625" style="46" customWidth="1"/>
    <col min="7938" max="7938" width="58.85546875" style="46" customWidth="1"/>
    <col min="7939" max="7939" width="32.85546875" style="46" customWidth="1"/>
    <col min="7940" max="8192" width="9.140625" style="46"/>
    <col min="8193" max="8193" width="4.140625" style="46" customWidth="1"/>
    <col min="8194" max="8194" width="58.85546875" style="46" customWidth="1"/>
    <col min="8195" max="8195" width="32.85546875" style="46" customWidth="1"/>
    <col min="8196" max="8448" width="9.140625" style="46"/>
    <col min="8449" max="8449" width="4.140625" style="46" customWidth="1"/>
    <col min="8450" max="8450" width="58.85546875" style="46" customWidth="1"/>
    <col min="8451" max="8451" width="32.85546875" style="46" customWidth="1"/>
    <col min="8452" max="8704" width="9.140625" style="46"/>
    <col min="8705" max="8705" width="4.140625" style="46" customWidth="1"/>
    <col min="8706" max="8706" width="58.85546875" style="46" customWidth="1"/>
    <col min="8707" max="8707" width="32.85546875" style="46" customWidth="1"/>
    <col min="8708" max="8960" width="9.140625" style="46"/>
    <col min="8961" max="8961" width="4.140625" style="46" customWidth="1"/>
    <col min="8962" max="8962" width="58.85546875" style="46" customWidth="1"/>
    <col min="8963" max="8963" width="32.85546875" style="46" customWidth="1"/>
    <col min="8964" max="9216" width="9.140625" style="46"/>
    <col min="9217" max="9217" width="4.140625" style="46" customWidth="1"/>
    <col min="9218" max="9218" width="58.85546875" style="46" customWidth="1"/>
    <col min="9219" max="9219" width="32.85546875" style="46" customWidth="1"/>
    <col min="9220" max="9472" width="9.140625" style="46"/>
    <col min="9473" max="9473" width="4.140625" style="46" customWidth="1"/>
    <col min="9474" max="9474" width="58.85546875" style="46" customWidth="1"/>
    <col min="9475" max="9475" width="32.85546875" style="46" customWidth="1"/>
    <col min="9476" max="9728" width="9.140625" style="46"/>
    <col min="9729" max="9729" width="4.140625" style="46" customWidth="1"/>
    <col min="9730" max="9730" width="58.85546875" style="46" customWidth="1"/>
    <col min="9731" max="9731" width="32.85546875" style="46" customWidth="1"/>
    <col min="9732" max="9984" width="9.140625" style="46"/>
    <col min="9985" max="9985" width="4.140625" style="46" customWidth="1"/>
    <col min="9986" max="9986" width="58.85546875" style="46" customWidth="1"/>
    <col min="9987" max="9987" width="32.85546875" style="46" customWidth="1"/>
    <col min="9988" max="10240" width="9.140625" style="46"/>
    <col min="10241" max="10241" width="4.140625" style="46" customWidth="1"/>
    <col min="10242" max="10242" width="58.85546875" style="46" customWidth="1"/>
    <col min="10243" max="10243" width="32.85546875" style="46" customWidth="1"/>
    <col min="10244" max="10496" width="9.140625" style="46"/>
    <col min="10497" max="10497" width="4.140625" style="46" customWidth="1"/>
    <col min="10498" max="10498" width="58.85546875" style="46" customWidth="1"/>
    <col min="10499" max="10499" width="32.85546875" style="46" customWidth="1"/>
    <col min="10500" max="10752" width="9.140625" style="46"/>
    <col min="10753" max="10753" width="4.140625" style="46" customWidth="1"/>
    <col min="10754" max="10754" width="58.85546875" style="46" customWidth="1"/>
    <col min="10755" max="10755" width="32.85546875" style="46" customWidth="1"/>
    <col min="10756" max="11008" width="9.140625" style="46"/>
    <col min="11009" max="11009" width="4.140625" style="46" customWidth="1"/>
    <col min="11010" max="11010" width="58.85546875" style="46" customWidth="1"/>
    <col min="11011" max="11011" width="32.85546875" style="46" customWidth="1"/>
    <col min="11012" max="11264" width="9.140625" style="46"/>
    <col min="11265" max="11265" width="4.140625" style="46" customWidth="1"/>
    <col min="11266" max="11266" width="58.85546875" style="46" customWidth="1"/>
    <col min="11267" max="11267" width="32.85546875" style="46" customWidth="1"/>
    <col min="11268" max="11520" width="9.140625" style="46"/>
    <col min="11521" max="11521" width="4.140625" style="46" customWidth="1"/>
    <col min="11522" max="11522" width="58.85546875" style="46" customWidth="1"/>
    <col min="11523" max="11523" width="32.85546875" style="46" customWidth="1"/>
    <col min="11524" max="11776" width="9.140625" style="46"/>
    <col min="11777" max="11777" width="4.140625" style="46" customWidth="1"/>
    <col min="11778" max="11778" width="58.85546875" style="46" customWidth="1"/>
    <col min="11779" max="11779" width="32.85546875" style="46" customWidth="1"/>
    <col min="11780" max="12032" width="9.140625" style="46"/>
    <col min="12033" max="12033" width="4.140625" style="46" customWidth="1"/>
    <col min="12034" max="12034" width="58.85546875" style="46" customWidth="1"/>
    <col min="12035" max="12035" width="32.85546875" style="46" customWidth="1"/>
    <col min="12036" max="12288" width="9.140625" style="46"/>
    <col min="12289" max="12289" width="4.140625" style="46" customWidth="1"/>
    <col min="12290" max="12290" width="58.85546875" style="46" customWidth="1"/>
    <col min="12291" max="12291" width="32.85546875" style="46" customWidth="1"/>
    <col min="12292" max="12544" width="9.140625" style="46"/>
    <col min="12545" max="12545" width="4.140625" style="46" customWidth="1"/>
    <col min="12546" max="12546" width="58.85546875" style="46" customWidth="1"/>
    <col min="12547" max="12547" width="32.85546875" style="46" customWidth="1"/>
    <col min="12548" max="12800" width="9.140625" style="46"/>
    <col min="12801" max="12801" width="4.140625" style="46" customWidth="1"/>
    <col min="12802" max="12802" width="58.85546875" style="46" customWidth="1"/>
    <col min="12803" max="12803" width="32.85546875" style="46" customWidth="1"/>
    <col min="12804" max="13056" width="9.140625" style="46"/>
    <col min="13057" max="13057" width="4.140625" style="46" customWidth="1"/>
    <col min="13058" max="13058" width="58.85546875" style="46" customWidth="1"/>
    <col min="13059" max="13059" width="32.85546875" style="46" customWidth="1"/>
    <col min="13060" max="13312" width="9.140625" style="46"/>
    <col min="13313" max="13313" width="4.140625" style="46" customWidth="1"/>
    <col min="13314" max="13314" width="58.85546875" style="46" customWidth="1"/>
    <col min="13315" max="13315" width="32.85546875" style="46" customWidth="1"/>
    <col min="13316" max="13568" width="9.140625" style="46"/>
    <col min="13569" max="13569" width="4.140625" style="46" customWidth="1"/>
    <col min="13570" max="13570" width="58.85546875" style="46" customWidth="1"/>
    <col min="13571" max="13571" width="32.85546875" style="46" customWidth="1"/>
    <col min="13572" max="13824" width="9.140625" style="46"/>
    <col min="13825" max="13825" width="4.140625" style="46" customWidth="1"/>
    <col min="13826" max="13826" width="58.85546875" style="46" customWidth="1"/>
    <col min="13827" max="13827" width="32.85546875" style="46" customWidth="1"/>
    <col min="13828" max="14080" width="9.140625" style="46"/>
    <col min="14081" max="14081" width="4.140625" style="46" customWidth="1"/>
    <col min="14082" max="14082" width="58.85546875" style="46" customWidth="1"/>
    <col min="14083" max="14083" width="32.85546875" style="46" customWidth="1"/>
    <col min="14084" max="14336" width="9.140625" style="46"/>
    <col min="14337" max="14337" width="4.140625" style="46" customWidth="1"/>
    <col min="14338" max="14338" width="58.85546875" style="46" customWidth="1"/>
    <col min="14339" max="14339" width="32.85546875" style="46" customWidth="1"/>
    <col min="14340" max="14592" width="9.140625" style="46"/>
    <col min="14593" max="14593" width="4.140625" style="46" customWidth="1"/>
    <col min="14594" max="14594" width="58.85546875" style="46" customWidth="1"/>
    <col min="14595" max="14595" width="32.85546875" style="46" customWidth="1"/>
    <col min="14596" max="14848" width="9.140625" style="46"/>
    <col min="14849" max="14849" width="4.140625" style="46" customWidth="1"/>
    <col min="14850" max="14850" width="58.85546875" style="46" customWidth="1"/>
    <col min="14851" max="14851" width="32.85546875" style="46" customWidth="1"/>
    <col min="14852" max="15104" width="9.140625" style="46"/>
    <col min="15105" max="15105" width="4.140625" style="46" customWidth="1"/>
    <col min="15106" max="15106" width="58.85546875" style="46" customWidth="1"/>
    <col min="15107" max="15107" width="32.85546875" style="46" customWidth="1"/>
    <col min="15108" max="15360" width="9.140625" style="46"/>
    <col min="15361" max="15361" width="4.140625" style="46" customWidth="1"/>
    <col min="15362" max="15362" width="58.85546875" style="46" customWidth="1"/>
    <col min="15363" max="15363" width="32.85546875" style="46" customWidth="1"/>
    <col min="15364" max="15616" width="9.140625" style="46"/>
    <col min="15617" max="15617" width="4.140625" style="46" customWidth="1"/>
    <col min="15618" max="15618" width="58.85546875" style="46" customWidth="1"/>
    <col min="15619" max="15619" width="32.85546875" style="46" customWidth="1"/>
    <col min="15620" max="15872" width="9.140625" style="46"/>
    <col min="15873" max="15873" width="4.140625" style="46" customWidth="1"/>
    <col min="15874" max="15874" width="58.85546875" style="46" customWidth="1"/>
    <col min="15875" max="15875" width="32.85546875" style="46" customWidth="1"/>
    <col min="15876" max="16128" width="9.140625" style="46"/>
    <col min="16129" max="16129" width="4.140625" style="46" customWidth="1"/>
    <col min="16130" max="16130" width="58.85546875" style="46" customWidth="1"/>
    <col min="16131" max="16131" width="32.85546875" style="46" customWidth="1"/>
    <col min="16132" max="16384" width="9.140625" style="46"/>
  </cols>
  <sheetData>
    <row r="1" spans="1:7" x14ac:dyDescent="0.2">
      <c r="A1" s="43"/>
      <c r="B1" s="44"/>
      <c r="C1" s="547" t="s">
        <v>551</v>
      </c>
      <c r="D1" s="547"/>
      <c r="E1" s="547"/>
    </row>
    <row r="2" spans="1:7" ht="66.75" customHeight="1" x14ac:dyDescent="0.2">
      <c r="A2" s="43"/>
      <c r="B2" s="44"/>
      <c r="C2" s="536" t="s">
        <v>463</v>
      </c>
      <c r="D2" s="536"/>
      <c r="E2" s="536"/>
      <c r="F2" s="186"/>
      <c r="G2" s="186"/>
    </row>
    <row r="3" spans="1:7" x14ac:dyDescent="0.2">
      <c r="A3" s="43"/>
      <c r="B3" s="44"/>
      <c r="C3" s="536" t="s">
        <v>426</v>
      </c>
      <c r="D3" s="536"/>
      <c r="E3" s="536"/>
    </row>
    <row r="4" spans="1:7" x14ac:dyDescent="0.2">
      <c r="A4" s="43"/>
      <c r="B4" s="44"/>
      <c r="C4" s="48"/>
      <c r="D4" s="44"/>
      <c r="E4" s="44"/>
    </row>
    <row r="5" spans="1:7" s="62" customFormat="1" ht="102.75" customHeight="1" x14ac:dyDescent="0.25">
      <c r="A5" s="60"/>
      <c r="B5" s="546" t="s">
        <v>471</v>
      </c>
      <c r="C5" s="546"/>
      <c r="D5" s="546"/>
      <c r="E5" s="546"/>
    </row>
    <row r="6" spans="1:7" ht="15" x14ac:dyDescent="0.2">
      <c r="A6" s="43"/>
      <c r="B6" s="49"/>
      <c r="C6" s="49"/>
      <c r="D6" s="44"/>
      <c r="E6" s="44"/>
    </row>
    <row r="7" spans="1:7" s="51" customFormat="1" x14ac:dyDescent="0.25">
      <c r="A7" s="548" t="s">
        <v>172</v>
      </c>
      <c r="B7" s="548" t="s">
        <v>173</v>
      </c>
      <c r="C7" s="549" t="s">
        <v>174</v>
      </c>
      <c r="D7" s="549" t="s">
        <v>174</v>
      </c>
      <c r="E7" s="549" t="s">
        <v>174</v>
      </c>
    </row>
    <row r="8" spans="1:7" s="51" customFormat="1" x14ac:dyDescent="0.25">
      <c r="A8" s="548"/>
      <c r="B8" s="548"/>
      <c r="C8" s="549"/>
      <c r="D8" s="549"/>
      <c r="E8" s="549"/>
    </row>
    <row r="9" spans="1:7" s="82" customFormat="1" ht="41.25" customHeight="1" x14ac:dyDescent="0.25">
      <c r="A9" s="78">
        <v>1</v>
      </c>
      <c r="B9" s="79" t="s">
        <v>175</v>
      </c>
      <c r="C9" s="80">
        <f>(7+14)*3180</f>
        <v>66780</v>
      </c>
      <c r="D9" s="80">
        <v>-8745</v>
      </c>
      <c r="E9" s="80">
        <f>C9+D9</f>
        <v>58035</v>
      </c>
    </row>
    <row r="10" spans="1:7" s="82" customFormat="1" ht="41.25" customHeight="1" x14ac:dyDescent="0.25">
      <c r="A10" s="78">
        <v>2</v>
      </c>
      <c r="B10" s="79" t="s">
        <v>176</v>
      </c>
      <c r="C10" s="80">
        <f>2*3180</f>
        <v>6360</v>
      </c>
      <c r="D10" s="80"/>
      <c r="E10" s="80">
        <f t="shared" ref="E10:E14" si="0">C10+D10</f>
        <v>6360</v>
      </c>
    </row>
    <row r="11" spans="1:7" s="82" customFormat="1" ht="41.25" customHeight="1" x14ac:dyDescent="0.25">
      <c r="A11" s="78">
        <v>3</v>
      </c>
      <c r="B11" s="79" t="s">
        <v>177</v>
      </c>
      <c r="C11" s="80">
        <f>1*3180</f>
        <v>3180</v>
      </c>
      <c r="D11" s="80"/>
      <c r="E11" s="80">
        <f t="shared" si="0"/>
        <v>3180</v>
      </c>
    </row>
    <row r="12" spans="1:7" s="82" customFormat="1" ht="41.25" customHeight="1" x14ac:dyDescent="0.25">
      <c r="A12" s="78">
        <v>4</v>
      </c>
      <c r="B12" s="79" t="s">
        <v>178</v>
      </c>
      <c r="C12" s="80">
        <f>3*3180</f>
        <v>9540</v>
      </c>
      <c r="D12" s="80">
        <v>795</v>
      </c>
      <c r="E12" s="80">
        <f t="shared" si="0"/>
        <v>10335</v>
      </c>
    </row>
    <row r="13" spans="1:7" s="82" customFormat="1" ht="41.25" customHeight="1" x14ac:dyDescent="0.25">
      <c r="A13" s="78">
        <v>5</v>
      </c>
      <c r="B13" s="79" t="s">
        <v>179</v>
      </c>
      <c r="C13" s="80">
        <f>1*3180</f>
        <v>3180</v>
      </c>
      <c r="D13" s="80"/>
      <c r="E13" s="80">
        <f t="shared" si="0"/>
        <v>3180</v>
      </c>
    </row>
    <row r="14" spans="1:7" s="82" customFormat="1" ht="41.25" customHeight="1" x14ac:dyDescent="0.25">
      <c r="A14" s="78">
        <v>6</v>
      </c>
      <c r="B14" s="79" t="s">
        <v>180</v>
      </c>
      <c r="C14" s="80">
        <f>2*3180</f>
        <v>6360</v>
      </c>
      <c r="D14" s="80"/>
      <c r="E14" s="80">
        <f t="shared" si="0"/>
        <v>6360</v>
      </c>
    </row>
    <row r="15" spans="1:7" s="87" customFormat="1" ht="41.25" customHeight="1" x14ac:dyDescent="0.25">
      <c r="A15" s="83"/>
      <c r="B15" s="84" t="s">
        <v>9</v>
      </c>
      <c r="C15" s="85">
        <f>SUM(C9:C14)</f>
        <v>95400</v>
      </c>
      <c r="D15" s="85">
        <f>SUM(D9:D14)</f>
        <v>-7950</v>
      </c>
      <c r="E15" s="85">
        <f>SUM(E9:E14)</f>
        <v>87450</v>
      </c>
    </row>
  </sheetData>
  <mergeCells count="9">
    <mergeCell ref="C1:E1"/>
    <mergeCell ref="C2:E2"/>
    <mergeCell ref="C3:E3"/>
    <mergeCell ref="B5:E5"/>
    <mergeCell ref="A7:A8"/>
    <mergeCell ref="B7:B8"/>
    <mergeCell ref="C7:C8"/>
    <mergeCell ref="D7:D8"/>
    <mergeCell ref="E7:E8"/>
  </mergeCells>
  <pageMargins left="0.9055118110236221" right="0.70866141732283472" top="0.74803149606299213" bottom="0.74803149606299213" header="0.31496062992125984" footer="0.31496062992125984"/>
  <pageSetup paperSize="9" scale="8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topLeftCell="A7" workbookViewId="0">
      <selection activeCell="B5" sqref="B5:E5"/>
    </sheetView>
  </sheetViews>
  <sheetFormatPr defaultRowHeight="12.75" x14ac:dyDescent="0.2"/>
  <cols>
    <col min="1" max="1" width="4.140625" style="46" customWidth="1"/>
    <col min="2" max="2" width="49.28515625" style="46" customWidth="1"/>
    <col min="3" max="4" width="16.5703125" style="46" hidden="1" customWidth="1"/>
    <col min="5" max="5" width="27.7109375" style="46" customWidth="1"/>
    <col min="6" max="256" width="9.140625" style="46"/>
    <col min="257" max="257" width="4.140625" style="46" customWidth="1"/>
    <col min="258" max="258" width="58.85546875" style="46" customWidth="1"/>
    <col min="259" max="259" width="32.85546875" style="46" customWidth="1"/>
    <col min="260" max="512" width="9.140625" style="46"/>
    <col min="513" max="513" width="4.140625" style="46" customWidth="1"/>
    <col min="514" max="514" width="58.85546875" style="46" customWidth="1"/>
    <col min="515" max="515" width="32.85546875" style="46" customWidth="1"/>
    <col min="516" max="768" width="9.140625" style="46"/>
    <col min="769" max="769" width="4.140625" style="46" customWidth="1"/>
    <col min="770" max="770" width="58.85546875" style="46" customWidth="1"/>
    <col min="771" max="771" width="32.85546875" style="46" customWidth="1"/>
    <col min="772" max="1024" width="9.140625" style="46"/>
    <col min="1025" max="1025" width="4.140625" style="46" customWidth="1"/>
    <col min="1026" max="1026" width="58.85546875" style="46" customWidth="1"/>
    <col min="1027" max="1027" width="32.85546875" style="46" customWidth="1"/>
    <col min="1028" max="1280" width="9.140625" style="46"/>
    <col min="1281" max="1281" width="4.140625" style="46" customWidth="1"/>
    <col min="1282" max="1282" width="58.85546875" style="46" customWidth="1"/>
    <col min="1283" max="1283" width="32.85546875" style="46" customWidth="1"/>
    <col min="1284" max="1536" width="9.140625" style="46"/>
    <col min="1537" max="1537" width="4.140625" style="46" customWidth="1"/>
    <col min="1538" max="1538" width="58.85546875" style="46" customWidth="1"/>
    <col min="1539" max="1539" width="32.85546875" style="46" customWidth="1"/>
    <col min="1540" max="1792" width="9.140625" style="46"/>
    <col min="1793" max="1793" width="4.140625" style="46" customWidth="1"/>
    <col min="1794" max="1794" width="58.85546875" style="46" customWidth="1"/>
    <col min="1795" max="1795" width="32.85546875" style="46" customWidth="1"/>
    <col min="1796" max="2048" width="9.140625" style="46"/>
    <col min="2049" max="2049" width="4.140625" style="46" customWidth="1"/>
    <col min="2050" max="2050" width="58.85546875" style="46" customWidth="1"/>
    <col min="2051" max="2051" width="32.85546875" style="46" customWidth="1"/>
    <col min="2052" max="2304" width="9.140625" style="46"/>
    <col min="2305" max="2305" width="4.140625" style="46" customWidth="1"/>
    <col min="2306" max="2306" width="58.85546875" style="46" customWidth="1"/>
    <col min="2307" max="2307" width="32.85546875" style="46" customWidth="1"/>
    <col min="2308" max="2560" width="9.140625" style="46"/>
    <col min="2561" max="2561" width="4.140625" style="46" customWidth="1"/>
    <col min="2562" max="2562" width="58.85546875" style="46" customWidth="1"/>
    <col min="2563" max="2563" width="32.85546875" style="46" customWidth="1"/>
    <col min="2564" max="2816" width="9.140625" style="46"/>
    <col min="2817" max="2817" width="4.140625" style="46" customWidth="1"/>
    <col min="2818" max="2818" width="58.85546875" style="46" customWidth="1"/>
    <col min="2819" max="2819" width="32.85546875" style="46" customWidth="1"/>
    <col min="2820" max="3072" width="9.140625" style="46"/>
    <col min="3073" max="3073" width="4.140625" style="46" customWidth="1"/>
    <col min="3074" max="3074" width="58.85546875" style="46" customWidth="1"/>
    <col min="3075" max="3075" width="32.85546875" style="46" customWidth="1"/>
    <col min="3076" max="3328" width="9.140625" style="46"/>
    <col min="3329" max="3329" width="4.140625" style="46" customWidth="1"/>
    <col min="3330" max="3330" width="58.85546875" style="46" customWidth="1"/>
    <col min="3331" max="3331" width="32.85546875" style="46" customWidth="1"/>
    <col min="3332" max="3584" width="9.140625" style="46"/>
    <col min="3585" max="3585" width="4.140625" style="46" customWidth="1"/>
    <col min="3586" max="3586" width="58.85546875" style="46" customWidth="1"/>
    <col min="3587" max="3587" width="32.85546875" style="46" customWidth="1"/>
    <col min="3588" max="3840" width="9.140625" style="46"/>
    <col min="3841" max="3841" width="4.140625" style="46" customWidth="1"/>
    <col min="3842" max="3842" width="58.85546875" style="46" customWidth="1"/>
    <col min="3843" max="3843" width="32.85546875" style="46" customWidth="1"/>
    <col min="3844" max="4096" width="9.140625" style="46"/>
    <col min="4097" max="4097" width="4.140625" style="46" customWidth="1"/>
    <col min="4098" max="4098" width="58.85546875" style="46" customWidth="1"/>
    <col min="4099" max="4099" width="32.85546875" style="46" customWidth="1"/>
    <col min="4100" max="4352" width="9.140625" style="46"/>
    <col min="4353" max="4353" width="4.140625" style="46" customWidth="1"/>
    <col min="4354" max="4354" width="58.85546875" style="46" customWidth="1"/>
    <col min="4355" max="4355" width="32.85546875" style="46" customWidth="1"/>
    <col min="4356" max="4608" width="9.140625" style="46"/>
    <col min="4609" max="4609" width="4.140625" style="46" customWidth="1"/>
    <col min="4610" max="4610" width="58.85546875" style="46" customWidth="1"/>
    <col min="4611" max="4611" width="32.85546875" style="46" customWidth="1"/>
    <col min="4612" max="4864" width="9.140625" style="46"/>
    <col min="4865" max="4865" width="4.140625" style="46" customWidth="1"/>
    <col min="4866" max="4866" width="58.85546875" style="46" customWidth="1"/>
    <col min="4867" max="4867" width="32.85546875" style="46" customWidth="1"/>
    <col min="4868" max="5120" width="9.140625" style="46"/>
    <col min="5121" max="5121" width="4.140625" style="46" customWidth="1"/>
    <col min="5122" max="5122" width="58.85546875" style="46" customWidth="1"/>
    <col min="5123" max="5123" width="32.85546875" style="46" customWidth="1"/>
    <col min="5124" max="5376" width="9.140625" style="46"/>
    <col min="5377" max="5377" width="4.140625" style="46" customWidth="1"/>
    <col min="5378" max="5378" width="58.85546875" style="46" customWidth="1"/>
    <col min="5379" max="5379" width="32.85546875" style="46" customWidth="1"/>
    <col min="5380" max="5632" width="9.140625" style="46"/>
    <col min="5633" max="5633" width="4.140625" style="46" customWidth="1"/>
    <col min="5634" max="5634" width="58.85546875" style="46" customWidth="1"/>
    <col min="5635" max="5635" width="32.85546875" style="46" customWidth="1"/>
    <col min="5636" max="5888" width="9.140625" style="46"/>
    <col min="5889" max="5889" width="4.140625" style="46" customWidth="1"/>
    <col min="5890" max="5890" width="58.85546875" style="46" customWidth="1"/>
    <col min="5891" max="5891" width="32.85546875" style="46" customWidth="1"/>
    <col min="5892" max="6144" width="9.140625" style="46"/>
    <col min="6145" max="6145" width="4.140625" style="46" customWidth="1"/>
    <col min="6146" max="6146" width="58.85546875" style="46" customWidth="1"/>
    <col min="6147" max="6147" width="32.85546875" style="46" customWidth="1"/>
    <col min="6148" max="6400" width="9.140625" style="46"/>
    <col min="6401" max="6401" width="4.140625" style="46" customWidth="1"/>
    <col min="6402" max="6402" width="58.85546875" style="46" customWidth="1"/>
    <col min="6403" max="6403" width="32.85546875" style="46" customWidth="1"/>
    <col min="6404" max="6656" width="9.140625" style="46"/>
    <col min="6657" max="6657" width="4.140625" style="46" customWidth="1"/>
    <col min="6658" max="6658" width="58.85546875" style="46" customWidth="1"/>
    <col min="6659" max="6659" width="32.85546875" style="46" customWidth="1"/>
    <col min="6660" max="6912" width="9.140625" style="46"/>
    <col min="6913" max="6913" width="4.140625" style="46" customWidth="1"/>
    <col min="6914" max="6914" width="58.85546875" style="46" customWidth="1"/>
    <col min="6915" max="6915" width="32.85546875" style="46" customWidth="1"/>
    <col min="6916" max="7168" width="9.140625" style="46"/>
    <col min="7169" max="7169" width="4.140625" style="46" customWidth="1"/>
    <col min="7170" max="7170" width="58.85546875" style="46" customWidth="1"/>
    <col min="7171" max="7171" width="32.85546875" style="46" customWidth="1"/>
    <col min="7172" max="7424" width="9.140625" style="46"/>
    <col min="7425" max="7425" width="4.140625" style="46" customWidth="1"/>
    <col min="7426" max="7426" width="58.85546875" style="46" customWidth="1"/>
    <col min="7427" max="7427" width="32.85546875" style="46" customWidth="1"/>
    <col min="7428" max="7680" width="9.140625" style="46"/>
    <col min="7681" max="7681" width="4.140625" style="46" customWidth="1"/>
    <col min="7682" max="7682" width="58.85546875" style="46" customWidth="1"/>
    <col min="7683" max="7683" width="32.85546875" style="46" customWidth="1"/>
    <col min="7684" max="7936" width="9.140625" style="46"/>
    <col min="7937" max="7937" width="4.140625" style="46" customWidth="1"/>
    <col min="7938" max="7938" width="58.85546875" style="46" customWidth="1"/>
    <col min="7939" max="7939" width="32.85546875" style="46" customWidth="1"/>
    <col min="7940" max="8192" width="9.140625" style="46"/>
    <col min="8193" max="8193" width="4.140625" style="46" customWidth="1"/>
    <col min="8194" max="8194" width="58.85546875" style="46" customWidth="1"/>
    <col min="8195" max="8195" width="32.85546875" style="46" customWidth="1"/>
    <col min="8196" max="8448" width="9.140625" style="46"/>
    <col min="8449" max="8449" width="4.140625" style="46" customWidth="1"/>
    <col min="8450" max="8450" width="58.85546875" style="46" customWidth="1"/>
    <col min="8451" max="8451" width="32.85546875" style="46" customWidth="1"/>
    <col min="8452" max="8704" width="9.140625" style="46"/>
    <col min="8705" max="8705" width="4.140625" style="46" customWidth="1"/>
    <col min="8706" max="8706" width="58.85546875" style="46" customWidth="1"/>
    <col min="8707" max="8707" width="32.85546875" style="46" customWidth="1"/>
    <col min="8708" max="8960" width="9.140625" style="46"/>
    <col min="8961" max="8961" width="4.140625" style="46" customWidth="1"/>
    <col min="8962" max="8962" width="58.85546875" style="46" customWidth="1"/>
    <col min="8963" max="8963" width="32.85546875" style="46" customWidth="1"/>
    <col min="8964" max="9216" width="9.140625" style="46"/>
    <col min="9217" max="9217" width="4.140625" style="46" customWidth="1"/>
    <col min="9218" max="9218" width="58.85546875" style="46" customWidth="1"/>
    <col min="9219" max="9219" width="32.85546875" style="46" customWidth="1"/>
    <col min="9220" max="9472" width="9.140625" style="46"/>
    <col min="9473" max="9473" width="4.140625" style="46" customWidth="1"/>
    <col min="9474" max="9474" width="58.85546875" style="46" customWidth="1"/>
    <col min="9475" max="9475" width="32.85546875" style="46" customWidth="1"/>
    <col min="9476" max="9728" width="9.140625" style="46"/>
    <col min="9729" max="9729" width="4.140625" style="46" customWidth="1"/>
    <col min="9730" max="9730" width="58.85546875" style="46" customWidth="1"/>
    <col min="9731" max="9731" width="32.85546875" style="46" customWidth="1"/>
    <col min="9732" max="9984" width="9.140625" style="46"/>
    <col min="9985" max="9985" width="4.140625" style="46" customWidth="1"/>
    <col min="9986" max="9986" width="58.85546875" style="46" customWidth="1"/>
    <col min="9987" max="9987" width="32.85546875" style="46" customWidth="1"/>
    <col min="9988" max="10240" width="9.140625" style="46"/>
    <col min="10241" max="10241" width="4.140625" style="46" customWidth="1"/>
    <col min="10242" max="10242" width="58.85546875" style="46" customWidth="1"/>
    <col min="10243" max="10243" width="32.85546875" style="46" customWidth="1"/>
    <col min="10244" max="10496" width="9.140625" style="46"/>
    <col min="10497" max="10497" width="4.140625" style="46" customWidth="1"/>
    <col min="10498" max="10498" width="58.85546875" style="46" customWidth="1"/>
    <col min="10499" max="10499" width="32.85546875" style="46" customWidth="1"/>
    <col min="10500" max="10752" width="9.140625" style="46"/>
    <col min="10753" max="10753" width="4.140625" style="46" customWidth="1"/>
    <col min="10754" max="10754" width="58.85546875" style="46" customWidth="1"/>
    <col min="10755" max="10755" width="32.85546875" style="46" customWidth="1"/>
    <col min="10756" max="11008" width="9.140625" style="46"/>
    <col min="11009" max="11009" width="4.140625" style="46" customWidth="1"/>
    <col min="11010" max="11010" width="58.85546875" style="46" customWidth="1"/>
    <col min="11011" max="11011" width="32.85546875" style="46" customWidth="1"/>
    <col min="11012" max="11264" width="9.140625" style="46"/>
    <col min="11265" max="11265" width="4.140625" style="46" customWidth="1"/>
    <col min="11266" max="11266" width="58.85546875" style="46" customWidth="1"/>
    <col min="11267" max="11267" width="32.85546875" style="46" customWidth="1"/>
    <col min="11268" max="11520" width="9.140625" style="46"/>
    <col min="11521" max="11521" width="4.140625" style="46" customWidth="1"/>
    <col min="11522" max="11522" width="58.85546875" style="46" customWidth="1"/>
    <col min="11523" max="11523" width="32.85546875" style="46" customWidth="1"/>
    <col min="11524" max="11776" width="9.140625" style="46"/>
    <col min="11777" max="11777" width="4.140625" style="46" customWidth="1"/>
    <col min="11778" max="11778" width="58.85546875" style="46" customWidth="1"/>
    <col min="11779" max="11779" width="32.85546875" style="46" customWidth="1"/>
    <col min="11780" max="12032" width="9.140625" style="46"/>
    <col min="12033" max="12033" width="4.140625" style="46" customWidth="1"/>
    <col min="12034" max="12034" width="58.85546875" style="46" customWidth="1"/>
    <col min="12035" max="12035" width="32.85546875" style="46" customWidth="1"/>
    <col min="12036" max="12288" width="9.140625" style="46"/>
    <col min="12289" max="12289" width="4.140625" style="46" customWidth="1"/>
    <col min="12290" max="12290" width="58.85546875" style="46" customWidth="1"/>
    <col min="12291" max="12291" width="32.85546875" style="46" customWidth="1"/>
    <col min="12292" max="12544" width="9.140625" style="46"/>
    <col min="12545" max="12545" width="4.140625" style="46" customWidth="1"/>
    <col min="12546" max="12546" width="58.85546875" style="46" customWidth="1"/>
    <col min="12547" max="12547" width="32.85546875" style="46" customWidth="1"/>
    <col min="12548" max="12800" width="9.140625" style="46"/>
    <col min="12801" max="12801" width="4.140625" style="46" customWidth="1"/>
    <col min="12802" max="12802" width="58.85546875" style="46" customWidth="1"/>
    <col min="12803" max="12803" width="32.85546875" style="46" customWidth="1"/>
    <col min="12804" max="13056" width="9.140625" style="46"/>
    <col min="13057" max="13057" width="4.140625" style="46" customWidth="1"/>
    <col min="13058" max="13058" width="58.85546875" style="46" customWidth="1"/>
    <col min="13059" max="13059" width="32.85546875" style="46" customWidth="1"/>
    <col min="13060" max="13312" width="9.140625" style="46"/>
    <col min="13313" max="13313" width="4.140625" style="46" customWidth="1"/>
    <col min="13314" max="13314" width="58.85546875" style="46" customWidth="1"/>
    <col min="13315" max="13315" width="32.85546875" style="46" customWidth="1"/>
    <col min="13316" max="13568" width="9.140625" style="46"/>
    <col min="13569" max="13569" width="4.140625" style="46" customWidth="1"/>
    <col min="13570" max="13570" width="58.85546875" style="46" customWidth="1"/>
    <col min="13571" max="13571" width="32.85546875" style="46" customWidth="1"/>
    <col min="13572" max="13824" width="9.140625" style="46"/>
    <col min="13825" max="13825" width="4.140625" style="46" customWidth="1"/>
    <col min="13826" max="13826" width="58.85546875" style="46" customWidth="1"/>
    <col min="13827" max="13827" width="32.85546875" style="46" customWidth="1"/>
    <col min="13828" max="14080" width="9.140625" style="46"/>
    <col min="14081" max="14081" width="4.140625" style="46" customWidth="1"/>
    <col min="14082" max="14082" width="58.85546875" style="46" customWidth="1"/>
    <col min="14083" max="14083" width="32.85546875" style="46" customWidth="1"/>
    <col min="14084" max="14336" width="9.140625" style="46"/>
    <col min="14337" max="14337" width="4.140625" style="46" customWidth="1"/>
    <col min="14338" max="14338" width="58.85546875" style="46" customWidth="1"/>
    <col min="14339" max="14339" width="32.85546875" style="46" customWidth="1"/>
    <col min="14340" max="14592" width="9.140625" style="46"/>
    <col min="14593" max="14593" width="4.140625" style="46" customWidth="1"/>
    <col min="14594" max="14594" width="58.85546875" style="46" customWidth="1"/>
    <col min="14595" max="14595" width="32.85546875" style="46" customWidth="1"/>
    <col min="14596" max="14848" width="9.140625" style="46"/>
    <col min="14849" max="14849" width="4.140625" style="46" customWidth="1"/>
    <col min="14850" max="14850" width="58.85546875" style="46" customWidth="1"/>
    <col min="14851" max="14851" width="32.85546875" style="46" customWidth="1"/>
    <col min="14852" max="15104" width="9.140625" style="46"/>
    <col min="15105" max="15105" width="4.140625" style="46" customWidth="1"/>
    <col min="15106" max="15106" width="58.85546875" style="46" customWidth="1"/>
    <col min="15107" max="15107" width="32.85546875" style="46" customWidth="1"/>
    <col min="15108" max="15360" width="9.140625" style="46"/>
    <col min="15361" max="15361" width="4.140625" style="46" customWidth="1"/>
    <col min="15362" max="15362" width="58.85546875" style="46" customWidth="1"/>
    <col min="15363" max="15363" width="32.85546875" style="46" customWidth="1"/>
    <col min="15364" max="15616" width="9.140625" style="46"/>
    <col min="15617" max="15617" width="4.140625" style="46" customWidth="1"/>
    <col min="15618" max="15618" width="58.85546875" style="46" customWidth="1"/>
    <col min="15619" max="15619" width="32.85546875" style="46" customWidth="1"/>
    <col min="15620" max="15872" width="9.140625" style="46"/>
    <col min="15873" max="15873" width="4.140625" style="46" customWidth="1"/>
    <col min="15874" max="15874" width="58.85546875" style="46" customWidth="1"/>
    <col min="15875" max="15875" width="32.85546875" style="46" customWidth="1"/>
    <col min="15876" max="16128" width="9.140625" style="46"/>
    <col min="16129" max="16129" width="4.140625" style="46" customWidth="1"/>
    <col min="16130" max="16130" width="58.85546875" style="46" customWidth="1"/>
    <col min="16131" max="16131" width="32.85546875" style="46" customWidth="1"/>
    <col min="16132" max="16384" width="9.140625" style="46"/>
  </cols>
  <sheetData>
    <row r="1" spans="1:7" x14ac:dyDescent="0.2">
      <c r="A1" s="43"/>
      <c r="B1" s="44"/>
      <c r="D1" s="44"/>
      <c r="E1" s="465" t="s">
        <v>551</v>
      </c>
    </row>
    <row r="2" spans="1:7" ht="69" customHeight="1" x14ac:dyDescent="0.2">
      <c r="A2" s="43"/>
      <c r="B2" s="44"/>
      <c r="D2" s="186"/>
      <c r="E2" s="186" t="s">
        <v>463</v>
      </c>
      <c r="F2" s="186"/>
      <c r="G2" s="186"/>
    </row>
    <row r="3" spans="1:7" x14ac:dyDescent="0.2">
      <c r="A3" s="43"/>
      <c r="B3" s="44"/>
      <c r="D3" s="44"/>
      <c r="E3" s="464" t="s">
        <v>427</v>
      </c>
    </row>
    <row r="4" spans="1:7" x14ac:dyDescent="0.2">
      <c r="A4" s="43"/>
      <c r="B4" s="44"/>
      <c r="D4" s="44"/>
      <c r="E4" s="48"/>
    </row>
    <row r="5" spans="1:7" s="62" customFormat="1" ht="102.75" customHeight="1" x14ac:dyDescent="0.25">
      <c r="A5" s="60"/>
      <c r="B5" s="546" t="s">
        <v>535</v>
      </c>
      <c r="C5" s="546"/>
      <c r="D5" s="546"/>
      <c r="E5" s="546"/>
    </row>
    <row r="6" spans="1:7" ht="15" x14ac:dyDescent="0.2">
      <c r="A6" s="43"/>
      <c r="B6" s="49"/>
      <c r="C6" s="49"/>
      <c r="D6" s="44"/>
      <c r="E6" s="44"/>
    </row>
    <row r="7" spans="1:7" s="51" customFormat="1" ht="37.5" customHeight="1" x14ac:dyDescent="0.25">
      <c r="A7" s="331" t="s">
        <v>172</v>
      </c>
      <c r="B7" s="331" t="s">
        <v>173</v>
      </c>
      <c r="C7" s="332" t="s">
        <v>174</v>
      </c>
      <c r="D7" s="330" t="s">
        <v>606</v>
      </c>
      <c r="E7" s="330" t="s">
        <v>692</v>
      </c>
    </row>
    <row r="8" spans="1:7" s="82" customFormat="1" ht="41.25" customHeight="1" x14ac:dyDescent="0.25">
      <c r="A8" s="78">
        <v>1</v>
      </c>
      <c r="B8" s="79" t="s">
        <v>175</v>
      </c>
      <c r="C8" s="80">
        <v>428902</v>
      </c>
      <c r="D8" s="355">
        <v>-39699</v>
      </c>
      <c r="E8" s="356">
        <f>C8+D8</f>
        <v>389203</v>
      </c>
    </row>
    <row r="9" spans="1:7" s="82" customFormat="1" ht="41.25" customHeight="1" x14ac:dyDescent="0.25">
      <c r="A9" s="78">
        <v>2</v>
      </c>
      <c r="B9" s="79" t="s">
        <v>176</v>
      </c>
      <c r="C9" s="80">
        <v>57187</v>
      </c>
      <c r="D9" s="355">
        <v>-5293</v>
      </c>
      <c r="E9" s="356">
        <f t="shared" ref="E9:E13" si="0">C9+D9</f>
        <v>51894</v>
      </c>
    </row>
    <row r="10" spans="1:7" s="82" customFormat="1" ht="41.25" customHeight="1" x14ac:dyDescent="0.25">
      <c r="A10" s="78">
        <v>3</v>
      </c>
      <c r="B10" s="79" t="s">
        <v>177</v>
      </c>
      <c r="C10" s="80">
        <v>57187</v>
      </c>
      <c r="D10" s="355">
        <v>-5293</v>
      </c>
      <c r="E10" s="356">
        <f t="shared" si="0"/>
        <v>51894</v>
      </c>
    </row>
    <row r="11" spans="1:7" s="82" customFormat="1" ht="41.25" customHeight="1" x14ac:dyDescent="0.25">
      <c r="A11" s="78">
        <v>4</v>
      </c>
      <c r="B11" s="79" t="s">
        <v>178</v>
      </c>
      <c r="C11" s="80">
        <v>142967</v>
      </c>
      <c r="D11" s="355">
        <v>-13234</v>
      </c>
      <c r="E11" s="356">
        <f t="shared" si="0"/>
        <v>129733</v>
      </c>
    </row>
    <row r="12" spans="1:7" s="82" customFormat="1" ht="41.25" customHeight="1" x14ac:dyDescent="0.25">
      <c r="A12" s="78">
        <v>5</v>
      </c>
      <c r="B12" s="79" t="s">
        <v>179</v>
      </c>
      <c r="C12" s="80">
        <v>57187</v>
      </c>
      <c r="D12" s="355">
        <v>-5293</v>
      </c>
      <c r="E12" s="356">
        <f t="shared" si="0"/>
        <v>51894</v>
      </c>
    </row>
    <row r="13" spans="1:7" s="82" customFormat="1" ht="41.25" customHeight="1" x14ac:dyDescent="0.25">
      <c r="A13" s="78">
        <v>6</v>
      </c>
      <c r="B13" s="79" t="s">
        <v>180</v>
      </c>
      <c r="C13" s="80">
        <v>57187</v>
      </c>
      <c r="D13" s="355">
        <v>-5293</v>
      </c>
      <c r="E13" s="356">
        <f t="shared" si="0"/>
        <v>51894</v>
      </c>
    </row>
    <row r="14" spans="1:7" s="87" customFormat="1" ht="41.25" customHeight="1" x14ac:dyDescent="0.25">
      <c r="A14" s="83"/>
      <c r="B14" s="84" t="s">
        <v>9</v>
      </c>
      <c r="C14" s="85">
        <f>SUM(C8:C13)</f>
        <v>800617</v>
      </c>
      <c r="D14" s="85">
        <f t="shared" ref="D14:E14" si="1">SUM(D8:D13)</f>
        <v>-74105</v>
      </c>
      <c r="E14" s="85">
        <f t="shared" si="1"/>
        <v>726512</v>
      </c>
    </row>
  </sheetData>
  <mergeCells count="1">
    <mergeCell ref="B5:E5"/>
  </mergeCells>
  <pageMargins left="0.70866141732283472" right="0.51181102362204722" top="0.74803149606299213" bottom="0.74803149606299213" header="0.31496062992125984" footer="0.31496062992125984"/>
  <pageSetup paperSize="9" scale="8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workbookViewId="0">
      <selection activeCell="C2" sqref="C2"/>
    </sheetView>
  </sheetViews>
  <sheetFormatPr defaultRowHeight="15" x14ac:dyDescent="0.25"/>
  <cols>
    <col min="1" max="1" width="6.5703125" customWidth="1"/>
    <col min="2" max="2" width="57.140625" customWidth="1"/>
    <col min="3" max="3" width="27.42578125" customWidth="1"/>
  </cols>
  <sheetData>
    <row r="1" spans="1:10" s="113" customFormat="1" ht="11.25" x14ac:dyDescent="0.2">
      <c r="C1" s="114" t="s">
        <v>552</v>
      </c>
    </row>
    <row r="2" spans="1:10" s="113" customFormat="1" ht="90" customHeight="1" x14ac:dyDescent="0.2">
      <c r="C2" s="374" t="s">
        <v>463</v>
      </c>
      <c r="D2" s="186"/>
      <c r="E2" s="186"/>
    </row>
    <row r="3" spans="1:10" s="113" customFormat="1" ht="11.25" x14ac:dyDescent="0.2">
      <c r="C3" s="98" t="s">
        <v>428</v>
      </c>
    </row>
    <row r="4" spans="1:10" s="115" customFormat="1" x14ac:dyDescent="0.2"/>
    <row r="5" spans="1:10" s="115" customFormat="1" ht="102.75" customHeight="1" x14ac:dyDescent="0.25">
      <c r="A5" s="116"/>
      <c r="B5" s="550" t="s">
        <v>536</v>
      </c>
      <c r="C5" s="550"/>
      <c r="D5" s="117"/>
      <c r="E5" s="117"/>
      <c r="F5" s="117"/>
      <c r="G5" s="117"/>
      <c r="H5" s="117"/>
      <c r="I5" s="118"/>
      <c r="J5" s="118"/>
    </row>
    <row r="6" spans="1:10" s="115" customFormat="1" ht="15.75" x14ac:dyDescent="0.25">
      <c r="A6" s="116"/>
      <c r="B6" s="119"/>
      <c r="C6" s="119"/>
      <c r="D6" s="119"/>
      <c r="E6" s="119"/>
      <c r="F6" s="119"/>
      <c r="G6" s="119"/>
      <c r="H6" s="120"/>
      <c r="I6" s="118"/>
      <c r="J6" s="118"/>
    </row>
    <row r="7" spans="1:10" s="51" customFormat="1" ht="25.5" customHeight="1" x14ac:dyDescent="0.25">
      <c r="A7" s="331" t="s">
        <v>172</v>
      </c>
      <c r="B7" s="333" t="s">
        <v>173</v>
      </c>
      <c r="C7" s="332" t="s">
        <v>436</v>
      </c>
    </row>
    <row r="8" spans="1:10" s="115" customFormat="1" ht="30.75" customHeight="1" x14ac:dyDescent="0.2">
      <c r="A8" s="52">
        <v>1</v>
      </c>
      <c r="B8" s="53" t="s">
        <v>175</v>
      </c>
      <c r="C8" s="54">
        <v>200</v>
      </c>
    </row>
    <row r="9" spans="1:10" s="59" customFormat="1" ht="30.75" customHeight="1" x14ac:dyDescent="0.25">
      <c r="A9" s="55"/>
      <c r="B9" s="56" t="s">
        <v>9</v>
      </c>
      <c r="C9" s="57">
        <f>SUM(C8:C8)</f>
        <v>200</v>
      </c>
    </row>
    <row r="10" spans="1:10" s="115" customFormat="1" ht="15.75" x14ac:dyDescent="0.25">
      <c r="A10" s="121"/>
      <c r="B10" s="121"/>
      <c r="C10" s="122"/>
      <c r="D10" s="122"/>
      <c r="E10" s="122"/>
      <c r="F10" s="122"/>
      <c r="G10" s="122"/>
      <c r="H10" s="118"/>
      <c r="I10" s="118"/>
      <c r="J10" s="118"/>
    </row>
  </sheetData>
  <mergeCells count="1">
    <mergeCell ref="B5:C5"/>
  </mergeCells>
  <pageMargins left="0.9055118110236221" right="0.51181102362204722" top="0.74803149606299213" bottom="0.74803149606299213" header="0.31496062992125984" footer="0.31496062992125984"/>
  <pageSetup paperSize="9" scale="85"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B9" sqref="B9"/>
    </sheetView>
  </sheetViews>
  <sheetFormatPr defaultRowHeight="15" x14ac:dyDescent="0.25"/>
  <cols>
    <col min="1" max="1" width="4.42578125" customWidth="1"/>
    <col min="2" max="3" width="40.85546875" customWidth="1"/>
  </cols>
  <sheetData>
    <row r="1" spans="1:3" ht="13.5" customHeight="1" x14ac:dyDescent="0.25">
      <c r="A1" s="43"/>
      <c r="B1" s="44"/>
      <c r="C1" s="457" t="s">
        <v>551</v>
      </c>
    </row>
    <row r="2" spans="1:3" ht="46.5" customHeight="1" x14ac:dyDescent="0.25">
      <c r="A2" s="43"/>
      <c r="B2" s="44"/>
      <c r="C2" s="456" t="s">
        <v>463</v>
      </c>
    </row>
    <row r="3" spans="1:3" x14ac:dyDescent="0.25">
      <c r="A3" s="43"/>
      <c r="B3" s="44"/>
      <c r="C3" s="456" t="s">
        <v>690</v>
      </c>
    </row>
    <row r="4" spans="1:3" x14ac:dyDescent="0.25">
      <c r="A4" s="43"/>
      <c r="B4" s="44"/>
      <c r="C4" s="48"/>
    </row>
    <row r="5" spans="1:3" ht="114.75" customHeight="1" x14ac:dyDescent="0.25">
      <c r="A5" s="60"/>
      <c r="B5" s="551" t="s">
        <v>669</v>
      </c>
      <c r="C5" s="551"/>
    </row>
    <row r="6" spans="1:3" x14ac:dyDescent="0.25">
      <c r="A6" s="43"/>
      <c r="B6" s="404"/>
      <c r="C6" s="404"/>
    </row>
    <row r="7" spans="1:3" s="187" customFormat="1" ht="28.5" customHeight="1" x14ac:dyDescent="0.25">
      <c r="A7" s="458" t="s">
        <v>172</v>
      </c>
      <c r="B7" s="458" t="s">
        <v>173</v>
      </c>
      <c r="C7" s="458" t="s">
        <v>174</v>
      </c>
    </row>
    <row r="8" spans="1:3" hidden="1" x14ac:dyDescent="0.25">
      <c r="A8" s="82"/>
      <c r="B8" s="405" t="s">
        <v>175</v>
      </c>
      <c r="C8" s="406"/>
    </row>
    <row r="9" spans="1:3" ht="21" customHeight="1" x14ac:dyDescent="0.25">
      <c r="A9" s="407">
        <v>1</v>
      </c>
      <c r="B9" s="405" t="s">
        <v>176</v>
      </c>
      <c r="C9" s="406">
        <v>310923</v>
      </c>
    </row>
    <row r="10" spans="1:3" ht="21" customHeight="1" x14ac:dyDescent="0.25">
      <c r="A10" s="407">
        <v>2</v>
      </c>
      <c r="B10" s="405" t="s">
        <v>177</v>
      </c>
      <c r="C10" s="406">
        <v>656690</v>
      </c>
    </row>
    <row r="11" spans="1:3" ht="21" customHeight="1" x14ac:dyDescent="0.25">
      <c r="A11" s="407">
        <v>3</v>
      </c>
      <c r="B11" s="405" t="s">
        <v>178</v>
      </c>
      <c r="C11" s="406">
        <v>487827</v>
      </c>
    </row>
    <row r="12" spans="1:3" ht="21" customHeight="1" x14ac:dyDescent="0.25">
      <c r="A12" s="407">
        <v>4</v>
      </c>
      <c r="B12" s="405" t="s">
        <v>179</v>
      </c>
      <c r="C12" s="406">
        <v>380612</v>
      </c>
    </row>
    <row r="13" spans="1:3" ht="21" customHeight="1" x14ac:dyDescent="0.25">
      <c r="A13" s="407">
        <v>5</v>
      </c>
      <c r="B13" s="405" t="s">
        <v>180</v>
      </c>
      <c r="C13" s="406">
        <v>641948</v>
      </c>
    </row>
    <row r="14" spans="1:3" ht="21" customHeight="1" x14ac:dyDescent="0.25">
      <c r="A14" s="408"/>
      <c r="B14" s="409" t="s">
        <v>9</v>
      </c>
      <c r="C14" s="410">
        <f>SUM(C8:C13)</f>
        <v>2478000</v>
      </c>
    </row>
  </sheetData>
  <mergeCells count="1">
    <mergeCell ref="B5:C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B5" sqref="B5:C5"/>
    </sheetView>
  </sheetViews>
  <sheetFormatPr defaultRowHeight="12.75" x14ac:dyDescent="0.2"/>
  <cols>
    <col min="1" max="1" width="4.140625" style="46" customWidth="1"/>
    <col min="2" max="2" width="49.28515625" style="46" customWidth="1"/>
    <col min="3" max="3" width="37.28515625" style="46" customWidth="1"/>
    <col min="4" max="254" width="9.140625" style="46"/>
    <col min="255" max="255" width="4.140625" style="46" customWidth="1"/>
    <col min="256" max="256" width="58.85546875" style="46" customWidth="1"/>
    <col min="257" max="257" width="32.85546875" style="46" customWidth="1"/>
    <col min="258" max="510" width="9.140625" style="46"/>
    <col min="511" max="511" width="4.140625" style="46" customWidth="1"/>
    <col min="512" max="512" width="58.85546875" style="46" customWidth="1"/>
    <col min="513" max="513" width="32.85546875" style="46" customWidth="1"/>
    <col min="514" max="766" width="9.140625" style="46"/>
    <col min="767" max="767" width="4.140625" style="46" customWidth="1"/>
    <col min="768" max="768" width="58.85546875" style="46" customWidth="1"/>
    <col min="769" max="769" width="32.85546875" style="46" customWidth="1"/>
    <col min="770" max="1022" width="9.140625" style="46"/>
    <col min="1023" max="1023" width="4.140625" style="46" customWidth="1"/>
    <col min="1024" max="1024" width="58.85546875" style="46" customWidth="1"/>
    <col min="1025" max="1025" width="32.85546875" style="46" customWidth="1"/>
    <col min="1026" max="1278" width="9.140625" style="46"/>
    <col min="1279" max="1279" width="4.140625" style="46" customWidth="1"/>
    <col min="1280" max="1280" width="58.85546875" style="46" customWidth="1"/>
    <col min="1281" max="1281" width="32.85546875" style="46" customWidth="1"/>
    <col min="1282" max="1534" width="9.140625" style="46"/>
    <col min="1535" max="1535" width="4.140625" style="46" customWidth="1"/>
    <col min="1536" max="1536" width="58.85546875" style="46" customWidth="1"/>
    <col min="1537" max="1537" width="32.85546875" style="46" customWidth="1"/>
    <col min="1538" max="1790" width="9.140625" style="46"/>
    <col min="1791" max="1791" width="4.140625" style="46" customWidth="1"/>
    <col min="1792" max="1792" width="58.85546875" style="46" customWidth="1"/>
    <col min="1793" max="1793" width="32.85546875" style="46" customWidth="1"/>
    <col min="1794" max="2046" width="9.140625" style="46"/>
    <col min="2047" max="2047" width="4.140625" style="46" customWidth="1"/>
    <col min="2048" max="2048" width="58.85546875" style="46" customWidth="1"/>
    <col min="2049" max="2049" width="32.85546875" style="46" customWidth="1"/>
    <col min="2050" max="2302" width="9.140625" style="46"/>
    <col min="2303" max="2303" width="4.140625" style="46" customWidth="1"/>
    <col min="2304" max="2304" width="58.85546875" style="46" customWidth="1"/>
    <col min="2305" max="2305" width="32.85546875" style="46" customWidth="1"/>
    <col min="2306" max="2558" width="9.140625" style="46"/>
    <col min="2559" max="2559" width="4.140625" style="46" customWidth="1"/>
    <col min="2560" max="2560" width="58.85546875" style="46" customWidth="1"/>
    <col min="2561" max="2561" width="32.85546875" style="46" customWidth="1"/>
    <col min="2562" max="2814" width="9.140625" style="46"/>
    <col min="2815" max="2815" width="4.140625" style="46" customWidth="1"/>
    <col min="2816" max="2816" width="58.85546875" style="46" customWidth="1"/>
    <col min="2817" max="2817" width="32.85546875" style="46" customWidth="1"/>
    <col min="2818" max="3070" width="9.140625" style="46"/>
    <col min="3071" max="3071" width="4.140625" style="46" customWidth="1"/>
    <col min="3072" max="3072" width="58.85546875" style="46" customWidth="1"/>
    <col min="3073" max="3073" width="32.85546875" style="46" customWidth="1"/>
    <col min="3074" max="3326" width="9.140625" style="46"/>
    <col min="3327" max="3327" width="4.140625" style="46" customWidth="1"/>
    <col min="3328" max="3328" width="58.85546875" style="46" customWidth="1"/>
    <col min="3329" max="3329" width="32.85546875" style="46" customWidth="1"/>
    <col min="3330" max="3582" width="9.140625" style="46"/>
    <col min="3583" max="3583" width="4.140625" style="46" customWidth="1"/>
    <col min="3584" max="3584" width="58.85546875" style="46" customWidth="1"/>
    <col min="3585" max="3585" width="32.85546875" style="46" customWidth="1"/>
    <col min="3586" max="3838" width="9.140625" style="46"/>
    <col min="3839" max="3839" width="4.140625" style="46" customWidth="1"/>
    <col min="3840" max="3840" width="58.85546875" style="46" customWidth="1"/>
    <col min="3841" max="3841" width="32.85546875" style="46" customWidth="1"/>
    <col min="3842" max="4094" width="9.140625" style="46"/>
    <col min="4095" max="4095" width="4.140625" style="46" customWidth="1"/>
    <col min="4096" max="4096" width="58.85546875" style="46" customWidth="1"/>
    <col min="4097" max="4097" width="32.85546875" style="46" customWidth="1"/>
    <col min="4098" max="4350" width="9.140625" style="46"/>
    <col min="4351" max="4351" width="4.140625" style="46" customWidth="1"/>
    <col min="4352" max="4352" width="58.85546875" style="46" customWidth="1"/>
    <col min="4353" max="4353" width="32.85546875" style="46" customWidth="1"/>
    <col min="4354" max="4606" width="9.140625" style="46"/>
    <col min="4607" max="4607" width="4.140625" style="46" customWidth="1"/>
    <col min="4608" max="4608" width="58.85546875" style="46" customWidth="1"/>
    <col min="4609" max="4609" width="32.85546875" style="46" customWidth="1"/>
    <col min="4610" max="4862" width="9.140625" style="46"/>
    <col min="4863" max="4863" width="4.140625" style="46" customWidth="1"/>
    <col min="4864" max="4864" width="58.85546875" style="46" customWidth="1"/>
    <col min="4865" max="4865" width="32.85546875" style="46" customWidth="1"/>
    <col min="4866" max="5118" width="9.140625" style="46"/>
    <col min="5119" max="5119" width="4.140625" style="46" customWidth="1"/>
    <col min="5120" max="5120" width="58.85546875" style="46" customWidth="1"/>
    <col min="5121" max="5121" width="32.85546875" style="46" customWidth="1"/>
    <col min="5122" max="5374" width="9.140625" style="46"/>
    <col min="5375" max="5375" width="4.140625" style="46" customWidth="1"/>
    <col min="5376" max="5376" width="58.85546875" style="46" customWidth="1"/>
    <col min="5377" max="5377" width="32.85546875" style="46" customWidth="1"/>
    <col min="5378" max="5630" width="9.140625" style="46"/>
    <col min="5631" max="5631" width="4.140625" style="46" customWidth="1"/>
    <col min="5632" max="5632" width="58.85546875" style="46" customWidth="1"/>
    <col min="5633" max="5633" width="32.85546875" style="46" customWidth="1"/>
    <col min="5634" max="5886" width="9.140625" style="46"/>
    <col min="5887" max="5887" width="4.140625" style="46" customWidth="1"/>
    <col min="5888" max="5888" width="58.85546875" style="46" customWidth="1"/>
    <col min="5889" max="5889" width="32.85546875" style="46" customWidth="1"/>
    <col min="5890" max="6142" width="9.140625" style="46"/>
    <col min="6143" max="6143" width="4.140625" style="46" customWidth="1"/>
    <col min="6144" max="6144" width="58.85546875" style="46" customWidth="1"/>
    <col min="6145" max="6145" width="32.85546875" style="46" customWidth="1"/>
    <col min="6146" max="6398" width="9.140625" style="46"/>
    <col min="6399" max="6399" width="4.140625" style="46" customWidth="1"/>
    <col min="6400" max="6400" width="58.85546875" style="46" customWidth="1"/>
    <col min="6401" max="6401" width="32.85546875" style="46" customWidth="1"/>
    <col min="6402" max="6654" width="9.140625" style="46"/>
    <col min="6655" max="6655" width="4.140625" style="46" customWidth="1"/>
    <col min="6656" max="6656" width="58.85546875" style="46" customWidth="1"/>
    <col min="6657" max="6657" width="32.85546875" style="46" customWidth="1"/>
    <col min="6658" max="6910" width="9.140625" style="46"/>
    <col min="6911" max="6911" width="4.140625" style="46" customWidth="1"/>
    <col min="6912" max="6912" width="58.85546875" style="46" customWidth="1"/>
    <col min="6913" max="6913" width="32.85546875" style="46" customWidth="1"/>
    <col min="6914" max="7166" width="9.140625" style="46"/>
    <col min="7167" max="7167" width="4.140625" style="46" customWidth="1"/>
    <col min="7168" max="7168" width="58.85546875" style="46" customWidth="1"/>
    <col min="7169" max="7169" width="32.85546875" style="46" customWidth="1"/>
    <col min="7170" max="7422" width="9.140625" style="46"/>
    <col min="7423" max="7423" width="4.140625" style="46" customWidth="1"/>
    <col min="7424" max="7424" width="58.85546875" style="46" customWidth="1"/>
    <col min="7425" max="7425" width="32.85546875" style="46" customWidth="1"/>
    <col min="7426" max="7678" width="9.140625" style="46"/>
    <col min="7679" max="7679" width="4.140625" style="46" customWidth="1"/>
    <col min="7680" max="7680" width="58.85546875" style="46" customWidth="1"/>
    <col min="7681" max="7681" width="32.85546875" style="46" customWidth="1"/>
    <col min="7682" max="7934" width="9.140625" style="46"/>
    <col min="7935" max="7935" width="4.140625" style="46" customWidth="1"/>
    <col min="7936" max="7936" width="58.85546875" style="46" customWidth="1"/>
    <col min="7937" max="7937" width="32.85546875" style="46" customWidth="1"/>
    <col min="7938" max="8190" width="9.140625" style="46"/>
    <col min="8191" max="8191" width="4.140625" style="46" customWidth="1"/>
    <col min="8192" max="8192" width="58.85546875" style="46" customWidth="1"/>
    <col min="8193" max="8193" width="32.85546875" style="46" customWidth="1"/>
    <col min="8194" max="8446" width="9.140625" style="46"/>
    <col min="8447" max="8447" width="4.140625" style="46" customWidth="1"/>
    <col min="8448" max="8448" width="58.85546875" style="46" customWidth="1"/>
    <col min="8449" max="8449" width="32.85546875" style="46" customWidth="1"/>
    <col min="8450" max="8702" width="9.140625" style="46"/>
    <col min="8703" max="8703" width="4.140625" style="46" customWidth="1"/>
    <col min="8704" max="8704" width="58.85546875" style="46" customWidth="1"/>
    <col min="8705" max="8705" width="32.85546875" style="46" customWidth="1"/>
    <col min="8706" max="8958" width="9.140625" style="46"/>
    <col min="8959" max="8959" width="4.140625" style="46" customWidth="1"/>
    <col min="8960" max="8960" width="58.85546875" style="46" customWidth="1"/>
    <col min="8961" max="8961" width="32.85546875" style="46" customWidth="1"/>
    <col min="8962" max="9214" width="9.140625" style="46"/>
    <col min="9215" max="9215" width="4.140625" style="46" customWidth="1"/>
    <col min="9216" max="9216" width="58.85546875" style="46" customWidth="1"/>
    <col min="9217" max="9217" width="32.85546875" style="46" customWidth="1"/>
    <col min="9218" max="9470" width="9.140625" style="46"/>
    <col min="9471" max="9471" width="4.140625" style="46" customWidth="1"/>
    <col min="9472" max="9472" width="58.85546875" style="46" customWidth="1"/>
    <col min="9473" max="9473" width="32.85546875" style="46" customWidth="1"/>
    <col min="9474" max="9726" width="9.140625" style="46"/>
    <col min="9727" max="9727" width="4.140625" style="46" customWidth="1"/>
    <col min="9728" max="9728" width="58.85546875" style="46" customWidth="1"/>
    <col min="9729" max="9729" width="32.85546875" style="46" customWidth="1"/>
    <col min="9730" max="9982" width="9.140625" style="46"/>
    <col min="9983" max="9983" width="4.140625" style="46" customWidth="1"/>
    <col min="9984" max="9984" width="58.85546875" style="46" customWidth="1"/>
    <col min="9985" max="9985" width="32.85546875" style="46" customWidth="1"/>
    <col min="9986" max="10238" width="9.140625" style="46"/>
    <col min="10239" max="10239" width="4.140625" style="46" customWidth="1"/>
    <col min="10240" max="10240" width="58.85546875" style="46" customWidth="1"/>
    <col min="10241" max="10241" width="32.85546875" style="46" customWidth="1"/>
    <col min="10242" max="10494" width="9.140625" style="46"/>
    <col min="10495" max="10495" width="4.140625" style="46" customWidth="1"/>
    <col min="10496" max="10496" width="58.85546875" style="46" customWidth="1"/>
    <col min="10497" max="10497" width="32.85546875" style="46" customWidth="1"/>
    <col min="10498" max="10750" width="9.140625" style="46"/>
    <col min="10751" max="10751" width="4.140625" style="46" customWidth="1"/>
    <col min="10752" max="10752" width="58.85546875" style="46" customWidth="1"/>
    <col min="10753" max="10753" width="32.85546875" style="46" customWidth="1"/>
    <col min="10754" max="11006" width="9.140625" style="46"/>
    <col min="11007" max="11007" width="4.140625" style="46" customWidth="1"/>
    <col min="11008" max="11008" width="58.85546875" style="46" customWidth="1"/>
    <col min="11009" max="11009" width="32.85546875" style="46" customWidth="1"/>
    <col min="11010" max="11262" width="9.140625" style="46"/>
    <col min="11263" max="11263" width="4.140625" style="46" customWidth="1"/>
    <col min="11264" max="11264" width="58.85546875" style="46" customWidth="1"/>
    <col min="11265" max="11265" width="32.85546875" style="46" customWidth="1"/>
    <col min="11266" max="11518" width="9.140625" style="46"/>
    <col min="11519" max="11519" width="4.140625" style="46" customWidth="1"/>
    <col min="11520" max="11520" width="58.85546875" style="46" customWidth="1"/>
    <col min="11521" max="11521" width="32.85546875" style="46" customWidth="1"/>
    <col min="11522" max="11774" width="9.140625" style="46"/>
    <col min="11775" max="11775" width="4.140625" style="46" customWidth="1"/>
    <col min="11776" max="11776" width="58.85546875" style="46" customWidth="1"/>
    <col min="11777" max="11777" width="32.85546875" style="46" customWidth="1"/>
    <col min="11778" max="12030" width="9.140625" style="46"/>
    <col min="12031" max="12031" width="4.140625" style="46" customWidth="1"/>
    <col min="12032" max="12032" width="58.85546875" style="46" customWidth="1"/>
    <col min="12033" max="12033" width="32.85546875" style="46" customWidth="1"/>
    <col min="12034" max="12286" width="9.140625" style="46"/>
    <col min="12287" max="12287" width="4.140625" style="46" customWidth="1"/>
    <col min="12288" max="12288" width="58.85546875" style="46" customWidth="1"/>
    <col min="12289" max="12289" width="32.85546875" style="46" customWidth="1"/>
    <col min="12290" max="12542" width="9.140625" style="46"/>
    <col min="12543" max="12543" width="4.140625" style="46" customWidth="1"/>
    <col min="12544" max="12544" width="58.85546875" style="46" customWidth="1"/>
    <col min="12545" max="12545" width="32.85546875" style="46" customWidth="1"/>
    <col min="12546" max="12798" width="9.140625" style="46"/>
    <col min="12799" max="12799" width="4.140625" style="46" customWidth="1"/>
    <col min="12800" max="12800" width="58.85546875" style="46" customWidth="1"/>
    <col min="12801" max="12801" width="32.85546875" style="46" customWidth="1"/>
    <col min="12802" max="13054" width="9.140625" style="46"/>
    <col min="13055" max="13055" width="4.140625" style="46" customWidth="1"/>
    <col min="13056" max="13056" width="58.85546875" style="46" customWidth="1"/>
    <col min="13057" max="13057" width="32.85546875" style="46" customWidth="1"/>
    <col min="13058" max="13310" width="9.140625" style="46"/>
    <col min="13311" max="13311" width="4.140625" style="46" customWidth="1"/>
    <col min="13312" max="13312" width="58.85546875" style="46" customWidth="1"/>
    <col min="13313" max="13313" width="32.85546875" style="46" customWidth="1"/>
    <col min="13314" max="13566" width="9.140625" style="46"/>
    <col min="13567" max="13567" width="4.140625" style="46" customWidth="1"/>
    <col min="13568" max="13568" width="58.85546875" style="46" customWidth="1"/>
    <col min="13569" max="13569" width="32.85546875" style="46" customWidth="1"/>
    <col min="13570" max="13822" width="9.140625" style="46"/>
    <col min="13823" max="13823" width="4.140625" style="46" customWidth="1"/>
    <col min="13824" max="13824" width="58.85546875" style="46" customWidth="1"/>
    <col min="13825" max="13825" width="32.85546875" style="46" customWidth="1"/>
    <col min="13826" max="14078" width="9.140625" style="46"/>
    <col min="14079" max="14079" width="4.140625" style="46" customWidth="1"/>
    <col min="14080" max="14080" width="58.85546875" style="46" customWidth="1"/>
    <col min="14081" max="14081" width="32.85546875" style="46" customWidth="1"/>
    <col min="14082" max="14334" width="9.140625" style="46"/>
    <col min="14335" max="14335" width="4.140625" style="46" customWidth="1"/>
    <col min="14336" max="14336" width="58.85546875" style="46" customWidth="1"/>
    <col min="14337" max="14337" width="32.85546875" style="46" customWidth="1"/>
    <col min="14338" max="14590" width="9.140625" style="46"/>
    <col min="14591" max="14591" width="4.140625" style="46" customWidth="1"/>
    <col min="14592" max="14592" width="58.85546875" style="46" customWidth="1"/>
    <col min="14593" max="14593" width="32.85546875" style="46" customWidth="1"/>
    <col min="14594" max="14846" width="9.140625" style="46"/>
    <col min="14847" max="14847" width="4.140625" style="46" customWidth="1"/>
    <col min="14848" max="14848" width="58.85546875" style="46" customWidth="1"/>
    <col min="14849" max="14849" width="32.85546875" style="46" customWidth="1"/>
    <col min="14850" max="15102" width="9.140625" style="46"/>
    <col min="15103" max="15103" width="4.140625" style="46" customWidth="1"/>
    <col min="15104" max="15104" width="58.85546875" style="46" customWidth="1"/>
    <col min="15105" max="15105" width="32.85546875" style="46" customWidth="1"/>
    <col min="15106" max="15358" width="9.140625" style="46"/>
    <col min="15359" max="15359" width="4.140625" style="46" customWidth="1"/>
    <col min="15360" max="15360" width="58.85546875" style="46" customWidth="1"/>
    <col min="15361" max="15361" width="32.85546875" style="46" customWidth="1"/>
    <col min="15362" max="15614" width="9.140625" style="46"/>
    <col min="15615" max="15615" width="4.140625" style="46" customWidth="1"/>
    <col min="15616" max="15616" width="58.85546875" style="46" customWidth="1"/>
    <col min="15617" max="15617" width="32.85546875" style="46" customWidth="1"/>
    <col min="15618" max="15870" width="9.140625" style="46"/>
    <col min="15871" max="15871" width="4.140625" style="46" customWidth="1"/>
    <col min="15872" max="15872" width="58.85546875" style="46" customWidth="1"/>
    <col min="15873" max="15873" width="32.85546875" style="46" customWidth="1"/>
    <col min="15874" max="16126" width="9.140625" style="46"/>
    <col min="16127" max="16127" width="4.140625" style="46" customWidth="1"/>
    <col min="16128" max="16128" width="58.85546875" style="46" customWidth="1"/>
    <col min="16129" max="16129" width="32.85546875" style="46" customWidth="1"/>
    <col min="16130" max="16384" width="9.140625" style="46"/>
  </cols>
  <sheetData>
    <row r="1" spans="1:5" x14ac:dyDescent="0.2">
      <c r="A1" s="43"/>
      <c r="B1" s="44"/>
      <c r="C1" s="371" t="s">
        <v>551</v>
      </c>
    </row>
    <row r="2" spans="1:5" ht="73.5" customHeight="1" x14ac:dyDescent="0.2">
      <c r="A2" s="43"/>
      <c r="B2" s="44"/>
      <c r="C2" s="364" t="s">
        <v>463</v>
      </c>
      <c r="D2" s="186"/>
      <c r="E2" s="186"/>
    </row>
    <row r="3" spans="1:5" x14ac:dyDescent="0.2">
      <c r="A3" s="43"/>
      <c r="B3" s="44"/>
      <c r="C3" s="364" t="s">
        <v>636</v>
      </c>
    </row>
    <row r="4" spans="1:5" x14ac:dyDescent="0.2">
      <c r="A4" s="43"/>
      <c r="B4" s="44"/>
      <c r="C4" s="48"/>
    </row>
    <row r="5" spans="1:5" s="62" customFormat="1" ht="102.75" customHeight="1" x14ac:dyDescent="0.25">
      <c r="A5" s="60"/>
      <c r="B5" s="546" t="s">
        <v>630</v>
      </c>
      <c r="C5" s="546"/>
    </row>
    <row r="6" spans="1:5" ht="15" x14ac:dyDescent="0.2">
      <c r="A6" s="43"/>
      <c r="B6" s="49"/>
      <c r="C6" s="49"/>
    </row>
    <row r="7" spans="1:5" s="51" customFormat="1" ht="37.5" customHeight="1" x14ac:dyDescent="0.25">
      <c r="A7" s="369" t="s">
        <v>172</v>
      </c>
      <c r="B7" s="369" t="s">
        <v>173</v>
      </c>
      <c r="C7" s="370" t="s">
        <v>174</v>
      </c>
    </row>
    <row r="8" spans="1:5" s="82" customFormat="1" ht="41.25" customHeight="1" x14ac:dyDescent="0.25">
      <c r="A8" s="78">
        <v>1</v>
      </c>
      <c r="B8" s="79" t="s">
        <v>175</v>
      </c>
      <c r="C8" s="80">
        <v>33334</v>
      </c>
    </row>
    <row r="9" spans="1:5" s="82" customFormat="1" ht="41.25" customHeight="1" x14ac:dyDescent="0.25">
      <c r="A9" s="78">
        <v>2</v>
      </c>
      <c r="B9" s="79" t="s">
        <v>176</v>
      </c>
      <c r="C9" s="80">
        <v>33333</v>
      </c>
    </row>
    <row r="10" spans="1:5" s="82" customFormat="1" ht="41.25" customHeight="1" x14ac:dyDescent="0.25">
      <c r="A10" s="78">
        <v>3</v>
      </c>
      <c r="B10" s="79" t="s">
        <v>177</v>
      </c>
      <c r="C10" s="80">
        <v>33334</v>
      </c>
    </row>
    <row r="11" spans="1:5" s="82" customFormat="1" ht="41.25" customHeight="1" x14ac:dyDescent="0.25">
      <c r="A11" s="78">
        <v>4</v>
      </c>
      <c r="B11" s="79" t="s">
        <v>178</v>
      </c>
      <c r="C11" s="80">
        <v>33333</v>
      </c>
    </row>
    <row r="12" spans="1:5" s="82" customFormat="1" ht="41.25" customHeight="1" x14ac:dyDescent="0.25">
      <c r="A12" s="78">
        <v>5</v>
      </c>
      <c r="B12" s="79" t="s">
        <v>179</v>
      </c>
      <c r="C12" s="80">
        <v>33333</v>
      </c>
    </row>
    <row r="13" spans="1:5" s="82" customFormat="1" ht="41.25" customHeight="1" x14ac:dyDescent="0.25">
      <c r="A13" s="78">
        <v>6</v>
      </c>
      <c r="B13" s="79" t="s">
        <v>180</v>
      </c>
      <c r="C13" s="80">
        <v>33333</v>
      </c>
    </row>
    <row r="14" spans="1:5" s="87" customFormat="1" ht="41.25" customHeight="1" x14ac:dyDescent="0.25">
      <c r="A14" s="83"/>
      <c r="B14" s="84" t="s">
        <v>9</v>
      </c>
      <c r="C14" s="85">
        <f>SUM(C8:C13)</f>
        <v>200000</v>
      </c>
    </row>
  </sheetData>
  <mergeCells count="1">
    <mergeCell ref="B5:C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topLeftCell="A3" workbookViewId="0">
      <selection activeCell="I14" sqref="I14"/>
    </sheetView>
  </sheetViews>
  <sheetFormatPr defaultRowHeight="12.75" x14ac:dyDescent="0.2"/>
  <cols>
    <col min="1" max="1" width="4.140625" style="46" customWidth="1"/>
    <col min="2" max="2" width="46.42578125" style="46" customWidth="1"/>
    <col min="3" max="3" width="18.7109375" style="46" hidden="1" customWidth="1"/>
    <col min="4" max="4" width="13" style="46" hidden="1" customWidth="1"/>
    <col min="5" max="5" width="38.28515625" style="46" customWidth="1"/>
    <col min="6" max="254" width="9.140625" style="46"/>
    <col min="255" max="255" width="4.140625" style="46" customWidth="1"/>
    <col min="256" max="256" width="58.85546875" style="46" customWidth="1"/>
    <col min="257" max="257" width="32.85546875" style="46" customWidth="1"/>
    <col min="258" max="510" width="9.140625" style="46"/>
    <col min="511" max="511" width="4.140625" style="46" customWidth="1"/>
    <col min="512" max="512" width="58.85546875" style="46" customWidth="1"/>
    <col min="513" max="513" width="32.85546875" style="46" customWidth="1"/>
    <col min="514" max="766" width="9.140625" style="46"/>
    <col min="767" max="767" width="4.140625" style="46" customWidth="1"/>
    <col min="768" max="768" width="58.85546875" style="46" customWidth="1"/>
    <col min="769" max="769" width="32.85546875" style="46" customWidth="1"/>
    <col min="770" max="1022" width="9.140625" style="46"/>
    <col min="1023" max="1023" width="4.140625" style="46" customWidth="1"/>
    <col min="1024" max="1024" width="58.85546875" style="46" customWidth="1"/>
    <col min="1025" max="1025" width="32.85546875" style="46" customWidth="1"/>
    <col min="1026" max="1278" width="9.140625" style="46"/>
    <col min="1279" max="1279" width="4.140625" style="46" customWidth="1"/>
    <col min="1280" max="1280" width="58.85546875" style="46" customWidth="1"/>
    <col min="1281" max="1281" width="32.85546875" style="46" customWidth="1"/>
    <col min="1282" max="1534" width="9.140625" style="46"/>
    <col min="1535" max="1535" width="4.140625" style="46" customWidth="1"/>
    <col min="1536" max="1536" width="58.85546875" style="46" customWidth="1"/>
    <col min="1537" max="1537" width="32.85546875" style="46" customWidth="1"/>
    <col min="1538" max="1790" width="9.140625" style="46"/>
    <col min="1791" max="1791" width="4.140625" style="46" customWidth="1"/>
    <col min="1792" max="1792" width="58.85546875" style="46" customWidth="1"/>
    <col min="1793" max="1793" width="32.85546875" style="46" customWidth="1"/>
    <col min="1794" max="2046" width="9.140625" style="46"/>
    <col min="2047" max="2047" width="4.140625" style="46" customWidth="1"/>
    <col min="2048" max="2048" width="58.85546875" style="46" customWidth="1"/>
    <col min="2049" max="2049" width="32.85546875" style="46" customWidth="1"/>
    <col min="2050" max="2302" width="9.140625" style="46"/>
    <col min="2303" max="2303" width="4.140625" style="46" customWidth="1"/>
    <col min="2304" max="2304" width="58.85546875" style="46" customWidth="1"/>
    <col min="2305" max="2305" width="32.85546875" style="46" customWidth="1"/>
    <col min="2306" max="2558" width="9.140625" style="46"/>
    <col min="2559" max="2559" width="4.140625" style="46" customWidth="1"/>
    <col min="2560" max="2560" width="58.85546875" style="46" customWidth="1"/>
    <col min="2561" max="2561" width="32.85546875" style="46" customWidth="1"/>
    <col min="2562" max="2814" width="9.140625" style="46"/>
    <col min="2815" max="2815" width="4.140625" style="46" customWidth="1"/>
    <col min="2816" max="2816" width="58.85546875" style="46" customWidth="1"/>
    <col min="2817" max="2817" width="32.85546875" style="46" customWidth="1"/>
    <col min="2818" max="3070" width="9.140625" style="46"/>
    <col min="3071" max="3071" width="4.140625" style="46" customWidth="1"/>
    <col min="3072" max="3072" width="58.85546875" style="46" customWidth="1"/>
    <col min="3073" max="3073" width="32.85546875" style="46" customWidth="1"/>
    <col min="3074" max="3326" width="9.140625" style="46"/>
    <col min="3327" max="3327" width="4.140625" style="46" customWidth="1"/>
    <col min="3328" max="3328" width="58.85546875" style="46" customWidth="1"/>
    <col min="3329" max="3329" width="32.85546875" style="46" customWidth="1"/>
    <col min="3330" max="3582" width="9.140625" style="46"/>
    <col min="3583" max="3583" width="4.140625" style="46" customWidth="1"/>
    <col min="3584" max="3584" width="58.85546875" style="46" customWidth="1"/>
    <col min="3585" max="3585" width="32.85546875" style="46" customWidth="1"/>
    <col min="3586" max="3838" width="9.140625" style="46"/>
    <col min="3839" max="3839" width="4.140625" style="46" customWidth="1"/>
    <col min="3840" max="3840" width="58.85546875" style="46" customWidth="1"/>
    <col min="3841" max="3841" width="32.85546875" style="46" customWidth="1"/>
    <col min="3842" max="4094" width="9.140625" style="46"/>
    <col min="4095" max="4095" width="4.140625" style="46" customWidth="1"/>
    <col min="4096" max="4096" width="58.85546875" style="46" customWidth="1"/>
    <col min="4097" max="4097" width="32.85546875" style="46" customWidth="1"/>
    <col min="4098" max="4350" width="9.140625" style="46"/>
    <col min="4351" max="4351" width="4.140625" style="46" customWidth="1"/>
    <col min="4352" max="4352" width="58.85546875" style="46" customWidth="1"/>
    <col min="4353" max="4353" width="32.85546875" style="46" customWidth="1"/>
    <col min="4354" max="4606" width="9.140625" style="46"/>
    <col min="4607" max="4607" width="4.140625" style="46" customWidth="1"/>
    <col min="4608" max="4608" width="58.85546875" style="46" customWidth="1"/>
    <col min="4609" max="4609" width="32.85546875" style="46" customWidth="1"/>
    <col min="4610" max="4862" width="9.140625" style="46"/>
    <col min="4863" max="4863" width="4.140625" style="46" customWidth="1"/>
    <col min="4864" max="4864" width="58.85546875" style="46" customWidth="1"/>
    <col min="4865" max="4865" width="32.85546875" style="46" customWidth="1"/>
    <col min="4866" max="5118" width="9.140625" style="46"/>
    <col min="5119" max="5119" width="4.140625" style="46" customWidth="1"/>
    <col min="5120" max="5120" width="58.85546875" style="46" customWidth="1"/>
    <col min="5121" max="5121" width="32.85546875" style="46" customWidth="1"/>
    <col min="5122" max="5374" width="9.140625" style="46"/>
    <col min="5375" max="5375" width="4.140625" style="46" customWidth="1"/>
    <col min="5376" max="5376" width="58.85546875" style="46" customWidth="1"/>
    <col min="5377" max="5377" width="32.85546875" style="46" customWidth="1"/>
    <col min="5378" max="5630" width="9.140625" style="46"/>
    <col min="5631" max="5631" width="4.140625" style="46" customWidth="1"/>
    <col min="5632" max="5632" width="58.85546875" style="46" customWidth="1"/>
    <col min="5633" max="5633" width="32.85546875" style="46" customWidth="1"/>
    <col min="5634" max="5886" width="9.140625" style="46"/>
    <col min="5887" max="5887" width="4.140625" style="46" customWidth="1"/>
    <col min="5888" max="5888" width="58.85546875" style="46" customWidth="1"/>
    <col min="5889" max="5889" width="32.85546875" style="46" customWidth="1"/>
    <col min="5890" max="6142" width="9.140625" style="46"/>
    <col min="6143" max="6143" width="4.140625" style="46" customWidth="1"/>
    <col min="6144" max="6144" width="58.85546875" style="46" customWidth="1"/>
    <col min="6145" max="6145" width="32.85546875" style="46" customWidth="1"/>
    <col min="6146" max="6398" width="9.140625" style="46"/>
    <col min="6399" max="6399" width="4.140625" style="46" customWidth="1"/>
    <col min="6400" max="6400" width="58.85546875" style="46" customWidth="1"/>
    <col min="6401" max="6401" width="32.85546875" style="46" customWidth="1"/>
    <col min="6402" max="6654" width="9.140625" style="46"/>
    <col min="6655" max="6655" width="4.140625" style="46" customWidth="1"/>
    <col min="6656" max="6656" width="58.85546875" style="46" customWidth="1"/>
    <col min="6657" max="6657" width="32.85546875" style="46" customWidth="1"/>
    <col min="6658" max="6910" width="9.140625" style="46"/>
    <col min="6911" max="6911" width="4.140625" style="46" customWidth="1"/>
    <col min="6912" max="6912" width="58.85546875" style="46" customWidth="1"/>
    <col min="6913" max="6913" width="32.85546875" style="46" customWidth="1"/>
    <col min="6914" max="7166" width="9.140625" style="46"/>
    <col min="7167" max="7167" width="4.140625" style="46" customWidth="1"/>
    <col min="7168" max="7168" width="58.85546875" style="46" customWidth="1"/>
    <col min="7169" max="7169" width="32.85546875" style="46" customWidth="1"/>
    <col min="7170" max="7422" width="9.140625" style="46"/>
    <col min="7423" max="7423" width="4.140625" style="46" customWidth="1"/>
    <col min="7424" max="7424" width="58.85546875" style="46" customWidth="1"/>
    <col min="7425" max="7425" width="32.85546875" style="46" customWidth="1"/>
    <col min="7426" max="7678" width="9.140625" style="46"/>
    <col min="7679" max="7679" width="4.140625" style="46" customWidth="1"/>
    <col min="7680" max="7680" width="58.85546875" style="46" customWidth="1"/>
    <col min="7681" max="7681" width="32.85546875" style="46" customWidth="1"/>
    <col min="7682" max="7934" width="9.140625" style="46"/>
    <col min="7935" max="7935" width="4.140625" style="46" customWidth="1"/>
    <col min="7936" max="7936" width="58.85546875" style="46" customWidth="1"/>
    <col min="7937" max="7937" width="32.85546875" style="46" customWidth="1"/>
    <col min="7938" max="8190" width="9.140625" style="46"/>
    <col min="8191" max="8191" width="4.140625" style="46" customWidth="1"/>
    <col min="8192" max="8192" width="58.85546875" style="46" customWidth="1"/>
    <col min="8193" max="8193" width="32.85546875" style="46" customWidth="1"/>
    <col min="8194" max="8446" width="9.140625" style="46"/>
    <col min="8447" max="8447" width="4.140625" style="46" customWidth="1"/>
    <col min="8448" max="8448" width="58.85546875" style="46" customWidth="1"/>
    <col min="8449" max="8449" width="32.85546875" style="46" customWidth="1"/>
    <col min="8450" max="8702" width="9.140625" style="46"/>
    <col min="8703" max="8703" width="4.140625" style="46" customWidth="1"/>
    <col min="8704" max="8704" width="58.85546875" style="46" customWidth="1"/>
    <col min="8705" max="8705" width="32.85546875" style="46" customWidth="1"/>
    <col min="8706" max="8958" width="9.140625" style="46"/>
    <col min="8959" max="8959" width="4.140625" style="46" customWidth="1"/>
    <col min="8960" max="8960" width="58.85546875" style="46" customWidth="1"/>
    <col min="8961" max="8961" width="32.85546875" style="46" customWidth="1"/>
    <col min="8962" max="9214" width="9.140625" style="46"/>
    <col min="9215" max="9215" width="4.140625" style="46" customWidth="1"/>
    <col min="9216" max="9216" width="58.85546875" style="46" customWidth="1"/>
    <col min="9217" max="9217" width="32.85546875" style="46" customWidth="1"/>
    <col min="9218" max="9470" width="9.140625" style="46"/>
    <col min="9471" max="9471" width="4.140625" style="46" customWidth="1"/>
    <col min="9472" max="9472" width="58.85546875" style="46" customWidth="1"/>
    <col min="9473" max="9473" width="32.85546875" style="46" customWidth="1"/>
    <col min="9474" max="9726" width="9.140625" style="46"/>
    <col min="9727" max="9727" width="4.140625" style="46" customWidth="1"/>
    <col min="9728" max="9728" width="58.85546875" style="46" customWidth="1"/>
    <col min="9729" max="9729" width="32.85546875" style="46" customWidth="1"/>
    <col min="9730" max="9982" width="9.140625" style="46"/>
    <col min="9983" max="9983" width="4.140625" style="46" customWidth="1"/>
    <col min="9984" max="9984" width="58.85546875" style="46" customWidth="1"/>
    <col min="9985" max="9985" width="32.85546875" style="46" customWidth="1"/>
    <col min="9986" max="10238" width="9.140625" style="46"/>
    <col min="10239" max="10239" width="4.140625" style="46" customWidth="1"/>
    <col min="10240" max="10240" width="58.85546875" style="46" customWidth="1"/>
    <col min="10241" max="10241" width="32.85546875" style="46" customWidth="1"/>
    <col min="10242" max="10494" width="9.140625" style="46"/>
    <col min="10495" max="10495" width="4.140625" style="46" customWidth="1"/>
    <col min="10496" max="10496" width="58.85546875" style="46" customWidth="1"/>
    <col min="10497" max="10497" width="32.85546875" style="46" customWidth="1"/>
    <col min="10498" max="10750" width="9.140625" style="46"/>
    <col min="10751" max="10751" width="4.140625" style="46" customWidth="1"/>
    <col min="10752" max="10752" width="58.85546875" style="46" customWidth="1"/>
    <col min="10753" max="10753" width="32.85546875" style="46" customWidth="1"/>
    <col min="10754" max="11006" width="9.140625" style="46"/>
    <col min="11007" max="11007" width="4.140625" style="46" customWidth="1"/>
    <col min="11008" max="11008" width="58.85546875" style="46" customWidth="1"/>
    <col min="11009" max="11009" width="32.85546875" style="46" customWidth="1"/>
    <col min="11010" max="11262" width="9.140625" style="46"/>
    <col min="11263" max="11263" width="4.140625" style="46" customWidth="1"/>
    <col min="11264" max="11264" width="58.85546875" style="46" customWidth="1"/>
    <col min="11265" max="11265" width="32.85546875" style="46" customWidth="1"/>
    <col min="11266" max="11518" width="9.140625" style="46"/>
    <col min="11519" max="11519" width="4.140625" style="46" customWidth="1"/>
    <col min="11520" max="11520" width="58.85546875" style="46" customWidth="1"/>
    <col min="11521" max="11521" width="32.85546875" style="46" customWidth="1"/>
    <col min="11522" max="11774" width="9.140625" style="46"/>
    <col min="11775" max="11775" width="4.140625" style="46" customWidth="1"/>
    <col min="11776" max="11776" width="58.85546875" style="46" customWidth="1"/>
    <col min="11777" max="11777" width="32.85546875" style="46" customWidth="1"/>
    <col min="11778" max="12030" width="9.140625" style="46"/>
    <col min="12031" max="12031" width="4.140625" style="46" customWidth="1"/>
    <col min="12032" max="12032" width="58.85546875" style="46" customWidth="1"/>
    <col min="12033" max="12033" width="32.85546875" style="46" customWidth="1"/>
    <col min="12034" max="12286" width="9.140625" style="46"/>
    <col min="12287" max="12287" width="4.140625" style="46" customWidth="1"/>
    <col min="12288" max="12288" width="58.85546875" style="46" customWidth="1"/>
    <col min="12289" max="12289" width="32.85546875" style="46" customWidth="1"/>
    <col min="12290" max="12542" width="9.140625" style="46"/>
    <col min="12543" max="12543" width="4.140625" style="46" customWidth="1"/>
    <col min="12544" max="12544" width="58.85546875" style="46" customWidth="1"/>
    <col min="12545" max="12545" width="32.85546875" style="46" customWidth="1"/>
    <col min="12546" max="12798" width="9.140625" style="46"/>
    <col min="12799" max="12799" width="4.140625" style="46" customWidth="1"/>
    <col min="12800" max="12800" width="58.85546875" style="46" customWidth="1"/>
    <col min="12801" max="12801" width="32.85546875" style="46" customWidth="1"/>
    <col min="12802" max="13054" width="9.140625" style="46"/>
    <col min="13055" max="13055" width="4.140625" style="46" customWidth="1"/>
    <col min="13056" max="13056" width="58.85546875" style="46" customWidth="1"/>
    <col min="13057" max="13057" width="32.85546875" style="46" customWidth="1"/>
    <col min="13058" max="13310" width="9.140625" style="46"/>
    <col min="13311" max="13311" width="4.140625" style="46" customWidth="1"/>
    <col min="13312" max="13312" width="58.85546875" style="46" customWidth="1"/>
    <col min="13313" max="13313" width="32.85546875" style="46" customWidth="1"/>
    <col min="13314" max="13566" width="9.140625" style="46"/>
    <col min="13567" max="13567" width="4.140625" style="46" customWidth="1"/>
    <col min="13568" max="13568" width="58.85546875" style="46" customWidth="1"/>
    <col min="13569" max="13569" width="32.85546875" style="46" customWidth="1"/>
    <col min="13570" max="13822" width="9.140625" style="46"/>
    <col min="13823" max="13823" width="4.140625" style="46" customWidth="1"/>
    <col min="13824" max="13824" width="58.85546875" style="46" customWidth="1"/>
    <col min="13825" max="13825" width="32.85546875" style="46" customWidth="1"/>
    <col min="13826" max="14078" width="9.140625" style="46"/>
    <col min="14079" max="14079" width="4.140625" style="46" customWidth="1"/>
    <col min="14080" max="14080" width="58.85546875" style="46" customWidth="1"/>
    <col min="14081" max="14081" width="32.85546875" style="46" customWidth="1"/>
    <col min="14082" max="14334" width="9.140625" style="46"/>
    <col min="14335" max="14335" width="4.140625" style="46" customWidth="1"/>
    <col min="14336" max="14336" width="58.85546875" style="46" customWidth="1"/>
    <col min="14337" max="14337" width="32.85546875" style="46" customWidth="1"/>
    <col min="14338" max="14590" width="9.140625" style="46"/>
    <col min="14591" max="14591" width="4.140625" style="46" customWidth="1"/>
    <col min="14592" max="14592" width="58.85546875" style="46" customWidth="1"/>
    <col min="14593" max="14593" width="32.85546875" style="46" customWidth="1"/>
    <col min="14594" max="14846" width="9.140625" style="46"/>
    <col min="14847" max="14847" width="4.140625" style="46" customWidth="1"/>
    <col min="14848" max="14848" width="58.85546875" style="46" customWidth="1"/>
    <col min="14849" max="14849" width="32.85546875" style="46" customWidth="1"/>
    <col min="14850" max="15102" width="9.140625" style="46"/>
    <col min="15103" max="15103" width="4.140625" style="46" customWidth="1"/>
    <col min="15104" max="15104" width="58.85546875" style="46" customWidth="1"/>
    <col min="15105" max="15105" width="32.85546875" style="46" customWidth="1"/>
    <col min="15106" max="15358" width="9.140625" style="46"/>
    <col min="15359" max="15359" width="4.140625" style="46" customWidth="1"/>
    <col min="15360" max="15360" width="58.85546875" style="46" customWidth="1"/>
    <col min="15361" max="15361" width="32.85546875" style="46" customWidth="1"/>
    <col min="15362" max="15614" width="9.140625" style="46"/>
    <col min="15615" max="15615" width="4.140625" style="46" customWidth="1"/>
    <col min="15616" max="15616" width="58.85546875" style="46" customWidth="1"/>
    <col min="15617" max="15617" width="32.85546875" style="46" customWidth="1"/>
    <col min="15618" max="15870" width="9.140625" style="46"/>
    <col min="15871" max="15871" width="4.140625" style="46" customWidth="1"/>
    <col min="15872" max="15872" width="58.85546875" style="46" customWidth="1"/>
    <col min="15873" max="15873" width="32.85546875" style="46" customWidth="1"/>
    <col min="15874" max="16126" width="9.140625" style="46"/>
    <col min="16127" max="16127" width="4.140625" style="46" customWidth="1"/>
    <col min="16128" max="16128" width="58.85546875" style="46" customWidth="1"/>
    <col min="16129" max="16129" width="32.85546875" style="46" customWidth="1"/>
    <col min="16130" max="16384" width="9.140625" style="46"/>
  </cols>
  <sheetData>
    <row r="1" spans="1:5" hidden="1" x14ac:dyDescent="0.2">
      <c r="C1" s="400" t="s">
        <v>424</v>
      </c>
      <c r="D1" s="400"/>
      <c r="E1" s="400"/>
    </row>
    <row r="2" spans="1:5" ht="60" hidden="1" customHeight="1" x14ac:dyDescent="0.2">
      <c r="C2" s="536" t="s">
        <v>597</v>
      </c>
      <c r="D2" s="536"/>
      <c r="E2" s="536"/>
    </row>
    <row r="3" spans="1:5" x14ac:dyDescent="0.2">
      <c r="A3" s="43"/>
      <c r="B3" s="44"/>
      <c r="E3" s="465" t="s">
        <v>551</v>
      </c>
    </row>
    <row r="4" spans="1:5" ht="51" customHeight="1" x14ac:dyDescent="0.2">
      <c r="A4" s="43"/>
      <c r="B4" s="44"/>
      <c r="D4" s="186"/>
      <c r="E4" s="186" t="s">
        <v>463</v>
      </c>
    </row>
    <row r="5" spans="1:5" x14ac:dyDescent="0.2">
      <c r="A5" s="43"/>
      <c r="B5" s="44"/>
      <c r="E5" s="464" t="s">
        <v>637</v>
      </c>
    </row>
    <row r="6" spans="1:5" x14ac:dyDescent="0.2">
      <c r="A6" s="43"/>
      <c r="B6" s="44"/>
      <c r="C6" s="48"/>
    </row>
    <row r="7" spans="1:5" s="62" customFormat="1" ht="112.5" customHeight="1" x14ac:dyDescent="0.25">
      <c r="A7" s="60"/>
      <c r="B7" s="551" t="s">
        <v>638</v>
      </c>
      <c r="C7" s="551"/>
      <c r="D7" s="551"/>
      <c r="E7" s="551"/>
    </row>
    <row r="8" spans="1:5" x14ac:dyDescent="0.2">
      <c r="A8" s="43"/>
      <c r="B8" s="404"/>
      <c r="C8" s="404"/>
    </row>
    <row r="9" spans="1:5" s="51" customFormat="1" ht="25.5" x14ac:dyDescent="0.25">
      <c r="A9" s="401" t="s">
        <v>172</v>
      </c>
      <c r="B9" s="401" t="s">
        <v>173</v>
      </c>
      <c r="C9" s="402" t="s">
        <v>174</v>
      </c>
      <c r="D9" s="452" t="s">
        <v>451</v>
      </c>
      <c r="E9" s="452" t="s">
        <v>692</v>
      </c>
    </row>
    <row r="10" spans="1:5" s="82" customFormat="1" hidden="1" x14ac:dyDescent="0.25">
      <c r="B10" s="405" t="s">
        <v>175</v>
      </c>
      <c r="C10" s="406"/>
      <c r="D10" s="131"/>
      <c r="E10" s="131"/>
    </row>
    <row r="11" spans="1:5" s="82" customFormat="1" ht="24.75" customHeight="1" x14ac:dyDescent="0.25">
      <c r="A11" s="407">
        <v>1</v>
      </c>
      <c r="B11" s="405" t="s">
        <v>176</v>
      </c>
      <c r="C11" s="406">
        <v>300</v>
      </c>
      <c r="D11" s="459">
        <v>300</v>
      </c>
      <c r="E11" s="470">
        <f>C11+D11</f>
        <v>600</v>
      </c>
    </row>
    <row r="12" spans="1:5" s="82" customFormat="1" ht="24.75" customHeight="1" x14ac:dyDescent="0.25">
      <c r="A12" s="407">
        <v>2</v>
      </c>
      <c r="B12" s="405" t="s">
        <v>177</v>
      </c>
      <c r="C12" s="406">
        <v>62908</v>
      </c>
      <c r="D12" s="459">
        <v>62908</v>
      </c>
      <c r="E12" s="470">
        <f t="shared" ref="E12:E15" si="0">C12+D12</f>
        <v>125816</v>
      </c>
    </row>
    <row r="13" spans="1:5" s="82" customFormat="1" ht="24.75" customHeight="1" x14ac:dyDescent="0.25">
      <c r="A13" s="407">
        <v>3</v>
      </c>
      <c r="B13" s="405" t="s">
        <v>178</v>
      </c>
      <c r="C13" s="406">
        <v>4296</v>
      </c>
      <c r="D13" s="459">
        <v>4293</v>
      </c>
      <c r="E13" s="470">
        <f t="shared" si="0"/>
        <v>8589</v>
      </c>
    </row>
    <row r="14" spans="1:5" s="82" customFormat="1" ht="24.75" customHeight="1" x14ac:dyDescent="0.25">
      <c r="A14" s="407">
        <v>4</v>
      </c>
      <c r="B14" s="405" t="s">
        <v>179</v>
      </c>
      <c r="C14" s="406">
        <v>300</v>
      </c>
      <c r="D14" s="459">
        <v>300</v>
      </c>
      <c r="E14" s="470">
        <f t="shared" si="0"/>
        <v>600</v>
      </c>
    </row>
    <row r="15" spans="1:5" s="82" customFormat="1" ht="24.75" customHeight="1" x14ac:dyDescent="0.25">
      <c r="A15" s="407">
        <v>5</v>
      </c>
      <c r="B15" s="405" t="s">
        <v>180</v>
      </c>
      <c r="C15" s="406">
        <v>300</v>
      </c>
      <c r="D15" s="459">
        <v>300</v>
      </c>
      <c r="E15" s="470">
        <f t="shared" si="0"/>
        <v>600</v>
      </c>
    </row>
    <row r="16" spans="1:5" s="411" customFormat="1" ht="24.75" customHeight="1" x14ac:dyDescent="0.25">
      <c r="A16" s="408"/>
      <c r="B16" s="409" t="s">
        <v>9</v>
      </c>
      <c r="C16" s="410">
        <f>SUM(C10:C15)</f>
        <v>68104</v>
      </c>
      <c r="D16" s="410">
        <f t="shared" ref="D16:E16" si="1">SUM(D10:D15)</f>
        <v>68101</v>
      </c>
      <c r="E16" s="410">
        <f t="shared" si="1"/>
        <v>136205</v>
      </c>
    </row>
  </sheetData>
  <mergeCells count="2">
    <mergeCell ref="C2:E2"/>
    <mergeCell ref="B7:E7"/>
  </mergeCells>
  <pageMargins left="0.70866141732283472" right="0.31496062992125984" top="0.74803149606299213" bottom="0.74803149606299213" header="0.31496062992125984" footer="0.31496062992125984"/>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A4" sqref="A4:B6"/>
    </sheetView>
  </sheetViews>
  <sheetFormatPr defaultRowHeight="12.75" x14ac:dyDescent="0.2"/>
  <cols>
    <col min="1" max="1" width="4.140625" style="46" customWidth="1"/>
    <col min="2" max="2" width="39.28515625" style="46" customWidth="1"/>
    <col min="3" max="4" width="15" style="46" hidden="1" customWidth="1"/>
    <col min="5" max="5" width="37.5703125" style="46" customWidth="1"/>
    <col min="6" max="254" width="9.140625" style="46"/>
    <col min="255" max="255" width="4.140625" style="46" customWidth="1"/>
    <col min="256" max="256" width="58.85546875" style="46" customWidth="1"/>
    <col min="257" max="257" width="32.85546875" style="46" customWidth="1"/>
    <col min="258" max="510" width="9.140625" style="46"/>
    <col min="511" max="511" width="4.140625" style="46" customWidth="1"/>
    <col min="512" max="512" width="58.85546875" style="46" customWidth="1"/>
    <col min="513" max="513" width="32.85546875" style="46" customWidth="1"/>
    <col min="514" max="766" width="9.140625" style="46"/>
    <col min="767" max="767" width="4.140625" style="46" customWidth="1"/>
    <col min="768" max="768" width="58.85546875" style="46" customWidth="1"/>
    <col min="769" max="769" width="32.85546875" style="46" customWidth="1"/>
    <col min="770" max="1022" width="9.140625" style="46"/>
    <col min="1023" max="1023" width="4.140625" style="46" customWidth="1"/>
    <col min="1024" max="1024" width="58.85546875" style="46" customWidth="1"/>
    <col min="1025" max="1025" width="32.85546875" style="46" customWidth="1"/>
    <col min="1026" max="1278" width="9.140625" style="46"/>
    <col min="1279" max="1279" width="4.140625" style="46" customWidth="1"/>
    <col min="1280" max="1280" width="58.85546875" style="46" customWidth="1"/>
    <col min="1281" max="1281" width="32.85546875" style="46" customWidth="1"/>
    <col min="1282" max="1534" width="9.140625" style="46"/>
    <col min="1535" max="1535" width="4.140625" style="46" customWidth="1"/>
    <col min="1536" max="1536" width="58.85546875" style="46" customWidth="1"/>
    <col min="1537" max="1537" width="32.85546875" style="46" customWidth="1"/>
    <col min="1538" max="1790" width="9.140625" style="46"/>
    <col min="1791" max="1791" width="4.140625" style="46" customWidth="1"/>
    <col min="1792" max="1792" width="58.85546875" style="46" customWidth="1"/>
    <col min="1793" max="1793" width="32.85546875" style="46" customWidth="1"/>
    <col min="1794" max="2046" width="9.140625" style="46"/>
    <col min="2047" max="2047" width="4.140625" style="46" customWidth="1"/>
    <col min="2048" max="2048" width="58.85546875" style="46" customWidth="1"/>
    <col min="2049" max="2049" width="32.85546875" style="46" customWidth="1"/>
    <col min="2050" max="2302" width="9.140625" style="46"/>
    <col min="2303" max="2303" width="4.140625" style="46" customWidth="1"/>
    <col min="2304" max="2304" width="58.85546875" style="46" customWidth="1"/>
    <col min="2305" max="2305" width="32.85546875" style="46" customWidth="1"/>
    <col min="2306" max="2558" width="9.140625" style="46"/>
    <col min="2559" max="2559" width="4.140625" style="46" customWidth="1"/>
    <col min="2560" max="2560" width="58.85546875" style="46" customWidth="1"/>
    <col min="2561" max="2561" width="32.85546875" style="46" customWidth="1"/>
    <col min="2562" max="2814" width="9.140625" style="46"/>
    <col min="2815" max="2815" width="4.140625" style="46" customWidth="1"/>
    <col min="2816" max="2816" width="58.85546875" style="46" customWidth="1"/>
    <col min="2817" max="2817" width="32.85546875" style="46" customWidth="1"/>
    <col min="2818" max="3070" width="9.140625" style="46"/>
    <col min="3071" max="3071" width="4.140625" style="46" customWidth="1"/>
    <col min="3072" max="3072" width="58.85546875" style="46" customWidth="1"/>
    <col min="3073" max="3073" width="32.85546875" style="46" customWidth="1"/>
    <col min="3074" max="3326" width="9.140625" style="46"/>
    <col min="3327" max="3327" width="4.140625" style="46" customWidth="1"/>
    <col min="3328" max="3328" width="58.85546875" style="46" customWidth="1"/>
    <col min="3329" max="3329" width="32.85546875" style="46" customWidth="1"/>
    <col min="3330" max="3582" width="9.140625" style="46"/>
    <col min="3583" max="3583" width="4.140625" style="46" customWidth="1"/>
    <col min="3584" max="3584" width="58.85546875" style="46" customWidth="1"/>
    <col min="3585" max="3585" width="32.85546875" style="46" customWidth="1"/>
    <col min="3586" max="3838" width="9.140625" style="46"/>
    <col min="3839" max="3839" width="4.140625" style="46" customWidth="1"/>
    <col min="3840" max="3840" width="58.85546875" style="46" customWidth="1"/>
    <col min="3841" max="3841" width="32.85546875" style="46" customWidth="1"/>
    <col min="3842" max="4094" width="9.140625" style="46"/>
    <col min="4095" max="4095" width="4.140625" style="46" customWidth="1"/>
    <col min="4096" max="4096" width="58.85546875" style="46" customWidth="1"/>
    <col min="4097" max="4097" width="32.85546875" style="46" customWidth="1"/>
    <col min="4098" max="4350" width="9.140625" style="46"/>
    <col min="4351" max="4351" width="4.140625" style="46" customWidth="1"/>
    <col min="4352" max="4352" width="58.85546875" style="46" customWidth="1"/>
    <col min="4353" max="4353" width="32.85546875" style="46" customWidth="1"/>
    <col min="4354" max="4606" width="9.140625" style="46"/>
    <col min="4607" max="4607" width="4.140625" style="46" customWidth="1"/>
    <col min="4608" max="4608" width="58.85546875" style="46" customWidth="1"/>
    <col min="4609" max="4609" width="32.85546875" style="46" customWidth="1"/>
    <col min="4610" max="4862" width="9.140625" style="46"/>
    <col min="4863" max="4863" width="4.140625" style="46" customWidth="1"/>
    <col min="4864" max="4864" width="58.85546875" style="46" customWidth="1"/>
    <col min="4865" max="4865" width="32.85546875" style="46" customWidth="1"/>
    <col min="4866" max="5118" width="9.140625" style="46"/>
    <col min="5119" max="5119" width="4.140625" style="46" customWidth="1"/>
    <col min="5120" max="5120" width="58.85546875" style="46" customWidth="1"/>
    <col min="5121" max="5121" width="32.85546875" style="46" customWidth="1"/>
    <col min="5122" max="5374" width="9.140625" style="46"/>
    <col min="5375" max="5375" width="4.140625" style="46" customWidth="1"/>
    <col min="5376" max="5376" width="58.85546875" style="46" customWidth="1"/>
    <col min="5377" max="5377" width="32.85546875" style="46" customWidth="1"/>
    <col min="5378" max="5630" width="9.140625" style="46"/>
    <col min="5631" max="5631" width="4.140625" style="46" customWidth="1"/>
    <col min="5632" max="5632" width="58.85546875" style="46" customWidth="1"/>
    <col min="5633" max="5633" width="32.85546875" style="46" customWidth="1"/>
    <col min="5634" max="5886" width="9.140625" style="46"/>
    <col min="5887" max="5887" width="4.140625" style="46" customWidth="1"/>
    <col min="5888" max="5888" width="58.85546875" style="46" customWidth="1"/>
    <col min="5889" max="5889" width="32.85546875" style="46" customWidth="1"/>
    <col min="5890" max="6142" width="9.140625" style="46"/>
    <col min="6143" max="6143" width="4.140625" style="46" customWidth="1"/>
    <col min="6144" max="6144" width="58.85546875" style="46" customWidth="1"/>
    <col min="6145" max="6145" width="32.85546875" style="46" customWidth="1"/>
    <col min="6146" max="6398" width="9.140625" style="46"/>
    <col min="6399" max="6399" width="4.140625" style="46" customWidth="1"/>
    <col min="6400" max="6400" width="58.85546875" style="46" customWidth="1"/>
    <col min="6401" max="6401" width="32.85546875" style="46" customWidth="1"/>
    <col min="6402" max="6654" width="9.140625" style="46"/>
    <col min="6655" max="6655" width="4.140625" style="46" customWidth="1"/>
    <col min="6656" max="6656" width="58.85546875" style="46" customWidth="1"/>
    <col min="6657" max="6657" width="32.85546875" style="46" customWidth="1"/>
    <col min="6658" max="6910" width="9.140625" style="46"/>
    <col min="6911" max="6911" width="4.140625" style="46" customWidth="1"/>
    <col min="6912" max="6912" width="58.85546875" style="46" customWidth="1"/>
    <col min="6913" max="6913" width="32.85546875" style="46" customWidth="1"/>
    <col min="6914" max="7166" width="9.140625" style="46"/>
    <col min="7167" max="7167" width="4.140625" style="46" customWidth="1"/>
    <col min="7168" max="7168" width="58.85546875" style="46" customWidth="1"/>
    <col min="7169" max="7169" width="32.85546875" style="46" customWidth="1"/>
    <col min="7170" max="7422" width="9.140625" style="46"/>
    <col min="7423" max="7423" width="4.140625" style="46" customWidth="1"/>
    <col min="7424" max="7424" width="58.85546875" style="46" customWidth="1"/>
    <col min="7425" max="7425" width="32.85546875" style="46" customWidth="1"/>
    <col min="7426" max="7678" width="9.140625" style="46"/>
    <col min="7679" max="7679" width="4.140625" style="46" customWidth="1"/>
    <col min="7680" max="7680" width="58.85546875" style="46" customWidth="1"/>
    <col min="7681" max="7681" width="32.85546875" style="46" customWidth="1"/>
    <col min="7682" max="7934" width="9.140625" style="46"/>
    <col min="7935" max="7935" width="4.140625" style="46" customWidth="1"/>
    <col min="7936" max="7936" width="58.85546875" style="46" customWidth="1"/>
    <col min="7937" max="7937" width="32.85546875" style="46" customWidth="1"/>
    <col min="7938" max="8190" width="9.140625" style="46"/>
    <col min="8191" max="8191" width="4.140625" style="46" customWidth="1"/>
    <col min="8192" max="8192" width="58.85546875" style="46" customWidth="1"/>
    <col min="8193" max="8193" width="32.85546875" style="46" customWidth="1"/>
    <col min="8194" max="8446" width="9.140625" style="46"/>
    <col min="8447" max="8447" width="4.140625" style="46" customWidth="1"/>
    <col min="8448" max="8448" width="58.85546875" style="46" customWidth="1"/>
    <col min="8449" max="8449" width="32.85546875" style="46" customWidth="1"/>
    <col min="8450" max="8702" width="9.140625" style="46"/>
    <col min="8703" max="8703" width="4.140625" style="46" customWidth="1"/>
    <col min="8704" max="8704" width="58.85546875" style="46" customWidth="1"/>
    <col min="8705" max="8705" width="32.85546875" style="46" customWidth="1"/>
    <col min="8706" max="8958" width="9.140625" style="46"/>
    <col min="8959" max="8959" width="4.140625" style="46" customWidth="1"/>
    <col min="8960" max="8960" width="58.85546875" style="46" customWidth="1"/>
    <col min="8961" max="8961" width="32.85546875" style="46" customWidth="1"/>
    <col min="8962" max="9214" width="9.140625" style="46"/>
    <col min="9215" max="9215" width="4.140625" style="46" customWidth="1"/>
    <col min="9216" max="9216" width="58.85546875" style="46" customWidth="1"/>
    <col min="9217" max="9217" width="32.85546875" style="46" customWidth="1"/>
    <col min="9218" max="9470" width="9.140625" style="46"/>
    <col min="9471" max="9471" width="4.140625" style="46" customWidth="1"/>
    <col min="9472" max="9472" width="58.85546875" style="46" customWidth="1"/>
    <col min="9473" max="9473" width="32.85546875" style="46" customWidth="1"/>
    <col min="9474" max="9726" width="9.140625" style="46"/>
    <col min="9727" max="9727" width="4.140625" style="46" customWidth="1"/>
    <col min="9728" max="9728" width="58.85546875" style="46" customWidth="1"/>
    <col min="9729" max="9729" width="32.85546875" style="46" customWidth="1"/>
    <col min="9730" max="9982" width="9.140625" style="46"/>
    <col min="9983" max="9983" width="4.140625" style="46" customWidth="1"/>
    <col min="9984" max="9984" width="58.85546875" style="46" customWidth="1"/>
    <col min="9985" max="9985" width="32.85546875" style="46" customWidth="1"/>
    <col min="9986" max="10238" width="9.140625" style="46"/>
    <col min="10239" max="10239" width="4.140625" style="46" customWidth="1"/>
    <col min="10240" max="10240" width="58.85546875" style="46" customWidth="1"/>
    <col min="10241" max="10241" width="32.85546875" style="46" customWidth="1"/>
    <col min="10242" max="10494" width="9.140625" style="46"/>
    <col min="10495" max="10495" width="4.140625" style="46" customWidth="1"/>
    <col min="10496" max="10496" width="58.85546875" style="46" customWidth="1"/>
    <col min="10497" max="10497" width="32.85546875" style="46" customWidth="1"/>
    <col min="10498" max="10750" width="9.140625" style="46"/>
    <col min="10751" max="10751" width="4.140625" style="46" customWidth="1"/>
    <col min="10752" max="10752" width="58.85546875" style="46" customWidth="1"/>
    <col min="10753" max="10753" width="32.85546875" style="46" customWidth="1"/>
    <col min="10754" max="11006" width="9.140625" style="46"/>
    <col min="11007" max="11007" width="4.140625" style="46" customWidth="1"/>
    <col min="11008" max="11008" width="58.85546875" style="46" customWidth="1"/>
    <col min="11009" max="11009" width="32.85546875" style="46" customWidth="1"/>
    <col min="11010" max="11262" width="9.140625" style="46"/>
    <col min="11263" max="11263" width="4.140625" style="46" customWidth="1"/>
    <col min="11264" max="11264" width="58.85546875" style="46" customWidth="1"/>
    <col min="11265" max="11265" width="32.85546875" style="46" customWidth="1"/>
    <col min="11266" max="11518" width="9.140625" style="46"/>
    <col min="11519" max="11519" width="4.140625" style="46" customWidth="1"/>
    <col min="11520" max="11520" width="58.85546875" style="46" customWidth="1"/>
    <col min="11521" max="11521" width="32.85546875" style="46" customWidth="1"/>
    <col min="11522" max="11774" width="9.140625" style="46"/>
    <col min="11775" max="11775" width="4.140625" style="46" customWidth="1"/>
    <col min="11776" max="11776" width="58.85546875" style="46" customWidth="1"/>
    <col min="11777" max="11777" width="32.85546875" style="46" customWidth="1"/>
    <col min="11778" max="12030" width="9.140625" style="46"/>
    <col min="12031" max="12031" width="4.140625" style="46" customWidth="1"/>
    <col min="12032" max="12032" width="58.85546875" style="46" customWidth="1"/>
    <col min="12033" max="12033" width="32.85546875" style="46" customWidth="1"/>
    <col min="12034" max="12286" width="9.140625" style="46"/>
    <col min="12287" max="12287" width="4.140625" style="46" customWidth="1"/>
    <col min="12288" max="12288" width="58.85546875" style="46" customWidth="1"/>
    <col min="12289" max="12289" width="32.85546875" style="46" customWidth="1"/>
    <col min="12290" max="12542" width="9.140625" style="46"/>
    <col min="12543" max="12543" width="4.140625" style="46" customWidth="1"/>
    <col min="12544" max="12544" width="58.85546875" style="46" customWidth="1"/>
    <col min="12545" max="12545" width="32.85546875" style="46" customWidth="1"/>
    <col min="12546" max="12798" width="9.140625" style="46"/>
    <col min="12799" max="12799" width="4.140625" style="46" customWidth="1"/>
    <col min="12800" max="12800" width="58.85546875" style="46" customWidth="1"/>
    <col min="12801" max="12801" width="32.85546875" style="46" customWidth="1"/>
    <col min="12802" max="13054" width="9.140625" style="46"/>
    <col min="13055" max="13055" width="4.140625" style="46" customWidth="1"/>
    <col min="13056" max="13056" width="58.85546875" style="46" customWidth="1"/>
    <col min="13057" max="13057" width="32.85546875" style="46" customWidth="1"/>
    <col min="13058" max="13310" width="9.140625" style="46"/>
    <col min="13311" max="13311" width="4.140625" style="46" customWidth="1"/>
    <col min="13312" max="13312" width="58.85546875" style="46" customWidth="1"/>
    <col min="13313" max="13313" width="32.85546875" style="46" customWidth="1"/>
    <col min="13314" max="13566" width="9.140625" style="46"/>
    <col min="13567" max="13567" width="4.140625" style="46" customWidth="1"/>
    <col min="13568" max="13568" width="58.85546875" style="46" customWidth="1"/>
    <col min="13569" max="13569" width="32.85546875" style="46" customWidth="1"/>
    <col min="13570" max="13822" width="9.140625" style="46"/>
    <col min="13823" max="13823" width="4.140625" style="46" customWidth="1"/>
    <col min="13824" max="13824" width="58.85546875" style="46" customWidth="1"/>
    <col min="13825" max="13825" width="32.85546875" style="46" customWidth="1"/>
    <col min="13826" max="14078" width="9.140625" style="46"/>
    <col min="14079" max="14079" width="4.140625" style="46" customWidth="1"/>
    <col min="14080" max="14080" width="58.85546875" style="46" customWidth="1"/>
    <col min="14081" max="14081" width="32.85546875" style="46" customWidth="1"/>
    <col min="14082" max="14334" width="9.140625" style="46"/>
    <col min="14335" max="14335" width="4.140625" style="46" customWidth="1"/>
    <col min="14336" max="14336" width="58.85546875" style="46" customWidth="1"/>
    <col min="14337" max="14337" width="32.85546875" style="46" customWidth="1"/>
    <col min="14338" max="14590" width="9.140625" style="46"/>
    <col min="14591" max="14591" width="4.140625" style="46" customWidth="1"/>
    <col min="14592" max="14592" width="58.85546875" style="46" customWidth="1"/>
    <col min="14593" max="14593" width="32.85546875" style="46" customWidth="1"/>
    <col min="14594" max="14846" width="9.140625" style="46"/>
    <col min="14847" max="14847" width="4.140625" style="46" customWidth="1"/>
    <col min="14848" max="14848" width="58.85546875" style="46" customWidth="1"/>
    <col min="14849" max="14849" width="32.85546875" style="46" customWidth="1"/>
    <col min="14850" max="15102" width="9.140625" style="46"/>
    <col min="15103" max="15103" width="4.140625" style="46" customWidth="1"/>
    <col min="15104" max="15104" width="58.85546875" style="46" customWidth="1"/>
    <col min="15105" max="15105" width="32.85546875" style="46" customWidth="1"/>
    <col min="15106" max="15358" width="9.140625" style="46"/>
    <col min="15359" max="15359" width="4.140625" style="46" customWidth="1"/>
    <col min="15360" max="15360" width="58.85546875" style="46" customWidth="1"/>
    <col min="15361" max="15361" width="32.85546875" style="46" customWidth="1"/>
    <col min="15362" max="15614" width="9.140625" style="46"/>
    <col min="15615" max="15615" width="4.140625" style="46" customWidth="1"/>
    <col min="15616" max="15616" width="58.85546875" style="46" customWidth="1"/>
    <col min="15617" max="15617" width="32.85546875" style="46" customWidth="1"/>
    <col min="15618" max="15870" width="9.140625" style="46"/>
    <col min="15871" max="15871" width="4.140625" style="46" customWidth="1"/>
    <col min="15872" max="15872" width="58.85546875" style="46" customWidth="1"/>
    <col min="15873" max="15873" width="32.85546875" style="46" customWidth="1"/>
    <col min="15874" max="16126" width="9.140625" style="46"/>
    <col min="16127" max="16127" width="4.140625" style="46" customWidth="1"/>
    <col min="16128" max="16128" width="58.85546875" style="46" customWidth="1"/>
    <col min="16129" max="16129" width="32.85546875" style="46" customWidth="1"/>
    <col min="16130" max="16384" width="9.140625" style="46"/>
  </cols>
  <sheetData>
    <row r="1" spans="1:5" x14ac:dyDescent="0.2">
      <c r="D1" s="400"/>
      <c r="E1" s="400" t="s">
        <v>389</v>
      </c>
    </row>
    <row r="2" spans="1:5" ht="81.75" customHeight="1" x14ac:dyDescent="0.2">
      <c r="C2" s="536" t="s">
        <v>597</v>
      </c>
      <c r="D2" s="536"/>
      <c r="E2" s="536"/>
    </row>
    <row r="3" spans="1:5" x14ac:dyDescent="0.2">
      <c r="A3" s="43"/>
      <c r="B3" s="44"/>
      <c r="E3" s="403" t="s">
        <v>551</v>
      </c>
    </row>
    <row r="4" spans="1:5" ht="67.5" customHeight="1" x14ac:dyDescent="0.2">
      <c r="A4" s="43"/>
      <c r="B4" s="44"/>
      <c r="C4" s="536" t="s">
        <v>463</v>
      </c>
      <c r="D4" s="536"/>
      <c r="E4" s="536"/>
    </row>
    <row r="5" spans="1:5" x14ac:dyDescent="0.2">
      <c r="A5" s="43"/>
      <c r="B5" s="44"/>
      <c r="E5" s="399" t="s">
        <v>639</v>
      </c>
    </row>
    <row r="6" spans="1:5" x14ac:dyDescent="0.2">
      <c r="A6" s="43"/>
      <c r="B6" s="44"/>
      <c r="C6" s="48"/>
    </row>
    <row r="7" spans="1:5" s="62" customFormat="1" ht="65.25" customHeight="1" x14ac:dyDescent="0.25">
      <c r="A7" s="60"/>
      <c r="B7" s="551" t="s">
        <v>640</v>
      </c>
      <c r="C7" s="551"/>
      <c r="D7" s="551"/>
      <c r="E7" s="551"/>
    </row>
    <row r="8" spans="1:5" x14ac:dyDescent="0.2">
      <c r="A8" s="43"/>
      <c r="B8" s="404"/>
      <c r="C8" s="404"/>
    </row>
    <row r="9" spans="1:5" s="51" customFormat="1" ht="25.5" x14ac:dyDescent="0.25">
      <c r="A9" s="401" t="s">
        <v>172</v>
      </c>
      <c r="B9" s="401" t="s">
        <v>173</v>
      </c>
      <c r="C9" s="402" t="s">
        <v>174</v>
      </c>
      <c r="D9" s="452" t="s">
        <v>451</v>
      </c>
      <c r="E9" s="452" t="s">
        <v>688</v>
      </c>
    </row>
    <row r="10" spans="1:5" s="82" customFormat="1" ht="32.25" hidden="1" customHeight="1" x14ac:dyDescent="0.25">
      <c r="A10" s="407">
        <v>1</v>
      </c>
      <c r="B10" s="405" t="s">
        <v>176</v>
      </c>
      <c r="C10" s="406"/>
      <c r="D10" s="131"/>
      <c r="E10" s="131"/>
    </row>
    <row r="11" spans="1:5" s="82" customFormat="1" ht="32.25" hidden="1" customHeight="1" x14ac:dyDescent="0.25">
      <c r="A11" s="407">
        <v>2</v>
      </c>
      <c r="B11" s="405" t="s">
        <v>177</v>
      </c>
      <c r="C11" s="406"/>
      <c r="D11" s="131"/>
      <c r="E11" s="131"/>
    </row>
    <row r="12" spans="1:5" s="82" customFormat="1" ht="32.25" customHeight="1" x14ac:dyDescent="0.25">
      <c r="A12" s="407">
        <v>3</v>
      </c>
      <c r="B12" s="405" t="s">
        <v>178</v>
      </c>
      <c r="C12" s="406">
        <v>300</v>
      </c>
      <c r="D12" s="459">
        <v>205963</v>
      </c>
      <c r="E12" s="460">
        <f>C12+D12</f>
        <v>206263</v>
      </c>
    </row>
    <row r="13" spans="1:5" s="82" customFormat="1" ht="32.25" hidden="1" customHeight="1" x14ac:dyDescent="0.25">
      <c r="A13" s="407">
        <v>4</v>
      </c>
      <c r="B13" s="405" t="s">
        <v>179</v>
      </c>
      <c r="C13" s="406"/>
      <c r="D13" s="131"/>
      <c r="E13" s="131"/>
    </row>
    <row r="14" spans="1:5" s="82" customFormat="1" ht="32.25" hidden="1" customHeight="1" x14ac:dyDescent="0.25">
      <c r="A14" s="407">
        <v>5</v>
      </c>
      <c r="B14" s="405" t="s">
        <v>180</v>
      </c>
      <c r="C14" s="406"/>
      <c r="D14" s="131"/>
      <c r="E14" s="131"/>
    </row>
    <row r="15" spans="1:5" s="411" customFormat="1" ht="23.25" customHeight="1" x14ac:dyDescent="0.25">
      <c r="A15" s="408"/>
      <c r="B15" s="409" t="s">
        <v>9</v>
      </c>
      <c r="C15" s="410">
        <f>SUM(C10:C12)</f>
        <v>300</v>
      </c>
      <c r="D15" s="410">
        <f t="shared" ref="D15:E15" si="0">SUM(D10:D12)</f>
        <v>205963</v>
      </c>
      <c r="E15" s="410">
        <f t="shared" si="0"/>
        <v>206263</v>
      </c>
    </row>
  </sheetData>
  <mergeCells count="3">
    <mergeCell ref="B7:E7"/>
    <mergeCell ref="C2:E2"/>
    <mergeCell ref="C4:E4"/>
  </mergeCells>
  <pageMargins left="0.70866141732283472" right="0.31496062992125984" top="0.74803149606299213" bottom="0.74803149606299213"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election activeCell="A10" sqref="A10"/>
    </sheetView>
  </sheetViews>
  <sheetFormatPr defaultRowHeight="15" x14ac:dyDescent="0.25"/>
  <cols>
    <col min="1" max="1" width="57.42578125" customWidth="1"/>
    <col min="2" max="4" width="14.7109375" customWidth="1"/>
    <col min="257" max="257" width="37.85546875" customWidth="1"/>
    <col min="258" max="258" width="12.42578125" customWidth="1"/>
    <col min="259" max="259" width="12.140625" customWidth="1"/>
    <col min="260" max="260" width="12" customWidth="1"/>
    <col min="513" max="513" width="37.85546875" customWidth="1"/>
    <col min="514" max="514" width="12.42578125" customWidth="1"/>
    <col min="515" max="515" width="12.140625" customWidth="1"/>
    <col min="516" max="516" width="12" customWidth="1"/>
    <col min="769" max="769" width="37.85546875" customWidth="1"/>
    <col min="770" max="770" width="12.42578125" customWidth="1"/>
    <col min="771" max="771" width="12.140625" customWidth="1"/>
    <col min="772" max="772" width="12" customWidth="1"/>
    <col min="1025" max="1025" width="37.85546875" customWidth="1"/>
    <col min="1026" max="1026" width="12.42578125" customWidth="1"/>
    <col min="1027" max="1027" width="12.140625" customWidth="1"/>
    <col min="1028" max="1028" width="12" customWidth="1"/>
    <col min="1281" max="1281" width="37.85546875" customWidth="1"/>
    <col min="1282" max="1282" width="12.42578125" customWidth="1"/>
    <col min="1283" max="1283" width="12.140625" customWidth="1"/>
    <col min="1284" max="1284" width="12" customWidth="1"/>
    <col min="1537" max="1537" width="37.85546875" customWidth="1"/>
    <col min="1538" max="1538" width="12.42578125" customWidth="1"/>
    <col min="1539" max="1539" width="12.140625" customWidth="1"/>
    <col min="1540" max="1540" width="12" customWidth="1"/>
    <col min="1793" max="1793" width="37.85546875" customWidth="1"/>
    <col min="1794" max="1794" width="12.42578125" customWidth="1"/>
    <col min="1795" max="1795" width="12.140625" customWidth="1"/>
    <col min="1796" max="1796" width="12" customWidth="1"/>
    <col min="2049" max="2049" width="37.85546875" customWidth="1"/>
    <col min="2050" max="2050" width="12.42578125" customWidth="1"/>
    <col min="2051" max="2051" width="12.140625" customWidth="1"/>
    <col min="2052" max="2052" width="12" customWidth="1"/>
    <col min="2305" max="2305" width="37.85546875" customWidth="1"/>
    <col min="2306" max="2306" width="12.42578125" customWidth="1"/>
    <col min="2307" max="2307" width="12.140625" customWidth="1"/>
    <col min="2308" max="2308" width="12" customWidth="1"/>
    <col min="2561" max="2561" width="37.85546875" customWidth="1"/>
    <col min="2562" max="2562" width="12.42578125" customWidth="1"/>
    <col min="2563" max="2563" width="12.140625" customWidth="1"/>
    <col min="2564" max="2564" width="12" customWidth="1"/>
    <col min="2817" max="2817" width="37.85546875" customWidth="1"/>
    <col min="2818" max="2818" width="12.42578125" customWidth="1"/>
    <col min="2819" max="2819" width="12.140625" customWidth="1"/>
    <col min="2820" max="2820" width="12" customWidth="1"/>
    <col min="3073" max="3073" width="37.85546875" customWidth="1"/>
    <col min="3074" max="3074" width="12.42578125" customWidth="1"/>
    <col min="3075" max="3075" width="12.140625" customWidth="1"/>
    <col min="3076" max="3076" width="12" customWidth="1"/>
    <col min="3329" max="3329" width="37.85546875" customWidth="1"/>
    <col min="3330" max="3330" width="12.42578125" customWidth="1"/>
    <col min="3331" max="3331" width="12.140625" customWidth="1"/>
    <col min="3332" max="3332" width="12" customWidth="1"/>
    <col min="3585" max="3585" width="37.85546875" customWidth="1"/>
    <col min="3586" max="3586" width="12.42578125" customWidth="1"/>
    <col min="3587" max="3587" width="12.140625" customWidth="1"/>
    <col min="3588" max="3588" width="12" customWidth="1"/>
    <col min="3841" max="3841" width="37.85546875" customWidth="1"/>
    <col min="3842" max="3842" width="12.42578125" customWidth="1"/>
    <col min="3843" max="3843" width="12.140625" customWidth="1"/>
    <col min="3844" max="3844" width="12" customWidth="1"/>
    <col min="4097" max="4097" width="37.85546875" customWidth="1"/>
    <col min="4098" max="4098" width="12.42578125" customWidth="1"/>
    <col min="4099" max="4099" width="12.140625" customWidth="1"/>
    <col min="4100" max="4100" width="12" customWidth="1"/>
    <col min="4353" max="4353" width="37.85546875" customWidth="1"/>
    <col min="4354" max="4354" width="12.42578125" customWidth="1"/>
    <col min="4355" max="4355" width="12.140625" customWidth="1"/>
    <col min="4356" max="4356" width="12" customWidth="1"/>
    <col min="4609" max="4609" width="37.85546875" customWidth="1"/>
    <col min="4610" max="4610" width="12.42578125" customWidth="1"/>
    <col min="4611" max="4611" width="12.140625" customWidth="1"/>
    <col min="4612" max="4612" width="12" customWidth="1"/>
    <col min="4865" max="4865" width="37.85546875" customWidth="1"/>
    <col min="4866" max="4866" width="12.42578125" customWidth="1"/>
    <col min="4867" max="4867" width="12.140625" customWidth="1"/>
    <col min="4868" max="4868" width="12" customWidth="1"/>
    <col min="5121" max="5121" width="37.85546875" customWidth="1"/>
    <col min="5122" max="5122" width="12.42578125" customWidth="1"/>
    <col min="5123" max="5123" width="12.140625" customWidth="1"/>
    <col min="5124" max="5124" width="12" customWidth="1"/>
    <col min="5377" max="5377" width="37.85546875" customWidth="1"/>
    <col min="5378" max="5378" width="12.42578125" customWidth="1"/>
    <col min="5379" max="5379" width="12.140625" customWidth="1"/>
    <col min="5380" max="5380" width="12" customWidth="1"/>
    <col min="5633" max="5633" width="37.85546875" customWidth="1"/>
    <col min="5634" max="5634" width="12.42578125" customWidth="1"/>
    <col min="5635" max="5635" width="12.140625" customWidth="1"/>
    <col min="5636" max="5636" width="12" customWidth="1"/>
    <col min="5889" max="5889" width="37.85546875" customWidth="1"/>
    <col min="5890" max="5890" width="12.42578125" customWidth="1"/>
    <col min="5891" max="5891" width="12.140625" customWidth="1"/>
    <col min="5892" max="5892" width="12" customWidth="1"/>
    <col min="6145" max="6145" width="37.85546875" customWidth="1"/>
    <col min="6146" max="6146" width="12.42578125" customWidth="1"/>
    <col min="6147" max="6147" width="12.140625" customWidth="1"/>
    <col min="6148" max="6148" width="12" customWidth="1"/>
    <col min="6401" max="6401" width="37.85546875" customWidth="1"/>
    <col min="6402" max="6402" width="12.42578125" customWidth="1"/>
    <col min="6403" max="6403" width="12.140625" customWidth="1"/>
    <col min="6404" max="6404" width="12" customWidth="1"/>
    <col min="6657" max="6657" width="37.85546875" customWidth="1"/>
    <col min="6658" max="6658" width="12.42578125" customWidth="1"/>
    <col min="6659" max="6659" width="12.140625" customWidth="1"/>
    <col min="6660" max="6660" width="12" customWidth="1"/>
    <col min="6913" max="6913" width="37.85546875" customWidth="1"/>
    <col min="6914" max="6914" width="12.42578125" customWidth="1"/>
    <col min="6915" max="6915" width="12.140625" customWidth="1"/>
    <col min="6916" max="6916" width="12" customWidth="1"/>
    <col min="7169" max="7169" width="37.85546875" customWidth="1"/>
    <col min="7170" max="7170" width="12.42578125" customWidth="1"/>
    <col min="7171" max="7171" width="12.140625" customWidth="1"/>
    <col min="7172" max="7172" width="12" customWidth="1"/>
    <col min="7425" max="7425" width="37.85546875" customWidth="1"/>
    <col min="7426" max="7426" width="12.42578125" customWidth="1"/>
    <col min="7427" max="7427" width="12.140625" customWidth="1"/>
    <col min="7428" max="7428" width="12" customWidth="1"/>
    <col min="7681" max="7681" width="37.85546875" customWidth="1"/>
    <col min="7682" max="7682" width="12.42578125" customWidth="1"/>
    <col min="7683" max="7683" width="12.140625" customWidth="1"/>
    <col min="7684" max="7684" width="12" customWidth="1"/>
    <col min="7937" max="7937" width="37.85546875" customWidth="1"/>
    <col min="7938" max="7938" width="12.42578125" customWidth="1"/>
    <col min="7939" max="7939" width="12.140625" customWidth="1"/>
    <col min="7940" max="7940" width="12" customWidth="1"/>
    <col min="8193" max="8193" width="37.85546875" customWidth="1"/>
    <col min="8194" max="8194" width="12.42578125" customWidth="1"/>
    <col min="8195" max="8195" width="12.140625" customWidth="1"/>
    <col min="8196" max="8196" width="12" customWidth="1"/>
    <col min="8449" max="8449" width="37.85546875" customWidth="1"/>
    <col min="8450" max="8450" width="12.42578125" customWidth="1"/>
    <col min="8451" max="8451" width="12.140625" customWidth="1"/>
    <col min="8452" max="8452" width="12" customWidth="1"/>
    <col min="8705" max="8705" width="37.85546875" customWidth="1"/>
    <col min="8706" max="8706" width="12.42578125" customWidth="1"/>
    <col min="8707" max="8707" width="12.140625" customWidth="1"/>
    <col min="8708" max="8708" width="12" customWidth="1"/>
    <col min="8961" max="8961" width="37.85546875" customWidth="1"/>
    <col min="8962" max="8962" width="12.42578125" customWidth="1"/>
    <col min="8963" max="8963" width="12.140625" customWidth="1"/>
    <col min="8964" max="8964" width="12" customWidth="1"/>
    <col min="9217" max="9217" width="37.85546875" customWidth="1"/>
    <col min="9218" max="9218" width="12.42578125" customWidth="1"/>
    <col min="9219" max="9219" width="12.140625" customWidth="1"/>
    <col min="9220" max="9220" width="12" customWidth="1"/>
    <col min="9473" max="9473" width="37.85546875" customWidth="1"/>
    <col min="9474" max="9474" width="12.42578125" customWidth="1"/>
    <col min="9475" max="9475" width="12.140625" customWidth="1"/>
    <col min="9476" max="9476" width="12" customWidth="1"/>
    <col min="9729" max="9729" width="37.85546875" customWidth="1"/>
    <col min="9730" max="9730" width="12.42578125" customWidth="1"/>
    <col min="9731" max="9731" width="12.140625" customWidth="1"/>
    <col min="9732" max="9732" width="12" customWidth="1"/>
    <col min="9985" max="9985" width="37.85546875" customWidth="1"/>
    <col min="9986" max="9986" width="12.42578125" customWidth="1"/>
    <col min="9987" max="9987" width="12.140625" customWidth="1"/>
    <col min="9988" max="9988" width="12" customWidth="1"/>
    <col min="10241" max="10241" width="37.85546875" customWidth="1"/>
    <col min="10242" max="10242" width="12.42578125" customWidth="1"/>
    <col min="10243" max="10243" width="12.140625" customWidth="1"/>
    <col min="10244" max="10244" width="12" customWidth="1"/>
    <col min="10497" max="10497" width="37.85546875" customWidth="1"/>
    <col min="10498" max="10498" width="12.42578125" customWidth="1"/>
    <col min="10499" max="10499" width="12.140625" customWidth="1"/>
    <col min="10500" max="10500" width="12" customWidth="1"/>
    <col min="10753" max="10753" width="37.85546875" customWidth="1"/>
    <col min="10754" max="10754" width="12.42578125" customWidth="1"/>
    <col min="10755" max="10755" width="12.140625" customWidth="1"/>
    <col min="10756" max="10756" width="12" customWidth="1"/>
    <col min="11009" max="11009" width="37.85546875" customWidth="1"/>
    <col min="11010" max="11010" width="12.42578125" customWidth="1"/>
    <col min="11011" max="11011" width="12.140625" customWidth="1"/>
    <col min="11012" max="11012" width="12" customWidth="1"/>
    <col min="11265" max="11265" width="37.85546875" customWidth="1"/>
    <col min="11266" max="11266" width="12.42578125" customWidth="1"/>
    <col min="11267" max="11267" width="12.140625" customWidth="1"/>
    <col min="11268" max="11268" width="12" customWidth="1"/>
    <col min="11521" max="11521" width="37.85546875" customWidth="1"/>
    <col min="11522" max="11522" width="12.42578125" customWidth="1"/>
    <col min="11523" max="11523" width="12.140625" customWidth="1"/>
    <col min="11524" max="11524" width="12" customWidth="1"/>
    <col min="11777" max="11777" width="37.85546875" customWidth="1"/>
    <col min="11778" max="11778" width="12.42578125" customWidth="1"/>
    <col min="11779" max="11779" width="12.140625" customWidth="1"/>
    <col min="11780" max="11780" width="12" customWidth="1"/>
    <col min="12033" max="12033" width="37.85546875" customWidth="1"/>
    <col min="12034" max="12034" width="12.42578125" customWidth="1"/>
    <col min="12035" max="12035" width="12.140625" customWidth="1"/>
    <col min="12036" max="12036" width="12" customWidth="1"/>
    <col min="12289" max="12289" width="37.85546875" customWidth="1"/>
    <col min="12290" max="12290" width="12.42578125" customWidth="1"/>
    <col min="12291" max="12291" width="12.140625" customWidth="1"/>
    <col min="12292" max="12292" width="12" customWidth="1"/>
    <col min="12545" max="12545" width="37.85546875" customWidth="1"/>
    <col min="12546" max="12546" width="12.42578125" customWidth="1"/>
    <col min="12547" max="12547" width="12.140625" customWidth="1"/>
    <col min="12548" max="12548" width="12" customWidth="1"/>
    <col min="12801" max="12801" width="37.85546875" customWidth="1"/>
    <col min="12802" max="12802" width="12.42578125" customWidth="1"/>
    <col min="12803" max="12803" width="12.140625" customWidth="1"/>
    <col min="12804" max="12804" width="12" customWidth="1"/>
    <col min="13057" max="13057" width="37.85546875" customWidth="1"/>
    <col min="13058" max="13058" width="12.42578125" customWidth="1"/>
    <col min="13059" max="13059" width="12.140625" customWidth="1"/>
    <col min="13060" max="13060" width="12" customWidth="1"/>
    <col min="13313" max="13313" width="37.85546875" customWidth="1"/>
    <col min="13314" max="13314" width="12.42578125" customWidth="1"/>
    <col min="13315" max="13315" width="12.140625" customWidth="1"/>
    <col min="13316" max="13316" width="12" customWidth="1"/>
    <col min="13569" max="13569" width="37.85546875" customWidth="1"/>
    <col min="13570" max="13570" width="12.42578125" customWidth="1"/>
    <col min="13571" max="13571" width="12.140625" customWidth="1"/>
    <col min="13572" max="13572" width="12" customWidth="1"/>
    <col min="13825" max="13825" width="37.85546875" customWidth="1"/>
    <col min="13826" max="13826" width="12.42578125" customWidth="1"/>
    <col min="13827" max="13827" width="12.140625" customWidth="1"/>
    <col min="13828" max="13828" width="12" customWidth="1"/>
    <col min="14081" max="14081" width="37.85546875" customWidth="1"/>
    <col min="14082" max="14082" width="12.42578125" customWidth="1"/>
    <col min="14083" max="14083" width="12.140625" customWidth="1"/>
    <col min="14084" max="14084" width="12" customWidth="1"/>
    <col min="14337" max="14337" width="37.85546875" customWidth="1"/>
    <col min="14338" max="14338" width="12.42578125" customWidth="1"/>
    <col min="14339" max="14339" width="12.140625" customWidth="1"/>
    <col min="14340" max="14340" width="12" customWidth="1"/>
    <col min="14593" max="14593" width="37.85546875" customWidth="1"/>
    <col min="14594" max="14594" width="12.42578125" customWidth="1"/>
    <col min="14595" max="14595" width="12.140625" customWidth="1"/>
    <col min="14596" max="14596" width="12" customWidth="1"/>
    <col min="14849" max="14849" width="37.85546875" customWidth="1"/>
    <col min="14850" max="14850" width="12.42578125" customWidth="1"/>
    <col min="14851" max="14851" width="12.140625" customWidth="1"/>
    <col min="14852" max="14852" width="12" customWidth="1"/>
    <col min="15105" max="15105" width="37.85546875" customWidth="1"/>
    <col min="15106" max="15106" width="12.42578125" customWidth="1"/>
    <col min="15107" max="15107" width="12.140625" customWidth="1"/>
    <col min="15108" max="15108" width="12" customWidth="1"/>
    <col min="15361" max="15361" width="37.85546875" customWidth="1"/>
    <col min="15362" max="15362" width="12.42578125" customWidth="1"/>
    <col min="15363" max="15363" width="12.140625" customWidth="1"/>
    <col min="15364" max="15364" width="12" customWidth="1"/>
    <col min="15617" max="15617" width="37.85546875" customWidth="1"/>
    <col min="15618" max="15618" width="12.42578125" customWidth="1"/>
    <col min="15619" max="15619" width="12.140625" customWidth="1"/>
    <col min="15620" max="15620" width="12" customWidth="1"/>
    <col min="15873" max="15873" width="37.85546875" customWidth="1"/>
    <col min="15874" max="15874" width="12.42578125" customWidth="1"/>
    <col min="15875" max="15875" width="12.140625" customWidth="1"/>
    <col min="15876" max="15876" width="12" customWidth="1"/>
    <col min="16129" max="16129" width="37.85546875" customWidth="1"/>
    <col min="16130" max="16130" width="12.42578125" customWidth="1"/>
    <col min="16131" max="16131" width="12.140625" customWidth="1"/>
    <col min="16132" max="16132" width="12" customWidth="1"/>
  </cols>
  <sheetData>
    <row r="1" spans="1:9" x14ac:dyDescent="0.25">
      <c r="A1" s="129"/>
      <c r="B1" s="471" t="s">
        <v>422</v>
      </c>
      <c r="C1" s="471"/>
      <c r="D1" s="471"/>
    </row>
    <row r="2" spans="1:9" ht="78.75" customHeight="1" x14ac:dyDescent="0.25">
      <c r="A2" s="129"/>
      <c r="B2" s="472" t="s">
        <v>531</v>
      </c>
      <c r="C2" s="472"/>
      <c r="D2" s="472"/>
    </row>
    <row r="3" spans="1:9" ht="62.25" customHeight="1" x14ac:dyDescent="0.25">
      <c r="A3" s="473" t="s">
        <v>461</v>
      </c>
      <c r="B3" s="473"/>
      <c r="C3" s="473"/>
      <c r="D3" s="473"/>
    </row>
    <row r="4" spans="1:9" ht="46.5" customHeight="1" x14ac:dyDescent="0.25">
      <c r="A4" s="202" t="s">
        <v>290</v>
      </c>
      <c r="B4" s="202" t="s">
        <v>534</v>
      </c>
      <c r="C4" s="202" t="s">
        <v>291</v>
      </c>
      <c r="D4" s="202" t="s">
        <v>292</v>
      </c>
    </row>
    <row r="5" spans="1:9" ht="38.25" x14ac:dyDescent="0.25">
      <c r="A5" s="130" t="s">
        <v>293</v>
      </c>
      <c r="B5" s="131"/>
      <c r="C5" s="131"/>
      <c r="D5" s="131"/>
    </row>
    <row r="6" spans="1:9" ht="59.25" customHeight="1" x14ac:dyDescent="0.25">
      <c r="A6" s="132" t="s">
        <v>294</v>
      </c>
      <c r="B6" s="133">
        <v>1</v>
      </c>
      <c r="C6" s="134"/>
      <c r="D6" s="134"/>
      <c r="H6" t="s">
        <v>181</v>
      </c>
    </row>
    <row r="7" spans="1:9" ht="31.5" customHeight="1" x14ac:dyDescent="0.25">
      <c r="A7" s="132" t="s">
        <v>295</v>
      </c>
      <c r="B7" s="133">
        <v>1</v>
      </c>
      <c r="C7" s="134"/>
      <c r="D7" s="134"/>
    </row>
    <row r="8" spans="1:9" ht="31.5" customHeight="1" x14ac:dyDescent="0.25">
      <c r="A8" s="135" t="s">
        <v>296</v>
      </c>
      <c r="B8" s="133"/>
      <c r="C8" s="134"/>
      <c r="D8" s="134"/>
    </row>
    <row r="9" spans="1:9" ht="31.5" customHeight="1" x14ac:dyDescent="0.25">
      <c r="A9" s="136" t="s">
        <v>297</v>
      </c>
      <c r="B9" s="133">
        <v>1</v>
      </c>
      <c r="C9" s="134"/>
      <c r="D9" s="134"/>
    </row>
    <row r="10" spans="1:9" ht="31.5" customHeight="1" x14ac:dyDescent="0.25">
      <c r="A10" s="136" t="s">
        <v>298</v>
      </c>
      <c r="B10" s="133">
        <v>1</v>
      </c>
      <c r="C10" s="134"/>
      <c r="D10" s="134"/>
    </row>
    <row r="11" spans="1:9" ht="21" customHeight="1" x14ac:dyDescent="0.25">
      <c r="A11" s="135" t="s">
        <v>299</v>
      </c>
      <c r="B11" s="133"/>
      <c r="C11" s="134"/>
      <c r="D11" s="134"/>
    </row>
    <row r="12" spans="1:9" ht="27" customHeight="1" x14ac:dyDescent="0.25">
      <c r="A12" s="136" t="s">
        <v>300</v>
      </c>
      <c r="B12" s="133">
        <v>1</v>
      </c>
      <c r="C12" s="134"/>
      <c r="D12" s="134"/>
    </row>
    <row r="13" spans="1:9" ht="20.25" customHeight="1" x14ac:dyDescent="0.25">
      <c r="A13" s="137" t="s">
        <v>301</v>
      </c>
      <c r="B13" s="131"/>
      <c r="C13" s="131"/>
      <c r="D13" s="131"/>
    </row>
    <row r="14" spans="1:9" ht="54" customHeight="1" x14ac:dyDescent="0.25">
      <c r="A14" s="132" t="s">
        <v>302</v>
      </c>
      <c r="B14" s="133">
        <v>1</v>
      </c>
      <c r="C14" s="134"/>
      <c r="D14" s="134"/>
      <c r="I14" t="s">
        <v>181</v>
      </c>
    </row>
    <row r="15" spans="1:9" ht="42.75" customHeight="1" x14ac:dyDescent="0.25">
      <c r="A15" s="132" t="s">
        <v>303</v>
      </c>
      <c r="B15" s="133">
        <v>1</v>
      </c>
      <c r="C15" s="134"/>
      <c r="D15" s="134"/>
    </row>
    <row r="16" spans="1:9" ht="32.25" customHeight="1" x14ac:dyDescent="0.25">
      <c r="A16" s="136" t="s">
        <v>304</v>
      </c>
      <c r="B16" s="133">
        <v>1</v>
      </c>
      <c r="C16" s="134"/>
      <c r="D16" s="134"/>
    </row>
    <row r="17" spans="1:4" ht="58.5" customHeight="1" x14ac:dyDescent="0.25">
      <c r="A17" s="132" t="s">
        <v>305</v>
      </c>
      <c r="B17" s="133">
        <v>1</v>
      </c>
      <c r="C17" s="134"/>
      <c r="D17" s="134"/>
    </row>
    <row r="18" spans="1:4" x14ac:dyDescent="0.25">
      <c r="A18" s="137" t="s">
        <v>306</v>
      </c>
      <c r="B18" s="138"/>
      <c r="C18" s="131"/>
      <c r="D18" s="131"/>
    </row>
    <row r="19" spans="1:4" ht="30.75" customHeight="1" x14ac:dyDescent="0.25">
      <c r="A19" s="132" t="s">
        <v>307</v>
      </c>
      <c r="B19" s="133">
        <v>1</v>
      </c>
      <c r="C19" s="134"/>
      <c r="D19" s="134"/>
    </row>
    <row r="20" spans="1:4" ht="30.75" customHeight="1" x14ac:dyDescent="0.25">
      <c r="A20" s="132" t="s">
        <v>308</v>
      </c>
      <c r="B20" s="133">
        <v>1</v>
      </c>
      <c r="C20" s="134"/>
      <c r="D20" s="134"/>
    </row>
  </sheetData>
  <mergeCells count="3">
    <mergeCell ref="B1:D1"/>
    <mergeCell ref="B2:D2"/>
    <mergeCell ref="A3:D3"/>
  </mergeCells>
  <pageMargins left="0.70866141732283472" right="0.51181102362204722" top="0.35433070866141736" bottom="0.74803149606299213" header="0.31496062992125984" footer="0.31496062992125984"/>
  <pageSetup paperSize="9" scale="8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C9" sqref="C9"/>
    </sheetView>
  </sheetViews>
  <sheetFormatPr defaultRowHeight="12.75" x14ac:dyDescent="0.2"/>
  <cols>
    <col min="1" max="1" width="4.140625" style="46" customWidth="1"/>
    <col min="2" max="2" width="58.85546875" style="46" customWidth="1"/>
    <col min="3" max="4" width="16.140625" style="46" customWidth="1"/>
    <col min="5" max="254" width="9.140625" style="46"/>
    <col min="255" max="255" width="4.140625" style="46" customWidth="1"/>
    <col min="256" max="256" width="58.85546875" style="46" customWidth="1"/>
    <col min="257" max="257" width="32.85546875" style="46" customWidth="1"/>
    <col min="258" max="510" width="9.140625" style="46"/>
    <col min="511" max="511" width="4.140625" style="46" customWidth="1"/>
    <col min="512" max="512" width="58.85546875" style="46" customWidth="1"/>
    <col min="513" max="513" width="32.85546875" style="46" customWidth="1"/>
    <col min="514" max="766" width="9.140625" style="46"/>
    <col min="767" max="767" width="4.140625" style="46" customWidth="1"/>
    <col min="768" max="768" width="58.85546875" style="46" customWidth="1"/>
    <col min="769" max="769" width="32.85546875" style="46" customWidth="1"/>
    <col min="770" max="1022" width="9.140625" style="46"/>
    <col min="1023" max="1023" width="4.140625" style="46" customWidth="1"/>
    <col min="1024" max="1024" width="58.85546875" style="46" customWidth="1"/>
    <col min="1025" max="1025" width="32.85546875" style="46" customWidth="1"/>
    <col min="1026" max="1278" width="9.140625" style="46"/>
    <col min="1279" max="1279" width="4.140625" style="46" customWidth="1"/>
    <col min="1280" max="1280" width="58.85546875" style="46" customWidth="1"/>
    <col min="1281" max="1281" width="32.85546875" style="46" customWidth="1"/>
    <col min="1282" max="1534" width="9.140625" style="46"/>
    <col min="1535" max="1535" width="4.140625" style="46" customWidth="1"/>
    <col min="1536" max="1536" width="58.85546875" style="46" customWidth="1"/>
    <col min="1537" max="1537" width="32.85546875" style="46" customWidth="1"/>
    <col min="1538" max="1790" width="9.140625" style="46"/>
    <col min="1791" max="1791" width="4.140625" style="46" customWidth="1"/>
    <col min="1792" max="1792" width="58.85546875" style="46" customWidth="1"/>
    <col min="1793" max="1793" width="32.85546875" style="46" customWidth="1"/>
    <col min="1794" max="2046" width="9.140625" style="46"/>
    <col min="2047" max="2047" width="4.140625" style="46" customWidth="1"/>
    <col min="2048" max="2048" width="58.85546875" style="46" customWidth="1"/>
    <col min="2049" max="2049" width="32.85546875" style="46" customWidth="1"/>
    <col min="2050" max="2302" width="9.140625" style="46"/>
    <col min="2303" max="2303" width="4.140625" style="46" customWidth="1"/>
    <col min="2304" max="2304" width="58.85546875" style="46" customWidth="1"/>
    <col min="2305" max="2305" width="32.85546875" style="46" customWidth="1"/>
    <col min="2306" max="2558" width="9.140625" style="46"/>
    <col min="2559" max="2559" width="4.140625" style="46" customWidth="1"/>
    <col min="2560" max="2560" width="58.85546875" style="46" customWidth="1"/>
    <col min="2561" max="2561" width="32.85546875" style="46" customWidth="1"/>
    <col min="2562" max="2814" width="9.140625" style="46"/>
    <col min="2815" max="2815" width="4.140625" style="46" customWidth="1"/>
    <col min="2816" max="2816" width="58.85546875" style="46" customWidth="1"/>
    <col min="2817" max="2817" width="32.85546875" style="46" customWidth="1"/>
    <col min="2818" max="3070" width="9.140625" style="46"/>
    <col min="3071" max="3071" width="4.140625" style="46" customWidth="1"/>
    <col min="3072" max="3072" width="58.85546875" style="46" customWidth="1"/>
    <col min="3073" max="3073" width="32.85546875" style="46" customWidth="1"/>
    <col min="3074" max="3326" width="9.140625" style="46"/>
    <col min="3327" max="3327" width="4.140625" style="46" customWidth="1"/>
    <col min="3328" max="3328" width="58.85546875" style="46" customWidth="1"/>
    <col min="3329" max="3329" width="32.85546875" style="46" customWidth="1"/>
    <col min="3330" max="3582" width="9.140625" style="46"/>
    <col min="3583" max="3583" width="4.140625" style="46" customWidth="1"/>
    <col min="3584" max="3584" width="58.85546875" style="46" customWidth="1"/>
    <col min="3585" max="3585" width="32.85546875" style="46" customWidth="1"/>
    <col min="3586" max="3838" width="9.140625" style="46"/>
    <col min="3839" max="3839" width="4.140625" style="46" customWidth="1"/>
    <col min="3840" max="3840" width="58.85546875" style="46" customWidth="1"/>
    <col min="3841" max="3841" width="32.85546875" style="46" customWidth="1"/>
    <col min="3842" max="4094" width="9.140625" style="46"/>
    <col min="4095" max="4095" width="4.140625" style="46" customWidth="1"/>
    <col min="4096" max="4096" width="58.85546875" style="46" customWidth="1"/>
    <col min="4097" max="4097" width="32.85546875" style="46" customWidth="1"/>
    <col min="4098" max="4350" width="9.140625" style="46"/>
    <col min="4351" max="4351" width="4.140625" style="46" customWidth="1"/>
    <col min="4352" max="4352" width="58.85546875" style="46" customWidth="1"/>
    <col min="4353" max="4353" width="32.85546875" style="46" customWidth="1"/>
    <col min="4354" max="4606" width="9.140625" style="46"/>
    <col min="4607" max="4607" width="4.140625" style="46" customWidth="1"/>
    <col min="4608" max="4608" width="58.85546875" style="46" customWidth="1"/>
    <col min="4609" max="4609" width="32.85546875" style="46" customWidth="1"/>
    <col min="4610" max="4862" width="9.140625" style="46"/>
    <col min="4863" max="4863" width="4.140625" style="46" customWidth="1"/>
    <col min="4864" max="4864" width="58.85546875" style="46" customWidth="1"/>
    <col min="4865" max="4865" width="32.85546875" style="46" customWidth="1"/>
    <col min="4866" max="5118" width="9.140625" style="46"/>
    <col min="5119" max="5119" width="4.140625" style="46" customWidth="1"/>
    <col min="5120" max="5120" width="58.85546875" style="46" customWidth="1"/>
    <col min="5121" max="5121" width="32.85546875" style="46" customWidth="1"/>
    <col min="5122" max="5374" width="9.140625" style="46"/>
    <col min="5375" max="5375" width="4.140625" style="46" customWidth="1"/>
    <col min="5376" max="5376" width="58.85546875" style="46" customWidth="1"/>
    <col min="5377" max="5377" width="32.85546875" style="46" customWidth="1"/>
    <col min="5378" max="5630" width="9.140625" style="46"/>
    <col min="5631" max="5631" width="4.140625" style="46" customWidth="1"/>
    <col min="5632" max="5632" width="58.85546875" style="46" customWidth="1"/>
    <col min="5633" max="5633" width="32.85546875" style="46" customWidth="1"/>
    <col min="5634" max="5886" width="9.140625" style="46"/>
    <col min="5887" max="5887" width="4.140625" style="46" customWidth="1"/>
    <col min="5888" max="5888" width="58.85546875" style="46" customWidth="1"/>
    <col min="5889" max="5889" width="32.85546875" style="46" customWidth="1"/>
    <col min="5890" max="6142" width="9.140625" style="46"/>
    <col min="6143" max="6143" width="4.140625" style="46" customWidth="1"/>
    <col min="6144" max="6144" width="58.85546875" style="46" customWidth="1"/>
    <col min="6145" max="6145" width="32.85546875" style="46" customWidth="1"/>
    <col min="6146" max="6398" width="9.140625" style="46"/>
    <col min="6399" max="6399" width="4.140625" style="46" customWidth="1"/>
    <col min="6400" max="6400" width="58.85546875" style="46" customWidth="1"/>
    <col min="6401" max="6401" width="32.85546875" style="46" customWidth="1"/>
    <col min="6402" max="6654" width="9.140625" style="46"/>
    <col min="6655" max="6655" width="4.140625" style="46" customWidth="1"/>
    <col min="6656" max="6656" width="58.85546875" style="46" customWidth="1"/>
    <col min="6657" max="6657" width="32.85546875" style="46" customWidth="1"/>
    <col min="6658" max="6910" width="9.140625" style="46"/>
    <col min="6911" max="6911" width="4.140625" style="46" customWidth="1"/>
    <col min="6912" max="6912" width="58.85546875" style="46" customWidth="1"/>
    <col min="6913" max="6913" width="32.85546875" style="46" customWidth="1"/>
    <col min="6914" max="7166" width="9.140625" style="46"/>
    <col min="7167" max="7167" width="4.140625" style="46" customWidth="1"/>
    <col min="7168" max="7168" width="58.85546875" style="46" customWidth="1"/>
    <col min="7169" max="7169" width="32.85546875" style="46" customWidth="1"/>
    <col min="7170" max="7422" width="9.140625" style="46"/>
    <col min="7423" max="7423" width="4.140625" style="46" customWidth="1"/>
    <col min="7424" max="7424" width="58.85546875" style="46" customWidth="1"/>
    <col min="7425" max="7425" width="32.85546875" style="46" customWidth="1"/>
    <col min="7426" max="7678" width="9.140625" style="46"/>
    <col min="7679" max="7679" width="4.140625" style="46" customWidth="1"/>
    <col min="7680" max="7680" width="58.85546875" style="46" customWidth="1"/>
    <col min="7681" max="7681" width="32.85546875" style="46" customWidth="1"/>
    <col min="7682" max="7934" width="9.140625" style="46"/>
    <col min="7935" max="7935" width="4.140625" style="46" customWidth="1"/>
    <col min="7936" max="7936" width="58.85546875" style="46" customWidth="1"/>
    <col min="7937" max="7937" width="32.85546875" style="46" customWidth="1"/>
    <col min="7938" max="8190" width="9.140625" style="46"/>
    <col min="8191" max="8191" width="4.140625" style="46" customWidth="1"/>
    <col min="8192" max="8192" width="58.85546875" style="46" customWidth="1"/>
    <col min="8193" max="8193" width="32.85546875" style="46" customWidth="1"/>
    <col min="8194" max="8446" width="9.140625" style="46"/>
    <col min="8447" max="8447" width="4.140625" style="46" customWidth="1"/>
    <col min="8448" max="8448" width="58.85546875" style="46" customWidth="1"/>
    <col min="8449" max="8449" width="32.85546875" style="46" customWidth="1"/>
    <col min="8450" max="8702" width="9.140625" style="46"/>
    <col min="8703" max="8703" width="4.140625" style="46" customWidth="1"/>
    <col min="8704" max="8704" width="58.85546875" style="46" customWidth="1"/>
    <col min="8705" max="8705" width="32.85546875" style="46" customWidth="1"/>
    <col min="8706" max="8958" width="9.140625" style="46"/>
    <col min="8959" max="8959" width="4.140625" style="46" customWidth="1"/>
    <col min="8960" max="8960" width="58.85546875" style="46" customWidth="1"/>
    <col min="8961" max="8961" width="32.85546875" style="46" customWidth="1"/>
    <col min="8962" max="9214" width="9.140625" style="46"/>
    <col min="9215" max="9215" width="4.140625" style="46" customWidth="1"/>
    <col min="9216" max="9216" width="58.85546875" style="46" customWidth="1"/>
    <col min="9217" max="9217" width="32.85546875" style="46" customWidth="1"/>
    <col min="9218" max="9470" width="9.140625" style="46"/>
    <col min="9471" max="9471" width="4.140625" style="46" customWidth="1"/>
    <col min="9472" max="9472" width="58.85546875" style="46" customWidth="1"/>
    <col min="9473" max="9473" width="32.85546875" style="46" customWidth="1"/>
    <col min="9474" max="9726" width="9.140625" style="46"/>
    <col min="9727" max="9727" width="4.140625" style="46" customWidth="1"/>
    <col min="9728" max="9728" width="58.85546875" style="46" customWidth="1"/>
    <col min="9729" max="9729" width="32.85546875" style="46" customWidth="1"/>
    <col min="9730" max="9982" width="9.140625" style="46"/>
    <col min="9983" max="9983" width="4.140625" style="46" customWidth="1"/>
    <col min="9984" max="9984" width="58.85546875" style="46" customWidth="1"/>
    <col min="9985" max="9985" width="32.85546875" style="46" customWidth="1"/>
    <col min="9986" max="10238" width="9.140625" style="46"/>
    <col min="10239" max="10239" width="4.140625" style="46" customWidth="1"/>
    <col min="10240" max="10240" width="58.85546875" style="46" customWidth="1"/>
    <col min="10241" max="10241" width="32.85546875" style="46" customWidth="1"/>
    <col min="10242" max="10494" width="9.140625" style="46"/>
    <col min="10495" max="10495" width="4.140625" style="46" customWidth="1"/>
    <col min="10496" max="10496" width="58.85546875" style="46" customWidth="1"/>
    <col min="10497" max="10497" width="32.85546875" style="46" customWidth="1"/>
    <col min="10498" max="10750" width="9.140625" style="46"/>
    <col min="10751" max="10751" width="4.140625" style="46" customWidth="1"/>
    <col min="10752" max="10752" width="58.85546875" style="46" customWidth="1"/>
    <col min="10753" max="10753" width="32.85546875" style="46" customWidth="1"/>
    <col min="10754" max="11006" width="9.140625" style="46"/>
    <col min="11007" max="11007" width="4.140625" style="46" customWidth="1"/>
    <col min="11008" max="11008" width="58.85546875" style="46" customWidth="1"/>
    <col min="11009" max="11009" width="32.85546875" style="46" customWidth="1"/>
    <col min="11010" max="11262" width="9.140625" style="46"/>
    <col min="11263" max="11263" width="4.140625" style="46" customWidth="1"/>
    <col min="11264" max="11264" width="58.85546875" style="46" customWidth="1"/>
    <col min="11265" max="11265" width="32.85546875" style="46" customWidth="1"/>
    <col min="11266" max="11518" width="9.140625" style="46"/>
    <col min="11519" max="11519" width="4.140625" style="46" customWidth="1"/>
    <col min="11520" max="11520" width="58.85546875" style="46" customWidth="1"/>
    <col min="11521" max="11521" width="32.85546875" style="46" customWidth="1"/>
    <col min="11522" max="11774" width="9.140625" style="46"/>
    <col min="11775" max="11775" width="4.140625" style="46" customWidth="1"/>
    <col min="11776" max="11776" width="58.85546875" style="46" customWidth="1"/>
    <col min="11777" max="11777" width="32.85546875" style="46" customWidth="1"/>
    <col min="11778" max="12030" width="9.140625" style="46"/>
    <col min="12031" max="12031" width="4.140625" style="46" customWidth="1"/>
    <col min="12032" max="12032" width="58.85546875" style="46" customWidth="1"/>
    <col min="12033" max="12033" width="32.85546875" style="46" customWidth="1"/>
    <col min="12034" max="12286" width="9.140625" style="46"/>
    <col min="12287" max="12287" width="4.140625" style="46" customWidth="1"/>
    <col min="12288" max="12288" width="58.85546875" style="46" customWidth="1"/>
    <col min="12289" max="12289" width="32.85546875" style="46" customWidth="1"/>
    <col min="12290" max="12542" width="9.140625" style="46"/>
    <col min="12543" max="12543" width="4.140625" style="46" customWidth="1"/>
    <col min="12544" max="12544" width="58.85546875" style="46" customWidth="1"/>
    <col min="12545" max="12545" width="32.85546875" style="46" customWidth="1"/>
    <col min="12546" max="12798" width="9.140625" style="46"/>
    <col min="12799" max="12799" width="4.140625" style="46" customWidth="1"/>
    <col min="12800" max="12800" width="58.85546875" style="46" customWidth="1"/>
    <col min="12801" max="12801" width="32.85546875" style="46" customWidth="1"/>
    <col min="12802" max="13054" width="9.140625" style="46"/>
    <col min="13055" max="13055" width="4.140625" style="46" customWidth="1"/>
    <col min="13056" max="13056" width="58.85546875" style="46" customWidth="1"/>
    <col min="13057" max="13057" width="32.85546875" style="46" customWidth="1"/>
    <col min="13058" max="13310" width="9.140625" style="46"/>
    <col min="13311" max="13311" width="4.140625" style="46" customWidth="1"/>
    <col min="13312" max="13312" width="58.85546875" style="46" customWidth="1"/>
    <col min="13313" max="13313" width="32.85546875" style="46" customWidth="1"/>
    <col min="13314" max="13566" width="9.140625" style="46"/>
    <col min="13567" max="13567" width="4.140625" style="46" customWidth="1"/>
    <col min="13568" max="13568" width="58.85546875" style="46" customWidth="1"/>
    <col min="13569" max="13569" width="32.85546875" style="46" customWidth="1"/>
    <col min="13570" max="13822" width="9.140625" style="46"/>
    <col min="13823" max="13823" width="4.140625" style="46" customWidth="1"/>
    <col min="13824" max="13824" width="58.85546875" style="46" customWidth="1"/>
    <col min="13825" max="13825" width="32.85546875" style="46" customWidth="1"/>
    <col min="13826" max="14078" width="9.140625" style="46"/>
    <col min="14079" max="14079" width="4.140625" style="46" customWidth="1"/>
    <col min="14080" max="14080" width="58.85546875" style="46" customWidth="1"/>
    <col min="14081" max="14081" width="32.85546875" style="46" customWidth="1"/>
    <col min="14082" max="14334" width="9.140625" style="46"/>
    <col min="14335" max="14335" width="4.140625" style="46" customWidth="1"/>
    <col min="14336" max="14336" width="58.85546875" style="46" customWidth="1"/>
    <col min="14337" max="14337" width="32.85546875" style="46" customWidth="1"/>
    <col min="14338" max="14590" width="9.140625" style="46"/>
    <col min="14591" max="14591" width="4.140625" style="46" customWidth="1"/>
    <col min="14592" max="14592" width="58.85546875" style="46" customWidth="1"/>
    <col min="14593" max="14593" width="32.85546875" style="46" customWidth="1"/>
    <col min="14594" max="14846" width="9.140625" style="46"/>
    <col min="14847" max="14847" width="4.140625" style="46" customWidth="1"/>
    <col min="14848" max="14848" width="58.85546875" style="46" customWidth="1"/>
    <col min="14849" max="14849" width="32.85546875" style="46" customWidth="1"/>
    <col min="14850" max="15102" width="9.140625" style="46"/>
    <col min="15103" max="15103" width="4.140625" style="46" customWidth="1"/>
    <col min="15104" max="15104" width="58.85546875" style="46" customWidth="1"/>
    <col min="15105" max="15105" width="32.85546875" style="46" customWidth="1"/>
    <col min="15106" max="15358" width="9.140625" style="46"/>
    <col min="15359" max="15359" width="4.140625" style="46" customWidth="1"/>
    <col min="15360" max="15360" width="58.85546875" style="46" customWidth="1"/>
    <col min="15361" max="15361" width="32.85546875" style="46" customWidth="1"/>
    <col min="15362" max="15614" width="9.140625" style="46"/>
    <col min="15615" max="15615" width="4.140625" style="46" customWidth="1"/>
    <col min="15616" max="15616" width="58.85546875" style="46" customWidth="1"/>
    <col min="15617" max="15617" width="32.85546875" style="46" customWidth="1"/>
    <col min="15618" max="15870" width="9.140625" style="46"/>
    <col min="15871" max="15871" width="4.140625" style="46" customWidth="1"/>
    <col min="15872" max="15872" width="58.85546875" style="46" customWidth="1"/>
    <col min="15873" max="15873" width="32.85546875" style="46" customWidth="1"/>
    <col min="15874" max="16126" width="9.140625" style="46"/>
    <col min="16127" max="16127" width="4.140625" style="46" customWidth="1"/>
    <col min="16128" max="16128" width="58.85546875" style="46" customWidth="1"/>
    <col min="16129" max="16129" width="32.85546875" style="46" customWidth="1"/>
    <col min="16130" max="16384" width="9.140625" style="46"/>
  </cols>
  <sheetData>
    <row r="1" spans="1:4" ht="12" customHeight="1" x14ac:dyDescent="0.2">
      <c r="A1" s="43"/>
      <c r="B1" s="44"/>
      <c r="C1" s="547" t="s">
        <v>553</v>
      </c>
      <c r="D1" s="547"/>
    </row>
    <row r="2" spans="1:4" ht="58.5" customHeight="1" x14ac:dyDescent="0.2">
      <c r="A2" s="43"/>
      <c r="B2" s="44"/>
      <c r="C2" s="552" t="s">
        <v>463</v>
      </c>
      <c r="D2" s="552"/>
    </row>
    <row r="3" spans="1:4" ht="17.25" customHeight="1" x14ac:dyDescent="0.2">
      <c r="A3" s="43"/>
      <c r="B3" s="44"/>
      <c r="C3" s="536" t="s">
        <v>171</v>
      </c>
      <c r="D3" s="536"/>
    </row>
    <row r="4" spans="1:4" s="62" customFormat="1" ht="86.25" customHeight="1" x14ac:dyDescent="0.25">
      <c r="A4" s="60"/>
      <c r="B4" s="550" t="s">
        <v>555</v>
      </c>
      <c r="C4" s="550"/>
      <c r="D4" s="550"/>
    </row>
    <row r="5" spans="1:4" ht="15" x14ac:dyDescent="0.2">
      <c r="A5" s="43"/>
      <c r="B5" s="49"/>
      <c r="C5" s="49"/>
      <c r="D5" s="88" t="s">
        <v>206</v>
      </c>
    </row>
    <row r="6" spans="1:4" s="51" customFormat="1" ht="36" customHeight="1" x14ac:dyDescent="0.25">
      <c r="A6" s="77" t="s">
        <v>172</v>
      </c>
      <c r="B6" s="77" t="s">
        <v>173</v>
      </c>
      <c r="C6" s="205" t="s">
        <v>205</v>
      </c>
      <c r="D6" s="205" t="s">
        <v>541</v>
      </c>
    </row>
    <row r="7" spans="1:4" ht="41.25" customHeight="1" x14ac:dyDescent="0.2">
      <c r="A7" s="52">
        <v>1</v>
      </c>
      <c r="B7" s="53" t="s">
        <v>175</v>
      </c>
      <c r="C7" s="54">
        <v>1245953</v>
      </c>
      <c r="D7" s="54">
        <v>1116532</v>
      </c>
    </row>
    <row r="8" spans="1:4" ht="41.25" customHeight="1" x14ac:dyDescent="0.2">
      <c r="A8" s="52">
        <v>2</v>
      </c>
      <c r="B8" s="53" t="s">
        <v>176</v>
      </c>
      <c r="C8" s="54">
        <v>580422</v>
      </c>
      <c r="D8" s="54">
        <v>600612</v>
      </c>
    </row>
    <row r="9" spans="1:4" ht="41.25" customHeight="1" x14ac:dyDescent="0.2">
      <c r="A9" s="52">
        <v>3</v>
      </c>
      <c r="B9" s="53" t="s">
        <v>177</v>
      </c>
      <c r="C9" s="54">
        <v>1162696</v>
      </c>
      <c r="D9" s="54">
        <v>1189944</v>
      </c>
    </row>
    <row r="10" spans="1:4" ht="41.25" customHeight="1" x14ac:dyDescent="0.2">
      <c r="A10" s="52">
        <v>4</v>
      </c>
      <c r="B10" s="53" t="s">
        <v>178</v>
      </c>
      <c r="C10" s="54">
        <v>1746587</v>
      </c>
      <c r="D10" s="54">
        <v>1792072</v>
      </c>
    </row>
    <row r="11" spans="1:4" ht="41.25" customHeight="1" x14ac:dyDescent="0.2">
      <c r="A11" s="52">
        <v>5</v>
      </c>
      <c r="B11" s="53" t="s">
        <v>179</v>
      </c>
      <c r="C11" s="54">
        <v>589397</v>
      </c>
      <c r="D11" s="54">
        <v>615984</v>
      </c>
    </row>
    <row r="12" spans="1:4" ht="41.25" customHeight="1" x14ac:dyDescent="0.2">
      <c r="A12" s="52">
        <v>6</v>
      </c>
      <c r="B12" s="53" t="s">
        <v>180</v>
      </c>
      <c r="C12" s="54">
        <v>556945</v>
      </c>
      <c r="D12" s="54">
        <v>566856</v>
      </c>
    </row>
    <row r="13" spans="1:4" s="59" customFormat="1" ht="41.25" customHeight="1" x14ac:dyDescent="0.25">
      <c r="A13" s="55"/>
      <c r="B13" s="56" t="s">
        <v>9</v>
      </c>
      <c r="C13" s="57">
        <f>SUM(C7:C12)</f>
        <v>5882000</v>
      </c>
      <c r="D13" s="57">
        <f t="shared" ref="D13" si="0">SUM(D7:D12)</f>
        <v>5882000</v>
      </c>
    </row>
  </sheetData>
  <mergeCells count="4">
    <mergeCell ref="C2:D2"/>
    <mergeCell ref="C1:D1"/>
    <mergeCell ref="B4:D4"/>
    <mergeCell ref="C3:D3"/>
  </mergeCells>
  <pageMargins left="0.9055118110236221" right="0.51181102362204722" top="0.74803149606299213" bottom="0.74803149606299213" header="0.31496062992125984" footer="0.31496062992125984"/>
  <pageSetup paperSize="9" scale="85"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selection activeCell="B5" sqref="B5:H5"/>
    </sheetView>
  </sheetViews>
  <sheetFormatPr defaultRowHeight="15" x14ac:dyDescent="0.25"/>
  <cols>
    <col min="1" max="1" width="4" customWidth="1"/>
    <col min="2" max="2" width="41.7109375" customWidth="1"/>
    <col min="3" max="4" width="17" hidden="1" customWidth="1"/>
    <col min="5" max="5" width="17" customWidth="1"/>
    <col min="6" max="7" width="17" hidden="1" customWidth="1"/>
    <col min="8" max="8" width="17" customWidth="1"/>
    <col min="10" max="10" width="13.85546875" customWidth="1"/>
  </cols>
  <sheetData>
    <row r="1" spans="1:10" s="46" customFormat="1" ht="12" customHeight="1" x14ac:dyDescent="0.2">
      <c r="A1" s="43"/>
      <c r="B1" s="44"/>
      <c r="D1" s="154"/>
      <c r="E1" s="547" t="s">
        <v>553</v>
      </c>
      <c r="F1" s="547"/>
      <c r="G1" s="547"/>
      <c r="H1" s="547"/>
    </row>
    <row r="2" spans="1:10" s="46" customFormat="1" ht="78.75" customHeight="1" x14ac:dyDescent="0.2">
      <c r="A2" s="43"/>
      <c r="B2" s="44"/>
      <c r="D2" s="140"/>
      <c r="E2" s="552" t="s">
        <v>463</v>
      </c>
      <c r="F2" s="552"/>
      <c r="G2" s="552"/>
      <c r="H2" s="552"/>
    </row>
    <row r="3" spans="1:10" s="46" customFormat="1" ht="17.25" customHeight="1" x14ac:dyDescent="0.2">
      <c r="A3" s="43"/>
      <c r="B3" s="44"/>
      <c r="D3" s="186"/>
      <c r="E3" s="536" t="s">
        <v>425</v>
      </c>
      <c r="F3" s="536"/>
      <c r="G3" s="536"/>
      <c r="H3" s="536"/>
    </row>
    <row r="5" spans="1:10" s="62" customFormat="1" ht="84" customHeight="1" x14ac:dyDescent="0.25">
      <c r="A5" s="60"/>
      <c r="B5" s="546" t="s">
        <v>540</v>
      </c>
      <c r="C5" s="546"/>
      <c r="D5" s="546"/>
      <c r="E5" s="546"/>
      <c r="F5" s="546"/>
      <c r="G5" s="546"/>
      <c r="H5" s="546"/>
    </row>
    <row r="7" spans="1:10" s="46" customFormat="1" x14ac:dyDescent="0.2">
      <c r="A7" s="43"/>
      <c r="B7" s="49"/>
      <c r="C7" s="49"/>
      <c r="D7" s="49"/>
      <c r="E7" s="49"/>
      <c r="F7" s="88" t="s">
        <v>206</v>
      </c>
      <c r="G7" s="44"/>
    </row>
    <row r="8" spans="1:10" s="51" customFormat="1" ht="36" customHeight="1" x14ac:dyDescent="0.25">
      <c r="A8" s="77" t="s">
        <v>172</v>
      </c>
      <c r="B8" s="77" t="s">
        <v>173</v>
      </c>
      <c r="C8" s="77" t="s">
        <v>205</v>
      </c>
      <c r="D8" s="219" t="s">
        <v>618</v>
      </c>
      <c r="E8" s="219" t="s">
        <v>641</v>
      </c>
      <c r="F8" s="77" t="s">
        <v>541</v>
      </c>
      <c r="G8" s="219" t="s">
        <v>618</v>
      </c>
      <c r="H8" s="219" t="s">
        <v>632</v>
      </c>
    </row>
    <row r="9" spans="1:10" s="346" customFormat="1" ht="41.25" customHeight="1" x14ac:dyDescent="0.25">
      <c r="A9" s="343">
        <v>1</v>
      </c>
      <c r="B9" s="344" t="s">
        <v>175</v>
      </c>
      <c r="C9" s="345">
        <v>3468426</v>
      </c>
      <c r="D9" s="345">
        <v>-346843</v>
      </c>
      <c r="E9" s="345">
        <f>C9+D9</f>
        <v>3121583</v>
      </c>
      <c r="F9" s="345">
        <v>2538032</v>
      </c>
      <c r="G9" s="354">
        <v>-253803</v>
      </c>
      <c r="H9" s="351">
        <f>F9+G9</f>
        <v>2284229</v>
      </c>
      <c r="I9" s="352"/>
      <c r="J9" s="353"/>
    </row>
    <row r="10" spans="1:10" s="346" customFormat="1" ht="41.25" customHeight="1" x14ac:dyDescent="0.25">
      <c r="A10" s="343">
        <v>2</v>
      </c>
      <c r="B10" s="344" t="s">
        <v>176</v>
      </c>
      <c r="C10" s="345">
        <v>1675563</v>
      </c>
      <c r="D10" s="345">
        <v>-167556</v>
      </c>
      <c r="E10" s="345">
        <f t="shared" ref="E10:E14" si="0">C10+D10</f>
        <v>1508007</v>
      </c>
      <c r="F10" s="345">
        <v>1133803</v>
      </c>
      <c r="G10" s="354">
        <v>-113380</v>
      </c>
      <c r="H10" s="351">
        <f t="shared" ref="H10:H14" si="1">F10+G10</f>
        <v>1020423</v>
      </c>
      <c r="I10" s="352"/>
      <c r="J10" s="353"/>
    </row>
    <row r="11" spans="1:10" s="346" customFormat="1" ht="41.25" customHeight="1" x14ac:dyDescent="0.25">
      <c r="A11" s="343">
        <v>3</v>
      </c>
      <c r="B11" s="344" t="s">
        <v>177</v>
      </c>
      <c r="C11" s="345">
        <v>2270366</v>
      </c>
      <c r="D11" s="345">
        <v>-227037</v>
      </c>
      <c r="E11" s="345">
        <f t="shared" si="0"/>
        <v>2043329</v>
      </c>
      <c r="F11" s="345">
        <v>1539426</v>
      </c>
      <c r="G11" s="354">
        <v>-153943</v>
      </c>
      <c r="H11" s="351">
        <f t="shared" si="1"/>
        <v>1385483</v>
      </c>
      <c r="I11" s="352"/>
      <c r="J11" s="353"/>
    </row>
    <row r="12" spans="1:10" s="346" customFormat="1" ht="41.25" customHeight="1" x14ac:dyDescent="0.25">
      <c r="A12" s="343">
        <v>4</v>
      </c>
      <c r="B12" s="344" t="s">
        <v>178</v>
      </c>
      <c r="C12" s="345">
        <v>1819829</v>
      </c>
      <c r="D12" s="345">
        <v>-181983</v>
      </c>
      <c r="E12" s="345">
        <f t="shared" si="0"/>
        <v>1637846</v>
      </c>
      <c r="F12" s="345">
        <v>1210985</v>
      </c>
      <c r="G12" s="354">
        <v>-121099</v>
      </c>
      <c r="H12" s="351">
        <f t="shared" si="1"/>
        <v>1089886</v>
      </c>
      <c r="I12" s="352"/>
      <c r="J12" s="353"/>
    </row>
    <row r="13" spans="1:10" s="346" customFormat="1" ht="41.25" customHeight="1" x14ac:dyDescent="0.25">
      <c r="A13" s="343">
        <v>5</v>
      </c>
      <c r="B13" s="344" t="s">
        <v>179</v>
      </c>
      <c r="C13" s="345">
        <v>1658148</v>
      </c>
      <c r="D13" s="345">
        <v>-165815</v>
      </c>
      <c r="E13" s="345">
        <f t="shared" si="0"/>
        <v>1492333</v>
      </c>
      <c r="F13" s="345">
        <v>1120902</v>
      </c>
      <c r="G13" s="354">
        <v>-112090</v>
      </c>
      <c r="H13" s="351">
        <f t="shared" si="1"/>
        <v>1008812</v>
      </c>
      <c r="I13" s="352"/>
      <c r="J13" s="353"/>
    </row>
    <row r="14" spans="1:10" s="346" customFormat="1" ht="41.25" customHeight="1" x14ac:dyDescent="0.25">
      <c r="A14" s="343">
        <v>6</v>
      </c>
      <c r="B14" s="344" t="s">
        <v>180</v>
      </c>
      <c r="C14" s="345">
        <v>1896668</v>
      </c>
      <c r="D14" s="345">
        <v>-189666</v>
      </c>
      <c r="E14" s="345">
        <f t="shared" si="0"/>
        <v>1707002</v>
      </c>
      <c r="F14" s="345">
        <v>1295852</v>
      </c>
      <c r="G14" s="354">
        <v>-129585</v>
      </c>
      <c r="H14" s="351">
        <f t="shared" si="1"/>
        <v>1166267</v>
      </c>
      <c r="I14" s="352"/>
      <c r="J14" s="353"/>
    </row>
    <row r="15" spans="1:10" s="350" customFormat="1" ht="41.25" customHeight="1" x14ac:dyDescent="0.25">
      <c r="A15" s="347"/>
      <c r="B15" s="348" t="s">
        <v>9</v>
      </c>
      <c r="C15" s="349">
        <f>SUM(C9:C14)</f>
        <v>12789000</v>
      </c>
      <c r="D15" s="349">
        <f t="shared" ref="D15:E15" si="2">SUM(D9:D14)</f>
        <v>-1278900</v>
      </c>
      <c r="E15" s="349">
        <f t="shared" si="2"/>
        <v>11510100</v>
      </c>
      <c r="F15" s="349">
        <f>SUM(F9:F14)</f>
        <v>8839000</v>
      </c>
      <c r="G15" s="349">
        <f t="shared" ref="G15:H15" si="3">SUM(G9:G14)</f>
        <v>-883900</v>
      </c>
      <c r="H15" s="349">
        <f t="shared" si="3"/>
        <v>7955100</v>
      </c>
    </row>
  </sheetData>
  <mergeCells count="4">
    <mergeCell ref="E1:H1"/>
    <mergeCell ref="E2:H2"/>
    <mergeCell ref="E3:H3"/>
    <mergeCell ref="B5:H5"/>
  </mergeCells>
  <pageMargins left="0.9055118110236221" right="0.70866141732283472" top="0.74803149606299213" bottom="0.74803149606299213" header="0.31496062992125984" footer="0.31496062992125984"/>
  <pageSetup paperSize="9" scale="8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topLeftCell="A4" workbookViewId="0">
      <selection activeCell="I8" sqref="I8"/>
    </sheetView>
  </sheetViews>
  <sheetFormatPr defaultRowHeight="12.75" x14ac:dyDescent="0.2"/>
  <cols>
    <col min="1" max="1" width="4.140625" style="46" customWidth="1"/>
    <col min="2" max="2" width="58.85546875" style="46" customWidth="1"/>
    <col min="3" max="4" width="20.42578125" style="46" customWidth="1"/>
    <col min="5" max="256" width="9.140625" style="46"/>
    <col min="257" max="257" width="4.140625" style="46" customWidth="1"/>
    <col min="258" max="258" width="58.85546875" style="46" customWidth="1"/>
    <col min="259" max="259" width="32.85546875" style="46" customWidth="1"/>
    <col min="260" max="512" width="9.140625" style="46"/>
    <col min="513" max="513" width="4.140625" style="46" customWidth="1"/>
    <col min="514" max="514" width="58.85546875" style="46" customWidth="1"/>
    <col min="515" max="515" width="32.85546875" style="46" customWidth="1"/>
    <col min="516" max="768" width="9.140625" style="46"/>
    <col min="769" max="769" width="4.140625" style="46" customWidth="1"/>
    <col min="770" max="770" width="58.85546875" style="46" customWidth="1"/>
    <col min="771" max="771" width="32.85546875" style="46" customWidth="1"/>
    <col min="772" max="1024" width="9.140625" style="46"/>
    <col min="1025" max="1025" width="4.140625" style="46" customWidth="1"/>
    <col min="1026" max="1026" width="58.85546875" style="46" customWidth="1"/>
    <col min="1027" max="1027" width="32.85546875" style="46" customWidth="1"/>
    <col min="1028" max="1280" width="9.140625" style="46"/>
    <col min="1281" max="1281" width="4.140625" style="46" customWidth="1"/>
    <col min="1282" max="1282" width="58.85546875" style="46" customWidth="1"/>
    <col min="1283" max="1283" width="32.85546875" style="46" customWidth="1"/>
    <col min="1284" max="1536" width="9.140625" style="46"/>
    <col min="1537" max="1537" width="4.140625" style="46" customWidth="1"/>
    <col min="1538" max="1538" width="58.85546875" style="46" customWidth="1"/>
    <col min="1539" max="1539" width="32.85546875" style="46" customWidth="1"/>
    <col min="1540" max="1792" width="9.140625" style="46"/>
    <col min="1793" max="1793" width="4.140625" style="46" customWidth="1"/>
    <col min="1794" max="1794" width="58.85546875" style="46" customWidth="1"/>
    <col min="1795" max="1795" width="32.85546875" style="46" customWidth="1"/>
    <col min="1796" max="2048" width="9.140625" style="46"/>
    <col min="2049" max="2049" width="4.140625" style="46" customWidth="1"/>
    <col min="2050" max="2050" width="58.85546875" style="46" customWidth="1"/>
    <col min="2051" max="2051" width="32.85546875" style="46" customWidth="1"/>
    <col min="2052" max="2304" width="9.140625" style="46"/>
    <col min="2305" max="2305" width="4.140625" style="46" customWidth="1"/>
    <col min="2306" max="2306" width="58.85546875" style="46" customWidth="1"/>
    <col min="2307" max="2307" width="32.85546875" style="46" customWidth="1"/>
    <col min="2308" max="2560" width="9.140625" style="46"/>
    <col min="2561" max="2561" width="4.140625" style="46" customWidth="1"/>
    <col min="2562" max="2562" width="58.85546875" style="46" customWidth="1"/>
    <col min="2563" max="2563" width="32.85546875" style="46" customWidth="1"/>
    <col min="2564" max="2816" width="9.140625" style="46"/>
    <col min="2817" max="2817" width="4.140625" style="46" customWidth="1"/>
    <col min="2818" max="2818" width="58.85546875" style="46" customWidth="1"/>
    <col min="2819" max="2819" width="32.85546875" style="46" customWidth="1"/>
    <col min="2820" max="3072" width="9.140625" style="46"/>
    <col min="3073" max="3073" width="4.140625" style="46" customWidth="1"/>
    <col min="3074" max="3074" width="58.85546875" style="46" customWidth="1"/>
    <col min="3075" max="3075" width="32.85546875" style="46" customWidth="1"/>
    <col min="3076" max="3328" width="9.140625" style="46"/>
    <col min="3329" max="3329" width="4.140625" style="46" customWidth="1"/>
    <col min="3330" max="3330" width="58.85546875" style="46" customWidth="1"/>
    <col min="3331" max="3331" width="32.85546875" style="46" customWidth="1"/>
    <col min="3332" max="3584" width="9.140625" style="46"/>
    <col min="3585" max="3585" width="4.140625" style="46" customWidth="1"/>
    <col min="3586" max="3586" width="58.85546875" style="46" customWidth="1"/>
    <col min="3587" max="3587" width="32.85546875" style="46" customWidth="1"/>
    <col min="3588" max="3840" width="9.140625" style="46"/>
    <col min="3841" max="3841" width="4.140625" style="46" customWidth="1"/>
    <col min="3842" max="3842" width="58.85546875" style="46" customWidth="1"/>
    <col min="3843" max="3843" width="32.85546875" style="46" customWidth="1"/>
    <col min="3844" max="4096" width="9.140625" style="46"/>
    <col min="4097" max="4097" width="4.140625" style="46" customWidth="1"/>
    <col min="4098" max="4098" width="58.85546875" style="46" customWidth="1"/>
    <col min="4099" max="4099" width="32.85546875" style="46" customWidth="1"/>
    <col min="4100" max="4352" width="9.140625" style="46"/>
    <col min="4353" max="4353" width="4.140625" style="46" customWidth="1"/>
    <col min="4354" max="4354" width="58.85546875" style="46" customWidth="1"/>
    <col min="4355" max="4355" width="32.85546875" style="46" customWidth="1"/>
    <col min="4356" max="4608" width="9.140625" style="46"/>
    <col min="4609" max="4609" width="4.140625" style="46" customWidth="1"/>
    <col min="4610" max="4610" width="58.85546875" style="46" customWidth="1"/>
    <col min="4611" max="4611" width="32.85546875" style="46" customWidth="1"/>
    <col min="4612" max="4864" width="9.140625" style="46"/>
    <col min="4865" max="4865" width="4.140625" style="46" customWidth="1"/>
    <col min="4866" max="4866" width="58.85546875" style="46" customWidth="1"/>
    <col min="4867" max="4867" width="32.85546875" style="46" customWidth="1"/>
    <col min="4868" max="5120" width="9.140625" style="46"/>
    <col min="5121" max="5121" width="4.140625" style="46" customWidth="1"/>
    <col min="5122" max="5122" width="58.85546875" style="46" customWidth="1"/>
    <col min="5123" max="5123" width="32.85546875" style="46" customWidth="1"/>
    <col min="5124" max="5376" width="9.140625" style="46"/>
    <col min="5377" max="5377" width="4.140625" style="46" customWidth="1"/>
    <col min="5378" max="5378" width="58.85546875" style="46" customWidth="1"/>
    <col min="5379" max="5379" width="32.85546875" style="46" customWidth="1"/>
    <col min="5380" max="5632" width="9.140625" style="46"/>
    <col min="5633" max="5633" width="4.140625" style="46" customWidth="1"/>
    <col min="5634" max="5634" width="58.85546875" style="46" customWidth="1"/>
    <col min="5635" max="5635" width="32.85546875" style="46" customWidth="1"/>
    <col min="5636" max="5888" width="9.140625" style="46"/>
    <col min="5889" max="5889" width="4.140625" style="46" customWidth="1"/>
    <col min="5890" max="5890" width="58.85546875" style="46" customWidth="1"/>
    <col min="5891" max="5891" width="32.85546875" style="46" customWidth="1"/>
    <col min="5892" max="6144" width="9.140625" style="46"/>
    <col min="6145" max="6145" width="4.140625" style="46" customWidth="1"/>
    <col min="6146" max="6146" width="58.85546875" style="46" customWidth="1"/>
    <col min="6147" max="6147" width="32.85546875" style="46" customWidth="1"/>
    <col min="6148" max="6400" width="9.140625" style="46"/>
    <col min="6401" max="6401" width="4.140625" style="46" customWidth="1"/>
    <col min="6402" max="6402" width="58.85546875" style="46" customWidth="1"/>
    <col min="6403" max="6403" width="32.85546875" style="46" customWidth="1"/>
    <col min="6404" max="6656" width="9.140625" style="46"/>
    <col min="6657" max="6657" width="4.140625" style="46" customWidth="1"/>
    <col min="6658" max="6658" width="58.85546875" style="46" customWidth="1"/>
    <col min="6659" max="6659" width="32.85546875" style="46" customWidth="1"/>
    <col min="6660" max="6912" width="9.140625" style="46"/>
    <col min="6913" max="6913" width="4.140625" style="46" customWidth="1"/>
    <col min="6914" max="6914" width="58.85546875" style="46" customWidth="1"/>
    <col min="6915" max="6915" width="32.85546875" style="46" customWidth="1"/>
    <col min="6916" max="7168" width="9.140625" style="46"/>
    <col min="7169" max="7169" width="4.140625" style="46" customWidth="1"/>
    <col min="7170" max="7170" width="58.85546875" style="46" customWidth="1"/>
    <col min="7171" max="7171" width="32.85546875" style="46" customWidth="1"/>
    <col min="7172" max="7424" width="9.140625" style="46"/>
    <col min="7425" max="7425" width="4.140625" style="46" customWidth="1"/>
    <col min="7426" max="7426" width="58.85546875" style="46" customWidth="1"/>
    <col min="7427" max="7427" width="32.85546875" style="46" customWidth="1"/>
    <col min="7428" max="7680" width="9.140625" style="46"/>
    <col min="7681" max="7681" width="4.140625" style="46" customWidth="1"/>
    <col min="7682" max="7682" width="58.85546875" style="46" customWidth="1"/>
    <col min="7683" max="7683" width="32.85546875" style="46" customWidth="1"/>
    <col min="7684" max="7936" width="9.140625" style="46"/>
    <col min="7937" max="7937" width="4.140625" style="46" customWidth="1"/>
    <col min="7938" max="7938" width="58.85546875" style="46" customWidth="1"/>
    <col min="7939" max="7939" width="32.85546875" style="46" customWidth="1"/>
    <col min="7940" max="8192" width="9.140625" style="46"/>
    <col min="8193" max="8193" width="4.140625" style="46" customWidth="1"/>
    <col min="8194" max="8194" width="58.85546875" style="46" customWidth="1"/>
    <col min="8195" max="8195" width="32.85546875" style="46" customWidth="1"/>
    <col min="8196" max="8448" width="9.140625" style="46"/>
    <col min="8449" max="8449" width="4.140625" style="46" customWidth="1"/>
    <col min="8450" max="8450" width="58.85546875" style="46" customWidth="1"/>
    <col min="8451" max="8451" width="32.85546875" style="46" customWidth="1"/>
    <col min="8452" max="8704" width="9.140625" style="46"/>
    <col min="8705" max="8705" width="4.140625" style="46" customWidth="1"/>
    <col min="8706" max="8706" width="58.85546875" style="46" customWidth="1"/>
    <col min="8707" max="8707" width="32.85546875" style="46" customWidth="1"/>
    <col min="8708" max="8960" width="9.140625" style="46"/>
    <col min="8961" max="8961" width="4.140625" style="46" customWidth="1"/>
    <col min="8962" max="8962" width="58.85546875" style="46" customWidth="1"/>
    <col min="8963" max="8963" width="32.85546875" style="46" customWidth="1"/>
    <col min="8964" max="9216" width="9.140625" style="46"/>
    <col min="9217" max="9217" width="4.140625" style="46" customWidth="1"/>
    <col min="9218" max="9218" width="58.85546875" style="46" customWidth="1"/>
    <col min="9219" max="9219" width="32.85546875" style="46" customWidth="1"/>
    <col min="9220" max="9472" width="9.140625" style="46"/>
    <col min="9473" max="9473" width="4.140625" style="46" customWidth="1"/>
    <col min="9474" max="9474" width="58.85546875" style="46" customWidth="1"/>
    <col min="9475" max="9475" width="32.85546875" style="46" customWidth="1"/>
    <col min="9476" max="9728" width="9.140625" style="46"/>
    <col min="9729" max="9729" width="4.140625" style="46" customWidth="1"/>
    <col min="9730" max="9730" width="58.85546875" style="46" customWidth="1"/>
    <col min="9731" max="9731" width="32.85546875" style="46" customWidth="1"/>
    <col min="9732" max="9984" width="9.140625" style="46"/>
    <col min="9985" max="9985" width="4.140625" style="46" customWidth="1"/>
    <col min="9986" max="9986" width="58.85546875" style="46" customWidth="1"/>
    <col min="9987" max="9987" width="32.85546875" style="46" customWidth="1"/>
    <col min="9988" max="10240" width="9.140625" style="46"/>
    <col min="10241" max="10241" width="4.140625" style="46" customWidth="1"/>
    <col min="10242" max="10242" width="58.85546875" style="46" customWidth="1"/>
    <col min="10243" max="10243" width="32.85546875" style="46" customWidth="1"/>
    <col min="10244" max="10496" width="9.140625" style="46"/>
    <col min="10497" max="10497" width="4.140625" style="46" customWidth="1"/>
    <col min="10498" max="10498" width="58.85546875" style="46" customWidth="1"/>
    <col min="10499" max="10499" width="32.85546875" style="46" customWidth="1"/>
    <col min="10500" max="10752" width="9.140625" style="46"/>
    <col min="10753" max="10753" width="4.140625" style="46" customWidth="1"/>
    <col min="10754" max="10754" width="58.85546875" style="46" customWidth="1"/>
    <col min="10755" max="10755" width="32.85546875" style="46" customWidth="1"/>
    <col min="10756" max="11008" width="9.140625" style="46"/>
    <col min="11009" max="11009" width="4.140625" style="46" customWidth="1"/>
    <col min="11010" max="11010" width="58.85546875" style="46" customWidth="1"/>
    <col min="11011" max="11011" width="32.85546875" style="46" customWidth="1"/>
    <col min="11012" max="11264" width="9.140625" style="46"/>
    <col min="11265" max="11265" width="4.140625" style="46" customWidth="1"/>
    <col min="11266" max="11266" width="58.85546875" style="46" customWidth="1"/>
    <col min="11267" max="11267" width="32.85546875" style="46" customWidth="1"/>
    <col min="11268" max="11520" width="9.140625" style="46"/>
    <col min="11521" max="11521" width="4.140625" style="46" customWidth="1"/>
    <col min="11522" max="11522" width="58.85546875" style="46" customWidth="1"/>
    <col min="11523" max="11523" width="32.85546875" style="46" customWidth="1"/>
    <col min="11524" max="11776" width="9.140625" style="46"/>
    <col min="11777" max="11777" width="4.140625" style="46" customWidth="1"/>
    <col min="11778" max="11778" width="58.85546875" style="46" customWidth="1"/>
    <col min="11779" max="11779" width="32.85546875" style="46" customWidth="1"/>
    <col min="11780" max="12032" width="9.140625" style="46"/>
    <col min="12033" max="12033" width="4.140625" style="46" customWidth="1"/>
    <col min="12034" max="12034" width="58.85546875" style="46" customWidth="1"/>
    <col min="12035" max="12035" width="32.85546875" style="46" customWidth="1"/>
    <col min="12036" max="12288" width="9.140625" style="46"/>
    <col min="12289" max="12289" width="4.140625" style="46" customWidth="1"/>
    <col min="12290" max="12290" width="58.85546875" style="46" customWidth="1"/>
    <col min="12291" max="12291" width="32.85546875" style="46" customWidth="1"/>
    <col min="12292" max="12544" width="9.140625" style="46"/>
    <col min="12545" max="12545" width="4.140625" style="46" customWidth="1"/>
    <col min="12546" max="12546" width="58.85546875" style="46" customWidth="1"/>
    <col min="12547" max="12547" width="32.85546875" style="46" customWidth="1"/>
    <col min="12548" max="12800" width="9.140625" style="46"/>
    <col min="12801" max="12801" width="4.140625" style="46" customWidth="1"/>
    <col min="12802" max="12802" width="58.85546875" style="46" customWidth="1"/>
    <col min="12803" max="12803" width="32.85546875" style="46" customWidth="1"/>
    <col min="12804" max="13056" width="9.140625" style="46"/>
    <col min="13057" max="13057" width="4.140625" style="46" customWidth="1"/>
    <col min="13058" max="13058" width="58.85546875" style="46" customWidth="1"/>
    <col min="13059" max="13059" width="32.85546875" style="46" customWidth="1"/>
    <col min="13060" max="13312" width="9.140625" style="46"/>
    <col min="13313" max="13313" width="4.140625" style="46" customWidth="1"/>
    <col min="13314" max="13314" width="58.85546875" style="46" customWidth="1"/>
    <col min="13315" max="13315" width="32.85546875" style="46" customWidth="1"/>
    <col min="13316" max="13568" width="9.140625" style="46"/>
    <col min="13569" max="13569" width="4.140625" style="46" customWidth="1"/>
    <col min="13570" max="13570" width="58.85546875" style="46" customWidth="1"/>
    <col min="13571" max="13571" width="32.85546875" style="46" customWidth="1"/>
    <col min="13572" max="13824" width="9.140625" style="46"/>
    <col min="13825" max="13825" width="4.140625" style="46" customWidth="1"/>
    <col min="13826" max="13826" width="58.85546875" style="46" customWidth="1"/>
    <col min="13827" max="13827" width="32.85546875" style="46" customWidth="1"/>
    <col min="13828" max="14080" width="9.140625" style="46"/>
    <col min="14081" max="14081" width="4.140625" style="46" customWidth="1"/>
    <col min="14082" max="14082" width="58.85546875" style="46" customWidth="1"/>
    <col min="14083" max="14083" width="32.85546875" style="46" customWidth="1"/>
    <col min="14084" max="14336" width="9.140625" style="46"/>
    <col min="14337" max="14337" width="4.140625" style="46" customWidth="1"/>
    <col min="14338" max="14338" width="58.85546875" style="46" customWidth="1"/>
    <col min="14339" max="14339" width="32.85546875" style="46" customWidth="1"/>
    <col min="14340" max="14592" width="9.140625" style="46"/>
    <col min="14593" max="14593" width="4.140625" style="46" customWidth="1"/>
    <col min="14594" max="14594" width="58.85546875" style="46" customWidth="1"/>
    <col min="14595" max="14595" width="32.85546875" style="46" customWidth="1"/>
    <col min="14596" max="14848" width="9.140625" style="46"/>
    <col min="14849" max="14849" width="4.140625" style="46" customWidth="1"/>
    <col min="14850" max="14850" width="58.85546875" style="46" customWidth="1"/>
    <col min="14851" max="14851" width="32.85546875" style="46" customWidth="1"/>
    <col min="14852" max="15104" width="9.140625" style="46"/>
    <col min="15105" max="15105" width="4.140625" style="46" customWidth="1"/>
    <col min="15106" max="15106" width="58.85546875" style="46" customWidth="1"/>
    <col min="15107" max="15107" width="32.85546875" style="46" customWidth="1"/>
    <col min="15108" max="15360" width="9.140625" style="46"/>
    <col min="15361" max="15361" width="4.140625" style="46" customWidth="1"/>
    <col min="15362" max="15362" width="58.85546875" style="46" customWidth="1"/>
    <col min="15363" max="15363" width="32.85546875" style="46" customWidth="1"/>
    <col min="15364" max="15616" width="9.140625" style="46"/>
    <col min="15617" max="15617" width="4.140625" style="46" customWidth="1"/>
    <col min="15618" max="15618" width="58.85546875" style="46" customWidth="1"/>
    <col min="15619" max="15619" width="32.85546875" style="46" customWidth="1"/>
    <col min="15620" max="15872" width="9.140625" style="46"/>
    <col min="15873" max="15873" width="4.140625" style="46" customWidth="1"/>
    <col min="15874" max="15874" width="58.85546875" style="46" customWidth="1"/>
    <col min="15875" max="15875" width="32.85546875" style="46" customWidth="1"/>
    <col min="15876" max="16128" width="9.140625" style="46"/>
    <col min="16129" max="16129" width="4.140625" style="46" customWidth="1"/>
    <col min="16130" max="16130" width="58.85546875" style="46" customWidth="1"/>
    <col min="16131" max="16131" width="32.85546875" style="46" customWidth="1"/>
    <col min="16132" max="16384" width="9.140625" style="46"/>
  </cols>
  <sheetData>
    <row r="1" spans="1:5" x14ac:dyDescent="0.2">
      <c r="A1" s="43"/>
      <c r="B1" s="44"/>
      <c r="C1" s="547" t="s">
        <v>553</v>
      </c>
      <c r="D1" s="547"/>
      <c r="E1" s="44"/>
    </row>
    <row r="2" spans="1:5" ht="51.75" customHeight="1" x14ac:dyDescent="0.2">
      <c r="A2" s="43"/>
      <c r="B2" s="44"/>
      <c r="C2" s="552" t="s">
        <v>463</v>
      </c>
      <c r="D2" s="552"/>
      <c r="E2" s="44"/>
    </row>
    <row r="3" spans="1:5" x14ac:dyDescent="0.2">
      <c r="A3" s="43"/>
      <c r="B3" s="44"/>
      <c r="C3" s="536" t="s">
        <v>426</v>
      </c>
      <c r="D3" s="536"/>
      <c r="E3" s="44"/>
    </row>
    <row r="4" spans="1:5" x14ac:dyDescent="0.2">
      <c r="A4" s="43"/>
      <c r="B4" s="44"/>
      <c r="C4" s="48"/>
      <c r="D4" s="44"/>
      <c r="E4" s="44"/>
    </row>
    <row r="5" spans="1:5" s="62" customFormat="1" ht="102.75" customHeight="1" x14ac:dyDescent="0.25">
      <c r="A5" s="60"/>
      <c r="B5" s="546" t="s">
        <v>539</v>
      </c>
      <c r="C5" s="546"/>
      <c r="D5" s="546"/>
      <c r="E5" s="61"/>
    </row>
    <row r="6" spans="1:5" ht="15" x14ac:dyDescent="0.2">
      <c r="A6" s="43"/>
      <c r="B6" s="49"/>
      <c r="C6" s="49"/>
      <c r="D6" s="44" t="s">
        <v>206</v>
      </c>
      <c r="E6" s="44"/>
    </row>
    <row r="7" spans="1:5" s="51" customFormat="1" ht="27.75" customHeight="1" x14ac:dyDescent="0.25">
      <c r="A7" s="77" t="s">
        <v>172</v>
      </c>
      <c r="B7" s="77" t="s">
        <v>173</v>
      </c>
      <c r="C7" s="205" t="s">
        <v>205</v>
      </c>
      <c r="D7" s="205" t="s">
        <v>541</v>
      </c>
      <c r="E7" s="50"/>
    </row>
    <row r="8" spans="1:5" s="82" customFormat="1" ht="41.25" customHeight="1" x14ac:dyDescent="0.25">
      <c r="A8" s="78">
        <v>1</v>
      </c>
      <c r="B8" s="79" t="s">
        <v>175</v>
      </c>
      <c r="C8" s="80">
        <f>'10.3 Ком.15'!C9</f>
        <v>66780</v>
      </c>
      <c r="D8" s="80">
        <f>C8</f>
        <v>66780</v>
      </c>
      <c r="E8" s="81"/>
    </row>
    <row r="9" spans="1:5" s="82" customFormat="1" ht="41.25" customHeight="1" x14ac:dyDescent="0.25">
      <c r="A9" s="78">
        <v>2</v>
      </c>
      <c r="B9" s="79" t="s">
        <v>176</v>
      </c>
      <c r="C9" s="80">
        <f>'10.3 Ком.15'!C10</f>
        <v>6360</v>
      </c>
      <c r="D9" s="80">
        <f t="shared" ref="D9:D13" si="0">C9</f>
        <v>6360</v>
      </c>
      <c r="E9" s="81"/>
    </row>
    <row r="10" spans="1:5" s="82" customFormat="1" ht="41.25" customHeight="1" x14ac:dyDescent="0.25">
      <c r="A10" s="78">
        <v>3</v>
      </c>
      <c r="B10" s="79" t="s">
        <v>177</v>
      </c>
      <c r="C10" s="80">
        <f>'10.3 Ком.15'!C11</f>
        <v>3180</v>
      </c>
      <c r="D10" s="80">
        <f t="shared" si="0"/>
        <v>3180</v>
      </c>
      <c r="E10" s="81"/>
    </row>
    <row r="11" spans="1:5" s="82" customFormat="1" ht="41.25" customHeight="1" x14ac:dyDescent="0.25">
      <c r="A11" s="78">
        <v>4</v>
      </c>
      <c r="B11" s="79" t="s">
        <v>178</v>
      </c>
      <c r="C11" s="80">
        <f>'10.3 Ком.15'!C12</f>
        <v>9540</v>
      </c>
      <c r="D11" s="80">
        <f t="shared" si="0"/>
        <v>9540</v>
      </c>
      <c r="E11" s="81"/>
    </row>
    <row r="12" spans="1:5" s="82" customFormat="1" ht="41.25" customHeight="1" x14ac:dyDescent="0.25">
      <c r="A12" s="78">
        <v>5</v>
      </c>
      <c r="B12" s="79" t="s">
        <v>179</v>
      </c>
      <c r="C12" s="80">
        <f>'10.3 Ком.15'!C13</f>
        <v>3180</v>
      </c>
      <c r="D12" s="80">
        <f t="shared" si="0"/>
        <v>3180</v>
      </c>
      <c r="E12" s="81"/>
    </row>
    <row r="13" spans="1:5" s="82" customFormat="1" ht="41.25" customHeight="1" x14ac:dyDescent="0.25">
      <c r="A13" s="78">
        <v>6</v>
      </c>
      <c r="B13" s="79" t="s">
        <v>180</v>
      </c>
      <c r="C13" s="80">
        <f>'10.3 Ком.15'!C14</f>
        <v>6360</v>
      </c>
      <c r="D13" s="80">
        <f t="shared" si="0"/>
        <v>6360</v>
      </c>
      <c r="E13" s="81"/>
    </row>
    <row r="14" spans="1:5" s="87" customFormat="1" ht="41.25" customHeight="1" x14ac:dyDescent="0.25">
      <c r="A14" s="83"/>
      <c r="B14" s="84" t="s">
        <v>9</v>
      </c>
      <c r="C14" s="85">
        <f>SUM(C8:C13)</f>
        <v>95400</v>
      </c>
      <c r="D14" s="85">
        <f>SUM(D8:D13)</f>
        <v>95400</v>
      </c>
      <c r="E14" s="86"/>
    </row>
  </sheetData>
  <mergeCells count="4">
    <mergeCell ref="C2:D2"/>
    <mergeCell ref="C1:D1"/>
    <mergeCell ref="B5:D5"/>
    <mergeCell ref="C3:D3"/>
  </mergeCells>
  <pageMargins left="0.70866141732283472" right="0.51181102362204722" top="0.74803149606299213" bottom="0.74803149606299213" header="0.31496062992125984" footer="0.31496062992125984"/>
  <pageSetup paperSize="9" scale="8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C11" sqref="C11"/>
    </sheetView>
  </sheetViews>
  <sheetFormatPr defaultRowHeight="12.75" x14ac:dyDescent="0.2"/>
  <cols>
    <col min="1" max="1" width="4.140625" style="46" customWidth="1"/>
    <col min="2" max="2" width="52.5703125" style="46" customWidth="1"/>
    <col min="3" max="4" width="20.85546875" style="46" customWidth="1"/>
    <col min="5" max="5" width="9.140625" style="46"/>
    <col min="6" max="6" width="9.140625" style="46" customWidth="1"/>
    <col min="7" max="256" width="9.140625" style="46"/>
    <col min="257" max="257" width="4.140625" style="46" customWidth="1"/>
    <col min="258" max="258" width="58.85546875" style="46" customWidth="1"/>
    <col min="259" max="259" width="32.85546875" style="46" customWidth="1"/>
    <col min="260" max="512" width="9.140625" style="46"/>
    <col min="513" max="513" width="4.140625" style="46" customWidth="1"/>
    <col min="514" max="514" width="58.85546875" style="46" customWidth="1"/>
    <col min="515" max="515" width="32.85546875" style="46" customWidth="1"/>
    <col min="516" max="768" width="9.140625" style="46"/>
    <col min="769" max="769" width="4.140625" style="46" customWidth="1"/>
    <col min="770" max="770" width="58.85546875" style="46" customWidth="1"/>
    <col min="771" max="771" width="32.85546875" style="46" customWidth="1"/>
    <col min="772" max="1024" width="9.140625" style="46"/>
    <col min="1025" max="1025" width="4.140625" style="46" customWidth="1"/>
    <col min="1026" max="1026" width="58.85546875" style="46" customWidth="1"/>
    <col min="1027" max="1027" width="32.85546875" style="46" customWidth="1"/>
    <col min="1028" max="1280" width="9.140625" style="46"/>
    <col min="1281" max="1281" width="4.140625" style="46" customWidth="1"/>
    <col min="1282" max="1282" width="58.85546875" style="46" customWidth="1"/>
    <col min="1283" max="1283" width="32.85546875" style="46" customWidth="1"/>
    <col min="1284" max="1536" width="9.140625" style="46"/>
    <col min="1537" max="1537" width="4.140625" style="46" customWidth="1"/>
    <col min="1538" max="1538" width="58.85546875" style="46" customWidth="1"/>
    <col min="1539" max="1539" width="32.85546875" style="46" customWidth="1"/>
    <col min="1540" max="1792" width="9.140625" style="46"/>
    <col min="1793" max="1793" width="4.140625" style="46" customWidth="1"/>
    <col min="1794" max="1794" width="58.85546875" style="46" customWidth="1"/>
    <col min="1795" max="1795" width="32.85546875" style="46" customWidth="1"/>
    <col min="1796" max="2048" width="9.140625" style="46"/>
    <col min="2049" max="2049" width="4.140625" style="46" customWidth="1"/>
    <col min="2050" max="2050" width="58.85546875" style="46" customWidth="1"/>
    <col min="2051" max="2051" width="32.85546875" style="46" customWidth="1"/>
    <col min="2052" max="2304" width="9.140625" style="46"/>
    <col min="2305" max="2305" width="4.140625" style="46" customWidth="1"/>
    <col min="2306" max="2306" width="58.85546875" style="46" customWidth="1"/>
    <col min="2307" max="2307" width="32.85546875" style="46" customWidth="1"/>
    <col min="2308" max="2560" width="9.140625" style="46"/>
    <col min="2561" max="2561" width="4.140625" style="46" customWidth="1"/>
    <col min="2562" max="2562" width="58.85546875" style="46" customWidth="1"/>
    <col min="2563" max="2563" width="32.85546875" style="46" customWidth="1"/>
    <col min="2564" max="2816" width="9.140625" style="46"/>
    <col min="2817" max="2817" width="4.140625" style="46" customWidth="1"/>
    <col min="2818" max="2818" width="58.85546875" style="46" customWidth="1"/>
    <col min="2819" max="2819" width="32.85546875" style="46" customWidth="1"/>
    <col min="2820" max="3072" width="9.140625" style="46"/>
    <col min="3073" max="3073" width="4.140625" style="46" customWidth="1"/>
    <col min="3074" max="3074" width="58.85546875" style="46" customWidth="1"/>
    <col min="3075" max="3075" width="32.85546875" style="46" customWidth="1"/>
    <col min="3076" max="3328" width="9.140625" style="46"/>
    <col min="3329" max="3329" width="4.140625" style="46" customWidth="1"/>
    <col min="3330" max="3330" width="58.85546875" style="46" customWidth="1"/>
    <col min="3331" max="3331" width="32.85546875" style="46" customWidth="1"/>
    <col min="3332" max="3584" width="9.140625" style="46"/>
    <col min="3585" max="3585" width="4.140625" style="46" customWidth="1"/>
    <col min="3586" max="3586" width="58.85546875" style="46" customWidth="1"/>
    <col min="3587" max="3587" width="32.85546875" style="46" customWidth="1"/>
    <col min="3588" max="3840" width="9.140625" style="46"/>
    <col min="3841" max="3841" width="4.140625" style="46" customWidth="1"/>
    <col min="3842" max="3842" width="58.85546875" style="46" customWidth="1"/>
    <col min="3843" max="3843" width="32.85546875" style="46" customWidth="1"/>
    <col min="3844" max="4096" width="9.140625" style="46"/>
    <col min="4097" max="4097" width="4.140625" style="46" customWidth="1"/>
    <col min="4098" max="4098" width="58.85546875" style="46" customWidth="1"/>
    <col min="4099" max="4099" width="32.85546875" style="46" customWidth="1"/>
    <col min="4100" max="4352" width="9.140625" style="46"/>
    <col min="4353" max="4353" width="4.140625" style="46" customWidth="1"/>
    <col min="4354" max="4354" width="58.85546875" style="46" customWidth="1"/>
    <col min="4355" max="4355" width="32.85546875" style="46" customWidth="1"/>
    <col min="4356" max="4608" width="9.140625" style="46"/>
    <col min="4609" max="4609" width="4.140625" style="46" customWidth="1"/>
    <col min="4610" max="4610" width="58.85546875" style="46" customWidth="1"/>
    <col min="4611" max="4611" width="32.85546875" style="46" customWidth="1"/>
    <col min="4612" max="4864" width="9.140625" style="46"/>
    <col min="4865" max="4865" width="4.140625" style="46" customWidth="1"/>
    <col min="4866" max="4866" width="58.85546875" style="46" customWidth="1"/>
    <col min="4867" max="4867" width="32.85546875" style="46" customWidth="1"/>
    <col min="4868" max="5120" width="9.140625" style="46"/>
    <col min="5121" max="5121" width="4.140625" style="46" customWidth="1"/>
    <col min="5122" max="5122" width="58.85546875" style="46" customWidth="1"/>
    <col min="5123" max="5123" width="32.85546875" style="46" customWidth="1"/>
    <col min="5124" max="5376" width="9.140625" style="46"/>
    <col min="5377" max="5377" width="4.140625" style="46" customWidth="1"/>
    <col min="5378" max="5378" width="58.85546875" style="46" customWidth="1"/>
    <col min="5379" max="5379" width="32.85546875" style="46" customWidth="1"/>
    <col min="5380" max="5632" width="9.140625" style="46"/>
    <col min="5633" max="5633" width="4.140625" style="46" customWidth="1"/>
    <col min="5634" max="5634" width="58.85546875" style="46" customWidth="1"/>
    <col min="5635" max="5635" width="32.85546875" style="46" customWidth="1"/>
    <col min="5636" max="5888" width="9.140625" style="46"/>
    <col min="5889" max="5889" width="4.140625" style="46" customWidth="1"/>
    <col min="5890" max="5890" width="58.85546875" style="46" customWidth="1"/>
    <col min="5891" max="5891" width="32.85546875" style="46" customWidth="1"/>
    <col min="5892" max="6144" width="9.140625" style="46"/>
    <col min="6145" max="6145" width="4.140625" style="46" customWidth="1"/>
    <col min="6146" max="6146" width="58.85546875" style="46" customWidth="1"/>
    <col min="6147" max="6147" width="32.85546875" style="46" customWidth="1"/>
    <col min="6148" max="6400" width="9.140625" style="46"/>
    <col min="6401" max="6401" width="4.140625" style="46" customWidth="1"/>
    <col min="6402" max="6402" width="58.85546875" style="46" customWidth="1"/>
    <col min="6403" max="6403" width="32.85546875" style="46" customWidth="1"/>
    <col min="6404" max="6656" width="9.140625" style="46"/>
    <col min="6657" max="6657" width="4.140625" style="46" customWidth="1"/>
    <col min="6658" max="6658" width="58.85546875" style="46" customWidth="1"/>
    <col min="6659" max="6659" width="32.85546875" style="46" customWidth="1"/>
    <col min="6660" max="6912" width="9.140625" style="46"/>
    <col min="6913" max="6913" width="4.140625" style="46" customWidth="1"/>
    <col min="6914" max="6914" width="58.85546875" style="46" customWidth="1"/>
    <col min="6915" max="6915" width="32.85546875" style="46" customWidth="1"/>
    <col min="6916" max="7168" width="9.140625" style="46"/>
    <col min="7169" max="7169" width="4.140625" style="46" customWidth="1"/>
    <col min="7170" max="7170" width="58.85546875" style="46" customWidth="1"/>
    <col min="7171" max="7171" width="32.85546875" style="46" customWidth="1"/>
    <col min="7172" max="7424" width="9.140625" style="46"/>
    <col min="7425" max="7425" width="4.140625" style="46" customWidth="1"/>
    <col min="7426" max="7426" width="58.85546875" style="46" customWidth="1"/>
    <col min="7427" max="7427" width="32.85546875" style="46" customWidth="1"/>
    <col min="7428" max="7680" width="9.140625" style="46"/>
    <col min="7681" max="7681" width="4.140625" style="46" customWidth="1"/>
    <col min="7682" max="7682" width="58.85546875" style="46" customWidth="1"/>
    <col min="7683" max="7683" width="32.85546875" style="46" customWidth="1"/>
    <col min="7684" max="7936" width="9.140625" style="46"/>
    <col min="7937" max="7937" width="4.140625" style="46" customWidth="1"/>
    <col min="7938" max="7938" width="58.85546875" style="46" customWidth="1"/>
    <col min="7939" max="7939" width="32.85546875" style="46" customWidth="1"/>
    <col min="7940" max="8192" width="9.140625" style="46"/>
    <col min="8193" max="8193" width="4.140625" style="46" customWidth="1"/>
    <col min="8194" max="8194" width="58.85546875" style="46" customWidth="1"/>
    <col min="8195" max="8195" width="32.85546875" style="46" customWidth="1"/>
    <col min="8196" max="8448" width="9.140625" style="46"/>
    <col min="8449" max="8449" width="4.140625" style="46" customWidth="1"/>
    <col min="8450" max="8450" width="58.85546875" style="46" customWidth="1"/>
    <col min="8451" max="8451" width="32.85546875" style="46" customWidth="1"/>
    <col min="8452" max="8704" width="9.140625" style="46"/>
    <col min="8705" max="8705" width="4.140625" style="46" customWidth="1"/>
    <col min="8706" max="8706" width="58.85546875" style="46" customWidth="1"/>
    <col min="8707" max="8707" width="32.85546875" style="46" customWidth="1"/>
    <col min="8708" max="8960" width="9.140625" style="46"/>
    <col min="8961" max="8961" width="4.140625" style="46" customWidth="1"/>
    <col min="8962" max="8962" width="58.85546875" style="46" customWidth="1"/>
    <col min="8963" max="8963" width="32.85546875" style="46" customWidth="1"/>
    <col min="8964" max="9216" width="9.140625" style="46"/>
    <col min="9217" max="9217" width="4.140625" style="46" customWidth="1"/>
    <col min="9218" max="9218" width="58.85546875" style="46" customWidth="1"/>
    <col min="9219" max="9219" width="32.85546875" style="46" customWidth="1"/>
    <col min="9220" max="9472" width="9.140625" style="46"/>
    <col min="9473" max="9473" width="4.140625" style="46" customWidth="1"/>
    <col min="9474" max="9474" width="58.85546875" style="46" customWidth="1"/>
    <col min="9475" max="9475" width="32.85546875" style="46" customWidth="1"/>
    <col min="9476" max="9728" width="9.140625" style="46"/>
    <col min="9729" max="9729" width="4.140625" style="46" customWidth="1"/>
    <col min="9730" max="9730" width="58.85546875" style="46" customWidth="1"/>
    <col min="9731" max="9731" width="32.85546875" style="46" customWidth="1"/>
    <col min="9732" max="9984" width="9.140625" style="46"/>
    <col min="9985" max="9985" width="4.140625" style="46" customWidth="1"/>
    <col min="9986" max="9986" width="58.85546875" style="46" customWidth="1"/>
    <col min="9987" max="9987" width="32.85546875" style="46" customWidth="1"/>
    <col min="9988" max="10240" width="9.140625" style="46"/>
    <col min="10241" max="10241" width="4.140625" style="46" customWidth="1"/>
    <col min="10242" max="10242" width="58.85546875" style="46" customWidth="1"/>
    <col min="10243" max="10243" width="32.85546875" style="46" customWidth="1"/>
    <col min="10244" max="10496" width="9.140625" style="46"/>
    <col min="10497" max="10497" width="4.140625" style="46" customWidth="1"/>
    <col min="10498" max="10498" width="58.85546875" style="46" customWidth="1"/>
    <col min="10499" max="10499" width="32.85546875" style="46" customWidth="1"/>
    <col min="10500" max="10752" width="9.140625" style="46"/>
    <col min="10753" max="10753" width="4.140625" style="46" customWidth="1"/>
    <col min="10754" max="10754" width="58.85546875" style="46" customWidth="1"/>
    <col min="10755" max="10755" width="32.85546875" style="46" customWidth="1"/>
    <col min="10756" max="11008" width="9.140625" style="46"/>
    <col min="11009" max="11009" width="4.140625" style="46" customWidth="1"/>
    <col min="11010" max="11010" width="58.85546875" style="46" customWidth="1"/>
    <col min="11011" max="11011" width="32.85546875" style="46" customWidth="1"/>
    <col min="11012" max="11264" width="9.140625" style="46"/>
    <col min="11265" max="11265" width="4.140625" style="46" customWidth="1"/>
    <col min="11266" max="11266" width="58.85546875" style="46" customWidth="1"/>
    <col min="11267" max="11267" width="32.85546875" style="46" customWidth="1"/>
    <col min="11268" max="11520" width="9.140625" style="46"/>
    <col min="11521" max="11521" width="4.140625" style="46" customWidth="1"/>
    <col min="11522" max="11522" width="58.85546875" style="46" customWidth="1"/>
    <col min="11523" max="11523" width="32.85546875" style="46" customWidth="1"/>
    <col min="11524" max="11776" width="9.140625" style="46"/>
    <col min="11777" max="11777" width="4.140625" style="46" customWidth="1"/>
    <col min="11778" max="11778" width="58.85546875" style="46" customWidth="1"/>
    <col min="11779" max="11779" width="32.85546875" style="46" customWidth="1"/>
    <col min="11780" max="12032" width="9.140625" style="46"/>
    <col min="12033" max="12033" width="4.140625" style="46" customWidth="1"/>
    <col min="12034" max="12034" width="58.85546875" style="46" customWidth="1"/>
    <col min="12035" max="12035" width="32.85546875" style="46" customWidth="1"/>
    <col min="12036" max="12288" width="9.140625" style="46"/>
    <col min="12289" max="12289" width="4.140625" style="46" customWidth="1"/>
    <col min="12290" max="12290" width="58.85546875" style="46" customWidth="1"/>
    <col min="12291" max="12291" width="32.85546875" style="46" customWidth="1"/>
    <col min="12292" max="12544" width="9.140625" style="46"/>
    <col min="12545" max="12545" width="4.140625" style="46" customWidth="1"/>
    <col min="12546" max="12546" width="58.85546875" style="46" customWidth="1"/>
    <col min="12547" max="12547" width="32.85546875" style="46" customWidth="1"/>
    <col min="12548" max="12800" width="9.140625" style="46"/>
    <col min="12801" max="12801" width="4.140625" style="46" customWidth="1"/>
    <col min="12802" max="12802" width="58.85546875" style="46" customWidth="1"/>
    <col min="12803" max="12803" width="32.85546875" style="46" customWidth="1"/>
    <col min="12804" max="13056" width="9.140625" style="46"/>
    <col min="13057" max="13057" width="4.140625" style="46" customWidth="1"/>
    <col min="13058" max="13058" width="58.85546875" style="46" customWidth="1"/>
    <col min="13059" max="13059" width="32.85546875" style="46" customWidth="1"/>
    <col min="13060" max="13312" width="9.140625" style="46"/>
    <col min="13313" max="13313" width="4.140625" style="46" customWidth="1"/>
    <col min="13314" max="13314" width="58.85546875" style="46" customWidth="1"/>
    <col min="13315" max="13315" width="32.85546875" style="46" customWidth="1"/>
    <col min="13316" max="13568" width="9.140625" style="46"/>
    <col min="13569" max="13569" width="4.140625" style="46" customWidth="1"/>
    <col min="13570" max="13570" width="58.85546875" style="46" customWidth="1"/>
    <col min="13571" max="13571" width="32.85546875" style="46" customWidth="1"/>
    <col min="13572" max="13824" width="9.140625" style="46"/>
    <col min="13825" max="13825" width="4.140625" style="46" customWidth="1"/>
    <col min="13826" max="13826" width="58.85546875" style="46" customWidth="1"/>
    <col min="13827" max="13827" width="32.85546875" style="46" customWidth="1"/>
    <col min="13828" max="14080" width="9.140625" style="46"/>
    <col min="14081" max="14081" width="4.140625" style="46" customWidth="1"/>
    <col min="14082" max="14082" width="58.85546875" style="46" customWidth="1"/>
    <col min="14083" max="14083" width="32.85546875" style="46" customWidth="1"/>
    <col min="14084" max="14336" width="9.140625" style="46"/>
    <col min="14337" max="14337" width="4.140625" style="46" customWidth="1"/>
    <col min="14338" max="14338" width="58.85546875" style="46" customWidth="1"/>
    <col min="14339" max="14339" width="32.85546875" style="46" customWidth="1"/>
    <col min="14340" max="14592" width="9.140625" style="46"/>
    <col min="14593" max="14593" width="4.140625" style="46" customWidth="1"/>
    <col min="14594" max="14594" width="58.85546875" style="46" customWidth="1"/>
    <col min="14595" max="14595" width="32.85546875" style="46" customWidth="1"/>
    <col min="14596" max="14848" width="9.140625" style="46"/>
    <col min="14849" max="14849" width="4.140625" style="46" customWidth="1"/>
    <col min="14850" max="14850" width="58.85546875" style="46" customWidth="1"/>
    <col min="14851" max="14851" width="32.85546875" style="46" customWidth="1"/>
    <col min="14852" max="15104" width="9.140625" style="46"/>
    <col min="15105" max="15105" width="4.140625" style="46" customWidth="1"/>
    <col min="15106" max="15106" width="58.85546875" style="46" customWidth="1"/>
    <col min="15107" max="15107" width="32.85546875" style="46" customWidth="1"/>
    <col min="15108" max="15360" width="9.140625" style="46"/>
    <col min="15361" max="15361" width="4.140625" style="46" customWidth="1"/>
    <col min="15362" max="15362" width="58.85546875" style="46" customWidth="1"/>
    <col min="15363" max="15363" width="32.85546875" style="46" customWidth="1"/>
    <col min="15364" max="15616" width="9.140625" style="46"/>
    <col min="15617" max="15617" width="4.140625" style="46" customWidth="1"/>
    <col min="15618" max="15618" width="58.85546875" style="46" customWidth="1"/>
    <col min="15619" max="15619" width="32.85546875" style="46" customWidth="1"/>
    <col min="15620" max="15872" width="9.140625" style="46"/>
    <col min="15873" max="15873" width="4.140625" style="46" customWidth="1"/>
    <col min="15874" max="15874" width="58.85546875" style="46" customWidth="1"/>
    <col min="15875" max="15875" width="32.85546875" style="46" customWidth="1"/>
    <col min="15876" max="16128" width="9.140625" style="46"/>
    <col min="16129" max="16129" width="4.140625" style="46" customWidth="1"/>
    <col min="16130" max="16130" width="58.85546875" style="46" customWidth="1"/>
    <col min="16131" max="16131" width="32.85546875" style="46" customWidth="1"/>
    <col min="16132" max="16384" width="9.140625" style="46"/>
  </cols>
  <sheetData>
    <row r="1" spans="1:5" x14ac:dyDescent="0.2">
      <c r="A1" s="43"/>
      <c r="B1" s="44"/>
      <c r="C1" s="547" t="s">
        <v>553</v>
      </c>
      <c r="D1" s="547"/>
      <c r="E1" s="44"/>
    </row>
    <row r="2" spans="1:5" ht="51.75" customHeight="1" x14ac:dyDescent="0.2">
      <c r="A2" s="43"/>
      <c r="B2" s="44"/>
      <c r="C2" s="552" t="s">
        <v>463</v>
      </c>
      <c r="D2" s="552"/>
      <c r="E2" s="44"/>
    </row>
    <row r="3" spans="1:5" x14ac:dyDescent="0.2">
      <c r="A3" s="43"/>
      <c r="B3" s="44"/>
      <c r="C3" s="536" t="s">
        <v>427</v>
      </c>
      <c r="D3" s="536"/>
      <c r="E3" s="44"/>
    </row>
    <row r="4" spans="1:5" x14ac:dyDescent="0.2">
      <c r="A4" s="43"/>
      <c r="B4" s="44"/>
      <c r="C4" s="48"/>
      <c r="D4" s="44"/>
      <c r="E4" s="44"/>
    </row>
    <row r="5" spans="1:5" s="62" customFormat="1" ht="102.75" customHeight="1" x14ac:dyDescent="0.25">
      <c r="A5" s="60"/>
      <c r="B5" s="546" t="s">
        <v>538</v>
      </c>
      <c r="C5" s="546"/>
      <c r="D5" s="546"/>
      <c r="E5" s="61"/>
    </row>
    <row r="6" spans="1:5" ht="15" x14ac:dyDescent="0.2">
      <c r="A6" s="43"/>
      <c r="B6" s="49"/>
      <c r="C6" s="49"/>
      <c r="D6" s="44" t="s">
        <v>206</v>
      </c>
      <c r="E6" s="44"/>
    </row>
    <row r="7" spans="1:5" s="51" customFormat="1" ht="28.5" customHeight="1" x14ac:dyDescent="0.25">
      <c r="A7" s="77" t="s">
        <v>172</v>
      </c>
      <c r="B7" s="77" t="s">
        <v>173</v>
      </c>
      <c r="C7" s="205" t="s">
        <v>205</v>
      </c>
      <c r="D7" s="205" t="s">
        <v>541</v>
      </c>
      <c r="E7" s="50"/>
    </row>
    <row r="8" spans="1:5" s="82" customFormat="1" ht="41.25" customHeight="1" x14ac:dyDescent="0.25">
      <c r="A8" s="78">
        <v>1</v>
      </c>
      <c r="B8" s="79" t="s">
        <v>175</v>
      </c>
      <c r="C8" s="80">
        <v>434142</v>
      </c>
      <c r="D8" s="80">
        <v>414947</v>
      </c>
      <c r="E8" s="81"/>
    </row>
    <row r="9" spans="1:5" s="82" customFormat="1" ht="41.25" customHeight="1" x14ac:dyDescent="0.25">
      <c r="A9" s="78">
        <v>2</v>
      </c>
      <c r="B9" s="79" t="s">
        <v>176</v>
      </c>
      <c r="C9" s="80">
        <v>57886</v>
      </c>
      <c r="D9" s="80">
        <v>55326</v>
      </c>
      <c r="E9" s="81"/>
    </row>
    <row r="10" spans="1:5" s="82" customFormat="1" ht="41.25" customHeight="1" x14ac:dyDescent="0.25">
      <c r="A10" s="78">
        <v>3</v>
      </c>
      <c r="B10" s="79" t="s">
        <v>177</v>
      </c>
      <c r="C10" s="80">
        <v>57886</v>
      </c>
      <c r="D10" s="80">
        <v>55326</v>
      </c>
      <c r="E10" s="81"/>
    </row>
    <row r="11" spans="1:5" s="82" customFormat="1" ht="41.25" customHeight="1" x14ac:dyDescent="0.25">
      <c r="A11" s="78">
        <v>4</v>
      </c>
      <c r="B11" s="79" t="s">
        <v>178</v>
      </c>
      <c r="C11" s="80">
        <v>144713</v>
      </c>
      <c r="D11" s="80">
        <v>138316</v>
      </c>
      <c r="E11" s="81"/>
    </row>
    <row r="12" spans="1:5" s="82" customFormat="1" ht="41.25" customHeight="1" x14ac:dyDescent="0.25">
      <c r="A12" s="78">
        <v>5</v>
      </c>
      <c r="B12" s="79" t="s">
        <v>179</v>
      </c>
      <c r="C12" s="80">
        <v>57886</v>
      </c>
      <c r="D12" s="80">
        <v>55326</v>
      </c>
      <c r="E12" s="81"/>
    </row>
    <row r="13" spans="1:5" s="82" customFormat="1" ht="41.25" customHeight="1" x14ac:dyDescent="0.25">
      <c r="A13" s="78">
        <v>6</v>
      </c>
      <c r="B13" s="79" t="s">
        <v>180</v>
      </c>
      <c r="C13" s="80">
        <v>57886</v>
      </c>
      <c r="D13" s="80">
        <v>55326</v>
      </c>
      <c r="E13" s="81"/>
    </row>
    <row r="14" spans="1:5" s="87" customFormat="1" ht="41.25" customHeight="1" x14ac:dyDescent="0.25">
      <c r="A14" s="83"/>
      <c r="B14" s="84" t="s">
        <v>9</v>
      </c>
      <c r="C14" s="85">
        <f>SUM(C8:C13)</f>
        <v>810399</v>
      </c>
      <c r="D14" s="85">
        <f>SUM(D8:D13)</f>
        <v>774567</v>
      </c>
      <c r="E14" s="86"/>
    </row>
  </sheetData>
  <mergeCells count="4">
    <mergeCell ref="C2:D2"/>
    <mergeCell ref="C1:D1"/>
    <mergeCell ref="B5:D5"/>
    <mergeCell ref="C3:D3"/>
  </mergeCells>
  <pageMargins left="0.9055118110236221" right="0.51181102362204722" top="0.74803149606299213" bottom="0.74803149606299213" header="0.31496062992125984" footer="0.31496062992125984"/>
  <pageSetup paperSize="9" scale="85"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workbookViewId="0">
      <selection activeCell="B15" sqref="B15"/>
    </sheetView>
  </sheetViews>
  <sheetFormatPr defaultRowHeight="15" x14ac:dyDescent="0.25"/>
  <cols>
    <col min="1" max="1" width="6.5703125" customWidth="1"/>
    <col min="2" max="2" width="57.7109375" customWidth="1"/>
    <col min="3" max="4" width="16.85546875" customWidth="1"/>
  </cols>
  <sheetData>
    <row r="1" spans="1:13" s="113" customFormat="1" ht="22.5" customHeight="1" x14ac:dyDescent="0.2">
      <c r="C1" s="535" t="s">
        <v>576</v>
      </c>
      <c r="D1" s="535"/>
    </row>
    <row r="2" spans="1:13" s="113" customFormat="1" ht="59.25" customHeight="1" x14ac:dyDescent="0.2">
      <c r="C2" s="552" t="s">
        <v>463</v>
      </c>
      <c r="D2" s="552"/>
    </row>
    <row r="3" spans="1:13" s="113" customFormat="1" ht="11.25" x14ac:dyDescent="0.2">
      <c r="C3" s="536" t="s">
        <v>428</v>
      </c>
      <c r="D3" s="536"/>
    </row>
    <row r="4" spans="1:13" s="115" customFormat="1" ht="135" customHeight="1" x14ac:dyDescent="0.25">
      <c r="A4" s="116"/>
      <c r="B4" s="553" t="s">
        <v>537</v>
      </c>
      <c r="C4" s="553"/>
      <c r="D4" s="553"/>
      <c r="E4" s="117"/>
      <c r="F4" s="117"/>
      <c r="G4" s="117"/>
      <c r="H4" s="117"/>
      <c r="I4" s="117"/>
      <c r="J4" s="117"/>
      <c r="K4" s="118"/>
      <c r="L4" s="118"/>
      <c r="M4" s="118"/>
    </row>
    <row r="5" spans="1:13" s="115" customFormat="1" ht="36" customHeight="1" x14ac:dyDescent="0.25">
      <c r="A5" s="116"/>
      <c r="B5" s="119"/>
      <c r="C5" s="119"/>
      <c r="D5" s="119"/>
      <c r="E5" s="119"/>
      <c r="F5" s="119"/>
      <c r="G5" s="119"/>
      <c r="H5" s="119"/>
      <c r="I5" s="119"/>
      <c r="J5" s="120"/>
      <c r="K5" s="118"/>
      <c r="L5" s="118"/>
      <c r="M5" s="118"/>
    </row>
    <row r="6" spans="1:13" s="51" customFormat="1" ht="41.25" customHeight="1" x14ac:dyDescent="0.25">
      <c r="A6" s="205" t="s">
        <v>172</v>
      </c>
      <c r="B6" s="214" t="s">
        <v>173</v>
      </c>
      <c r="C6" s="205" t="s">
        <v>205</v>
      </c>
      <c r="D6" s="205" t="s">
        <v>541</v>
      </c>
      <c r="E6" s="50"/>
    </row>
    <row r="7" spans="1:13" s="115" customFormat="1" ht="30.75" customHeight="1" x14ac:dyDescent="0.2">
      <c r="A7" s="52">
        <v>1</v>
      </c>
      <c r="B7" s="53" t="s">
        <v>175</v>
      </c>
      <c r="C7" s="54">
        <v>200</v>
      </c>
      <c r="D7" s="54">
        <v>200</v>
      </c>
      <c r="E7" s="118"/>
    </row>
    <row r="8" spans="1:13" s="59" customFormat="1" ht="30.75" customHeight="1" x14ac:dyDescent="0.25">
      <c r="A8" s="55"/>
      <c r="B8" s="56" t="s">
        <v>9</v>
      </c>
      <c r="C8" s="57">
        <f>SUM(C7:C7)</f>
        <v>200</v>
      </c>
      <c r="D8" s="57">
        <f>SUM(D7:D7)</f>
        <v>200</v>
      </c>
      <c r="E8" s="58"/>
    </row>
    <row r="9" spans="1:13" s="115" customFormat="1" ht="15.75" x14ac:dyDescent="0.25">
      <c r="A9" s="121"/>
      <c r="B9" s="121"/>
      <c r="C9" s="122"/>
      <c r="D9" s="122"/>
      <c r="E9" s="122"/>
      <c r="F9" s="122"/>
      <c r="G9" s="122"/>
      <c r="H9" s="122"/>
      <c r="I9" s="122"/>
      <c r="J9" s="118"/>
      <c r="K9" s="118"/>
      <c r="L9" s="118"/>
      <c r="M9" s="118"/>
    </row>
  </sheetData>
  <mergeCells count="4">
    <mergeCell ref="C3:D3"/>
    <mergeCell ref="C2:D2"/>
    <mergeCell ref="C1:D1"/>
    <mergeCell ref="B4:D4"/>
  </mergeCells>
  <pageMargins left="0.9055118110236221" right="0.70866141732283472" top="0.74803149606299213" bottom="0.74803149606299213" header="0.31496062992125984" footer="0.31496062992125984"/>
  <pageSetup paperSize="9" scale="85"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25"/>
  <sheetViews>
    <sheetView workbookViewId="0">
      <pane xSplit="7" ySplit="5" topLeftCell="H6" activePane="bottomRight" state="frozen"/>
      <selection pane="topRight" activeCell="H1" sqref="H1"/>
      <selection pane="bottomLeft" activeCell="A8" sqref="A8"/>
      <selection pane="bottomRight" activeCell="B8" sqref="B8:C8"/>
    </sheetView>
  </sheetViews>
  <sheetFormatPr defaultRowHeight="12.75" x14ac:dyDescent="0.25"/>
  <cols>
    <col min="1" max="1" width="26.140625" style="165" customWidth="1"/>
    <col min="2" max="2" width="21.42578125" style="165" customWidth="1"/>
    <col min="3" max="3" width="28.7109375" style="165" customWidth="1"/>
    <col min="4" max="7" width="16.140625" style="165" hidden="1" customWidth="1"/>
    <col min="8" max="8" width="19" style="165" hidden="1" customWidth="1"/>
    <col min="9" max="9" width="16.42578125" style="165" hidden="1" customWidth="1"/>
    <col min="10" max="10" width="18.28515625" style="165" hidden="1" customWidth="1"/>
    <col min="11" max="11" width="16.42578125" style="165" hidden="1" customWidth="1"/>
    <col min="12" max="12" width="25.7109375" style="165" customWidth="1"/>
    <col min="13" max="234" width="9.140625" style="165"/>
    <col min="235" max="235" width="26" style="165" customWidth="1"/>
    <col min="236" max="236" width="17.140625" style="165" customWidth="1"/>
    <col min="237" max="237" width="47.42578125" style="165" customWidth="1"/>
    <col min="238" max="238" width="15.5703125" style="165" customWidth="1"/>
    <col min="239" max="239" width="12.7109375" style="165" customWidth="1"/>
    <col min="240" max="490" width="9.140625" style="165"/>
    <col min="491" max="491" width="26" style="165" customWidth="1"/>
    <col min="492" max="492" width="17.140625" style="165" customWidth="1"/>
    <col min="493" max="493" width="47.42578125" style="165" customWidth="1"/>
    <col min="494" max="494" width="15.5703125" style="165" customWidth="1"/>
    <col min="495" max="495" width="12.7109375" style="165" customWidth="1"/>
    <col min="496" max="746" width="9.140625" style="165"/>
    <col min="747" max="747" width="26" style="165" customWidth="1"/>
    <col min="748" max="748" width="17.140625" style="165" customWidth="1"/>
    <col min="749" max="749" width="47.42578125" style="165" customWidth="1"/>
    <col min="750" max="750" width="15.5703125" style="165" customWidth="1"/>
    <col min="751" max="751" width="12.7109375" style="165" customWidth="1"/>
    <col min="752" max="1002" width="9.140625" style="165"/>
    <col min="1003" max="1003" width="26" style="165" customWidth="1"/>
    <col min="1004" max="1004" width="17.140625" style="165" customWidth="1"/>
    <col min="1005" max="1005" width="47.42578125" style="165" customWidth="1"/>
    <col min="1006" max="1006" width="15.5703125" style="165" customWidth="1"/>
    <col min="1007" max="1007" width="12.7109375" style="165" customWidth="1"/>
    <col min="1008" max="1258" width="9.140625" style="165"/>
    <col min="1259" max="1259" width="26" style="165" customWidth="1"/>
    <col min="1260" max="1260" width="17.140625" style="165" customWidth="1"/>
    <col min="1261" max="1261" width="47.42578125" style="165" customWidth="1"/>
    <col min="1262" max="1262" width="15.5703125" style="165" customWidth="1"/>
    <col min="1263" max="1263" width="12.7109375" style="165" customWidth="1"/>
    <col min="1264" max="1514" width="9.140625" style="165"/>
    <col min="1515" max="1515" width="26" style="165" customWidth="1"/>
    <col min="1516" max="1516" width="17.140625" style="165" customWidth="1"/>
    <col min="1517" max="1517" width="47.42578125" style="165" customWidth="1"/>
    <col min="1518" max="1518" width="15.5703125" style="165" customWidth="1"/>
    <col min="1519" max="1519" width="12.7109375" style="165" customWidth="1"/>
    <col min="1520" max="1770" width="9.140625" style="165"/>
    <col min="1771" max="1771" width="26" style="165" customWidth="1"/>
    <col min="1772" max="1772" width="17.140625" style="165" customWidth="1"/>
    <col min="1773" max="1773" width="47.42578125" style="165" customWidth="1"/>
    <col min="1774" max="1774" width="15.5703125" style="165" customWidth="1"/>
    <col min="1775" max="1775" width="12.7109375" style="165" customWidth="1"/>
    <col min="1776" max="2026" width="9.140625" style="165"/>
    <col min="2027" max="2027" width="26" style="165" customWidth="1"/>
    <col min="2028" max="2028" width="17.140625" style="165" customWidth="1"/>
    <col min="2029" max="2029" width="47.42578125" style="165" customWidth="1"/>
    <col min="2030" max="2030" width="15.5703125" style="165" customWidth="1"/>
    <col min="2031" max="2031" width="12.7109375" style="165" customWidth="1"/>
    <col min="2032" max="2282" width="9.140625" style="165"/>
    <col min="2283" max="2283" width="26" style="165" customWidth="1"/>
    <col min="2284" max="2284" width="17.140625" style="165" customWidth="1"/>
    <col min="2285" max="2285" width="47.42578125" style="165" customWidth="1"/>
    <col min="2286" max="2286" width="15.5703125" style="165" customWidth="1"/>
    <col min="2287" max="2287" width="12.7109375" style="165" customWidth="1"/>
    <col min="2288" max="2538" width="9.140625" style="165"/>
    <col min="2539" max="2539" width="26" style="165" customWidth="1"/>
    <col min="2540" max="2540" width="17.140625" style="165" customWidth="1"/>
    <col min="2541" max="2541" width="47.42578125" style="165" customWidth="1"/>
    <col min="2542" max="2542" width="15.5703125" style="165" customWidth="1"/>
    <col min="2543" max="2543" width="12.7109375" style="165" customWidth="1"/>
    <col min="2544" max="2794" width="9.140625" style="165"/>
    <col min="2795" max="2795" width="26" style="165" customWidth="1"/>
    <col min="2796" max="2796" width="17.140625" style="165" customWidth="1"/>
    <col min="2797" max="2797" width="47.42578125" style="165" customWidth="1"/>
    <col min="2798" max="2798" width="15.5703125" style="165" customWidth="1"/>
    <col min="2799" max="2799" width="12.7109375" style="165" customWidth="1"/>
    <col min="2800" max="3050" width="9.140625" style="165"/>
    <col min="3051" max="3051" width="26" style="165" customWidth="1"/>
    <col min="3052" max="3052" width="17.140625" style="165" customWidth="1"/>
    <col min="3053" max="3053" width="47.42578125" style="165" customWidth="1"/>
    <col min="3054" max="3054" width="15.5703125" style="165" customWidth="1"/>
    <col min="3055" max="3055" width="12.7109375" style="165" customWidth="1"/>
    <col min="3056" max="3306" width="9.140625" style="165"/>
    <col min="3307" max="3307" width="26" style="165" customWidth="1"/>
    <col min="3308" max="3308" width="17.140625" style="165" customWidth="1"/>
    <col min="3309" max="3309" width="47.42578125" style="165" customWidth="1"/>
    <col min="3310" max="3310" width="15.5703125" style="165" customWidth="1"/>
    <col min="3311" max="3311" width="12.7109375" style="165" customWidth="1"/>
    <col min="3312" max="3562" width="9.140625" style="165"/>
    <col min="3563" max="3563" width="26" style="165" customWidth="1"/>
    <col min="3564" max="3564" width="17.140625" style="165" customWidth="1"/>
    <col min="3565" max="3565" width="47.42578125" style="165" customWidth="1"/>
    <col min="3566" max="3566" width="15.5703125" style="165" customWidth="1"/>
    <col min="3567" max="3567" width="12.7109375" style="165" customWidth="1"/>
    <col min="3568" max="3818" width="9.140625" style="165"/>
    <col min="3819" max="3819" width="26" style="165" customWidth="1"/>
    <col min="3820" max="3820" width="17.140625" style="165" customWidth="1"/>
    <col min="3821" max="3821" width="47.42578125" style="165" customWidth="1"/>
    <col min="3822" max="3822" width="15.5703125" style="165" customWidth="1"/>
    <col min="3823" max="3823" width="12.7109375" style="165" customWidth="1"/>
    <col min="3824" max="4074" width="9.140625" style="165"/>
    <col min="4075" max="4075" width="26" style="165" customWidth="1"/>
    <col min="4076" max="4076" width="17.140625" style="165" customWidth="1"/>
    <col min="4077" max="4077" width="47.42578125" style="165" customWidth="1"/>
    <col min="4078" max="4078" width="15.5703125" style="165" customWidth="1"/>
    <col min="4079" max="4079" width="12.7109375" style="165" customWidth="1"/>
    <col min="4080" max="4330" width="9.140625" style="165"/>
    <col min="4331" max="4331" width="26" style="165" customWidth="1"/>
    <col min="4332" max="4332" width="17.140625" style="165" customWidth="1"/>
    <col min="4333" max="4333" width="47.42578125" style="165" customWidth="1"/>
    <col min="4334" max="4334" width="15.5703125" style="165" customWidth="1"/>
    <col min="4335" max="4335" width="12.7109375" style="165" customWidth="1"/>
    <col min="4336" max="4586" width="9.140625" style="165"/>
    <col min="4587" max="4587" width="26" style="165" customWidth="1"/>
    <col min="4588" max="4588" width="17.140625" style="165" customWidth="1"/>
    <col min="4589" max="4589" width="47.42578125" style="165" customWidth="1"/>
    <col min="4590" max="4590" width="15.5703125" style="165" customWidth="1"/>
    <col min="4591" max="4591" width="12.7109375" style="165" customWidth="1"/>
    <col min="4592" max="4842" width="9.140625" style="165"/>
    <col min="4843" max="4843" width="26" style="165" customWidth="1"/>
    <col min="4844" max="4844" width="17.140625" style="165" customWidth="1"/>
    <col min="4845" max="4845" width="47.42578125" style="165" customWidth="1"/>
    <col min="4846" max="4846" width="15.5703125" style="165" customWidth="1"/>
    <col min="4847" max="4847" width="12.7109375" style="165" customWidth="1"/>
    <col min="4848" max="5098" width="9.140625" style="165"/>
    <col min="5099" max="5099" width="26" style="165" customWidth="1"/>
    <col min="5100" max="5100" width="17.140625" style="165" customWidth="1"/>
    <col min="5101" max="5101" width="47.42578125" style="165" customWidth="1"/>
    <col min="5102" max="5102" width="15.5703125" style="165" customWidth="1"/>
    <col min="5103" max="5103" width="12.7109375" style="165" customWidth="1"/>
    <col min="5104" max="5354" width="9.140625" style="165"/>
    <col min="5355" max="5355" width="26" style="165" customWidth="1"/>
    <col min="5356" max="5356" width="17.140625" style="165" customWidth="1"/>
    <col min="5357" max="5357" width="47.42578125" style="165" customWidth="1"/>
    <col min="5358" max="5358" width="15.5703125" style="165" customWidth="1"/>
    <col min="5359" max="5359" width="12.7109375" style="165" customWidth="1"/>
    <col min="5360" max="5610" width="9.140625" style="165"/>
    <col min="5611" max="5611" width="26" style="165" customWidth="1"/>
    <col min="5612" max="5612" width="17.140625" style="165" customWidth="1"/>
    <col min="5613" max="5613" width="47.42578125" style="165" customWidth="1"/>
    <col min="5614" max="5614" width="15.5703125" style="165" customWidth="1"/>
    <col min="5615" max="5615" width="12.7109375" style="165" customWidth="1"/>
    <col min="5616" max="5866" width="9.140625" style="165"/>
    <col min="5867" max="5867" width="26" style="165" customWidth="1"/>
    <col min="5868" max="5868" width="17.140625" style="165" customWidth="1"/>
    <col min="5869" max="5869" width="47.42578125" style="165" customWidth="1"/>
    <col min="5870" max="5870" width="15.5703125" style="165" customWidth="1"/>
    <col min="5871" max="5871" width="12.7109375" style="165" customWidth="1"/>
    <col min="5872" max="6122" width="9.140625" style="165"/>
    <col min="6123" max="6123" width="26" style="165" customWidth="1"/>
    <col min="6124" max="6124" width="17.140625" style="165" customWidth="1"/>
    <col min="6125" max="6125" width="47.42578125" style="165" customWidth="1"/>
    <col min="6126" max="6126" width="15.5703125" style="165" customWidth="1"/>
    <col min="6127" max="6127" width="12.7109375" style="165" customWidth="1"/>
    <col min="6128" max="6378" width="9.140625" style="165"/>
    <col min="6379" max="6379" width="26" style="165" customWidth="1"/>
    <col min="6380" max="6380" width="17.140625" style="165" customWidth="1"/>
    <col min="6381" max="6381" width="47.42578125" style="165" customWidth="1"/>
    <col min="6382" max="6382" width="15.5703125" style="165" customWidth="1"/>
    <col min="6383" max="6383" width="12.7109375" style="165" customWidth="1"/>
    <col min="6384" max="6634" width="9.140625" style="165"/>
    <col min="6635" max="6635" width="26" style="165" customWidth="1"/>
    <col min="6636" max="6636" width="17.140625" style="165" customWidth="1"/>
    <col min="6637" max="6637" width="47.42578125" style="165" customWidth="1"/>
    <col min="6638" max="6638" width="15.5703125" style="165" customWidth="1"/>
    <col min="6639" max="6639" width="12.7109375" style="165" customWidth="1"/>
    <col min="6640" max="6890" width="9.140625" style="165"/>
    <col min="6891" max="6891" width="26" style="165" customWidth="1"/>
    <col min="6892" max="6892" width="17.140625" style="165" customWidth="1"/>
    <col min="6893" max="6893" width="47.42578125" style="165" customWidth="1"/>
    <col min="6894" max="6894" width="15.5703125" style="165" customWidth="1"/>
    <col min="6895" max="6895" width="12.7109375" style="165" customWidth="1"/>
    <col min="6896" max="7146" width="9.140625" style="165"/>
    <col min="7147" max="7147" width="26" style="165" customWidth="1"/>
    <col min="7148" max="7148" width="17.140625" style="165" customWidth="1"/>
    <col min="7149" max="7149" width="47.42578125" style="165" customWidth="1"/>
    <col min="7150" max="7150" width="15.5703125" style="165" customWidth="1"/>
    <col min="7151" max="7151" width="12.7109375" style="165" customWidth="1"/>
    <col min="7152" max="7402" width="9.140625" style="165"/>
    <col min="7403" max="7403" width="26" style="165" customWidth="1"/>
    <col min="7404" max="7404" width="17.140625" style="165" customWidth="1"/>
    <col min="7405" max="7405" width="47.42578125" style="165" customWidth="1"/>
    <col min="7406" max="7406" width="15.5703125" style="165" customWidth="1"/>
    <col min="7407" max="7407" width="12.7109375" style="165" customWidth="1"/>
    <col min="7408" max="7658" width="9.140625" style="165"/>
    <col min="7659" max="7659" width="26" style="165" customWidth="1"/>
    <col min="7660" max="7660" width="17.140625" style="165" customWidth="1"/>
    <col min="7661" max="7661" width="47.42578125" style="165" customWidth="1"/>
    <col min="7662" max="7662" width="15.5703125" style="165" customWidth="1"/>
    <col min="7663" max="7663" width="12.7109375" style="165" customWidth="1"/>
    <col min="7664" max="7914" width="9.140625" style="165"/>
    <col min="7915" max="7915" width="26" style="165" customWidth="1"/>
    <col min="7916" max="7916" width="17.140625" style="165" customWidth="1"/>
    <col min="7917" max="7917" width="47.42578125" style="165" customWidth="1"/>
    <col min="7918" max="7918" width="15.5703125" style="165" customWidth="1"/>
    <col min="7919" max="7919" width="12.7109375" style="165" customWidth="1"/>
    <col min="7920" max="8170" width="9.140625" style="165"/>
    <col min="8171" max="8171" width="26" style="165" customWidth="1"/>
    <col min="8172" max="8172" width="17.140625" style="165" customWidth="1"/>
    <col min="8173" max="8173" width="47.42578125" style="165" customWidth="1"/>
    <col min="8174" max="8174" width="15.5703125" style="165" customWidth="1"/>
    <col min="8175" max="8175" width="12.7109375" style="165" customWidth="1"/>
    <col min="8176" max="8426" width="9.140625" style="165"/>
    <col min="8427" max="8427" width="26" style="165" customWidth="1"/>
    <col min="8428" max="8428" width="17.140625" style="165" customWidth="1"/>
    <col min="8429" max="8429" width="47.42578125" style="165" customWidth="1"/>
    <col min="8430" max="8430" width="15.5703125" style="165" customWidth="1"/>
    <col min="8431" max="8431" width="12.7109375" style="165" customWidth="1"/>
    <col min="8432" max="8682" width="9.140625" style="165"/>
    <col min="8683" max="8683" width="26" style="165" customWidth="1"/>
    <col min="8684" max="8684" width="17.140625" style="165" customWidth="1"/>
    <col min="8685" max="8685" width="47.42578125" style="165" customWidth="1"/>
    <col min="8686" max="8686" width="15.5703125" style="165" customWidth="1"/>
    <col min="8687" max="8687" width="12.7109375" style="165" customWidth="1"/>
    <col min="8688" max="8938" width="9.140625" style="165"/>
    <col min="8939" max="8939" width="26" style="165" customWidth="1"/>
    <col min="8940" max="8940" width="17.140625" style="165" customWidth="1"/>
    <col min="8941" max="8941" width="47.42578125" style="165" customWidth="1"/>
    <col min="8942" max="8942" width="15.5703125" style="165" customWidth="1"/>
    <col min="8943" max="8943" width="12.7109375" style="165" customWidth="1"/>
    <col min="8944" max="9194" width="9.140625" style="165"/>
    <col min="9195" max="9195" width="26" style="165" customWidth="1"/>
    <col min="9196" max="9196" width="17.140625" style="165" customWidth="1"/>
    <col min="9197" max="9197" width="47.42578125" style="165" customWidth="1"/>
    <col min="9198" max="9198" width="15.5703125" style="165" customWidth="1"/>
    <col min="9199" max="9199" width="12.7109375" style="165" customWidth="1"/>
    <col min="9200" max="9450" width="9.140625" style="165"/>
    <col min="9451" max="9451" width="26" style="165" customWidth="1"/>
    <col min="9452" max="9452" width="17.140625" style="165" customWidth="1"/>
    <col min="9453" max="9453" width="47.42578125" style="165" customWidth="1"/>
    <col min="9454" max="9454" width="15.5703125" style="165" customWidth="1"/>
    <col min="9455" max="9455" width="12.7109375" style="165" customWidth="1"/>
    <col min="9456" max="9706" width="9.140625" style="165"/>
    <col min="9707" max="9707" width="26" style="165" customWidth="1"/>
    <col min="9708" max="9708" width="17.140625" style="165" customWidth="1"/>
    <col min="9709" max="9709" width="47.42578125" style="165" customWidth="1"/>
    <col min="9710" max="9710" width="15.5703125" style="165" customWidth="1"/>
    <col min="9711" max="9711" width="12.7109375" style="165" customWidth="1"/>
    <col min="9712" max="9962" width="9.140625" style="165"/>
    <col min="9963" max="9963" width="26" style="165" customWidth="1"/>
    <col min="9964" max="9964" width="17.140625" style="165" customWidth="1"/>
    <col min="9965" max="9965" width="47.42578125" style="165" customWidth="1"/>
    <col min="9966" max="9966" width="15.5703125" style="165" customWidth="1"/>
    <col min="9967" max="9967" width="12.7109375" style="165" customWidth="1"/>
    <col min="9968" max="10218" width="9.140625" style="165"/>
    <col min="10219" max="10219" width="26" style="165" customWidth="1"/>
    <col min="10220" max="10220" width="17.140625" style="165" customWidth="1"/>
    <col min="10221" max="10221" width="47.42578125" style="165" customWidth="1"/>
    <col min="10222" max="10222" width="15.5703125" style="165" customWidth="1"/>
    <col min="10223" max="10223" width="12.7109375" style="165" customWidth="1"/>
    <col min="10224" max="10474" width="9.140625" style="165"/>
    <col min="10475" max="10475" width="26" style="165" customWidth="1"/>
    <col min="10476" max="10476" width="17.140625" style="165" customWidth="1"/>
    <col min="10477" max="10477" width="47.42578125" style="165" customWidth="1"/>
    <col min="10478" max="10478" width="15.5703125" style="165" customWidth="1"/>
    <col min="10479" max="10479" width="12.7109375" style="165" customWidth="1"/>
    <col min="10480" max="10730" width="9.140625" style="165"/>
    <col min="10731" max="10731" width="26" style="165" customWidth="1"/>
    <col min="10732" max="10732" width="17.140625" style="165" customWidth="1"/>
    <col min="10733" max="10733" width="47.42578125" style="165" customWidth="1"/>
    <col min="10734" max="10734" width="15.5703125" style="165" customWidth="1"/>
    <col min="10735" max="10735" width="12.7109375" style="165" customWidth="1"/>
    <col min="10736" max="10986" width="9.140625" style="165"/>
    <col min="10987" max="10987" width="26" style="165" customWidth="1"/>
    <col min="10988" max="10988" width="17.140625" style="165" customWidth="1"/>
    <col min="10989" max="10989" width="47.42578125" style="165" customWidth="1"/>
    <col min="10990" max="10990" width="15.5703125" style="165" customWidth="1"/>
    <col min="10991" max="10991" width="12.7109375" style="165" customWidth="1"/>
    <col min="10992" max="11242" width="9.140625" style="165"/>
    <col min="11243" max="11243" width="26" style="165" customWidth="1"/>
    <col min="11244" max="11244" width="17.140625" style="165" customWidth="1"/>
    <col min="11245" max="11245" width="47.42578125" style="165" customWidth="1"/>
    <col min="11246" max="11246" width="15.5703125" style="165" customWidth="1"/>
    <col min="11247" max="11247" width="12.7109375" style="165" customWidth="1"/>
    <col min="11248" max="11498" width="9.140625" style="165"/>
    <col min="11499" max="11499" width="26" style="165" customWidth="1"/>
    <col min="11500" max="11500" width="17.140625" style="165" customWidth="1"/>
    <col min="11501" max="11501" width="47.42578125" style="165" customWidth="1"/>
    <col min="11502" max="11502" width="15.5703125" style="165" customWidth="1"/>
    <col min="11503" max="11503" width="12.7109375" style="165" customWidth="1"/>
    <col min="11504" max="11754" width="9.140625" style="165"/>
    <col min="11755" max="11755" width="26" style="165" customWidth="1"/>
    <col min="11756" max="11756" width="17.140625" style="165" customWidth="1"/>
    <col min="11757" max="11757" width="47.42578125" style="165" customWidth="1"/>
    <col min="11758" max="11758" width="15.5703125" style="165" customWidth="1"/>
    <col min="11759" max="11759" width="12.7109375" style="165" customWidth="1"/>
    <col min="11760" max="12010" width="9.140625" style="165"/>
    <col min="12011" max="12011" width="26" style="165" customWidth="1"/>
    <col min="12012" max="12012" width="17.140625" style="165" customWidth="1"/>
    <col min="12013" max="12013" width="47.42578125" style="165" customWidth="1"/>
    <col min="12014" max="12014" width="15.5703125" style="165" customWidth="1"/>
    <col min="12015" max="12015" width="12.7109375" style="165" customWidth="1"/>
    <col min="12016" max="12266" width="9.140625" style="165"/>
    <col min="12267" max="12267" width="26" style="165" customWidth="1"/>
    <col min="12268" max="12268" width="17.140625" style="165" customWidth="1"/>
    <col min="12269" max="12269" width="47.42578125" style="165" customWidth="1"/>
    <col min="12270" max="12270" width="15.5703125" style="165" customWidth="1"/>
    <col min="12271" max="12271" width="12.7109375" style="165" customWidth="1"/>
    <col min="12272" max="12522" width="9.140625" style="165"/>
    <col min="12523" max="12523" width="26" style="165" customWidth="1"/>
    <col min="12524" max="12524" width="17.140625" style="165" customWidth="1"/>
    <col min="12525" max="12525" width="47.42578125" style="165" customWidth="1"/>
    <col min="12526" max="12526" width="15.5703125" style="165" customWidth="1"/>
    <col min="12527" max="12527" width="12.7109375" style="165" customWidth="1"/>
    <col min="12528" max="12778" width="9.140625" style="165"/>
    <col min="12779" max="12779" width="26" style="165" customWidth="1"/>
    <col min="12780" max="12780" width="17.140625" style="165" customWidth="1"/>
    <col min="12781" max="12781" width="47.42578125" style="165" customWidth="1"/>
    <col min="12782" max="12782" width="15.5703125" style="165" customWidth="1"/>
    <col min="12783" max="12783" width="12.7109375" style="165" customWidth="1"/>
    <col min="12784" max="13034" width="9.140625" style="165"/>
    <col min="13035" max="13035" width="26" style="165" customWidth="1"/>
    <col min="13036" max="13036" width="17.140625" style="165" customWidth="1"/>
    <col min="13037" max="13037" width="47.42578125" style="165" customWidth="1"/>
    <col min="13038" max="13038" width="15.5703125" style="165" customWidth="1"/>
    <col min="13039" max="13039" width="12.7109375" style="165" customWidth="1"/>
    <col min="13040" max="13290" width="9.140625" style="165"/>
    <col min="13291" max="13291" width="26" style="165" customWidth="1"/>
    <col min="13292" max="13292" width="17.140625" style="165" customWidth="1"/>
    <col min="13293" max="13293" width="47.42578125" style="165" customWidth="1"/>
    <col min="13294" max="13294" width="15.5703125" style="165" customWidth="1"/>
    <col min="13295" max="13295" width="12.7109375" style="165" customWidth="1"/>
    <col min="13296" max="13546" width="9.140625" style="165"/>
    <col min="13547" max="13547" width="26" style="165" customWidth="1"/>
    <col min="13548" max="13548" width="17.140625" style="165" customWidth="1"/>
    <col min="13549" max="13549" width="47.42578125" style="165" customWidth="1"/>
    <col min="13550" max="13550" width="15.5703125" style="165" customWidth="1"/>
    <col min="13551" max="13551" width="12.7109375" style="165" customWidth="1"/>
    <col min="13552" max="13802" width="9.140625" style="165"/>
    <col min="13803" max="13803" width="26" style="165" customWidth="1"/>
    <col min="13804" max="13804" width="17.140625" style="165" customWidth="1"/>
    <col min="13805" max="13805" width="47.42578125" style="165" customWidth="1"/>
    <col min="13806" max="13806" width="15.5703125" style="165" customWidth="1"/>
    <col min="13807" max="13807" width="12.7109375" style="165" customWidth="1"/>
    <col min="13808" max="14058" width="9.140625" style="165"/>
    <col min="14059" max="14059" width="26" style="165" customWidth="1"/>
    <col min="14060" max="14060" width="17.140625" style="165" customWidth="1"/>
    <col min="14061" max="14061" width="47.42578125" style="165" customWidth="1"/>
    <col min="14062" max="14062" width="15.5703125" style="165" customWidth="1"/>
    <col min="14063" max="14063" width="12.7109375" style="165" customWidth="1"/>
    <col min="14064" max="14314" width="9.140625" style="165"/>
    <col min="14315" max="14315" width="26" style="165" customWidth="1"/>
    <col min="14316" max="14316" width="17.140625" style="165" customWidth="1"/>
    <col min="14317" max="14317" width="47.42578125" style="165" customWidth="1"/>
    <col min="14318" max="14318" width="15.5703125" style="165" customWidth="1"/>
    <col min="14319" max="14319" width="12.7109375" style="165" customWidth="1"/>
    <col min="14320" max="14570" width="9.140625" style="165"/>
    <col min="14571" max="14571" width="26" style="165" customWidth="1"/>
    <col min="14572" max="14572" width="17.140625" style="165" customWidth="1"/>
    <col min="14573" max="14573" width="47.42578125" style="165" customWidth="1"/>
    <col min="14574" max="14574" width="15.5703125" style="165" customWidth="1"/>
    <col min="14575" max="14575" width="12.7109375" style="165" customWidth="1"/>
    <col min="14576" max="14826" width="9.140625" style="165"/>
    <col min="14827" max="14827" width="26" style="165" customWidth="1"/>
    <col min="14828" max="14828" width="17.140625" style="165" customWidth="1"/>
    <col min="14829" max="14829" width="47.42578125" style="165" customWidth="1"/>
    <col min="14830" max="14830" width="15.5703125" style="165" customWidth="1"/>
    <col min="14831" max="14831" width="12.7109375" style="165" customWidth="1"/>
    <col min="14832" max="15082" width="9.140625" style="165"/>
    <col min="15083" max="15083" width="26" style="165" customWidth="1"/>
    <col min="15084" max="15084" width="17.140625" style="165" customWidth="1"/>
    <col min="15085" max="15085" width="47.42578125" style="165" customWidth="1"/>
    <col min="15086" max="15086" width="15.5703125" style="165" customWidth="1"/>
    <col min="15087" max="15087" width="12.7109375" style="165" customWidth="1"/>
    <col min="15088" max="15338" width="9.140625" style="165"/>
    <col min="15339" max="15339" width="26" style="165" customWidth="1"/>
    <col min="15340" max="15340" width="17.140625" style="165" customWidth="1"/>
    <col min="15341" max="15341" width="47.42578125" style="165" customWidth="1"/>
    <col min="15342" max="15342" width="15.5703125" style="165" customWidth="1"/>
    <col min="15343" max="15343" width="12.7109375" style="165" customWidth="1"/>
    <col min="15344" max="15594" width="9.140625" style="165"/>
    <col min="15595" max="15595" width="26" style="165" customWidth="1"/>
    <col min="15596" max="15596" width="17.140625" style="165" customWidth="1"/>
    <col min="15597" max="15597" width="47.42578125" style="165" customWidth="1"/>
    <col min="15598" max="15598" width="15.5703125" style="165" customWidth="1"/>
    <col min="15599" max="15599" width="12.7109375" style="165" customWidth="1"/>
    <col min="15600" max="15850" width="9.140625" style="165"/>
    <col min="15851" max="15851" width="26" style="165" customWidth="1"/>
    <col min="15852" max="15852" width="17.140625" style="165" customWidth="1"/>
    <col min="15853" max="15853" width="47.42578125" style="165" customWidth="1"/>
    <col min="15854" max="15854" width="15.5703125" style="165" customWidth="1"/>
    <col min="15855" max="15855" width="12.7109375" style="165" customWidth="1"/>
    <col min="15856" max="16106" width="9.140625" style="165"/>
    <col min="16107" max="16107" width="26" style="165" customWidth="1"/>
    <col min="16108" max="16108" width="17.140625" style="165" customWidth="1"/>
    <col min="16109" max="16109" width="47.42578125" style="165" customWidth="1"/>
    <col min="16110" max="16110" width="15.5703125" style="165" customWidth="1"/>
    <col min="16111" max="16111" width="12.7109375" style="165" customWidth="1"/>
    <col min="16112" max="16384" width="9.140625" style="165"/>
  </cols>
  <sheetData>
    <row r="1" spans="1:12" s="94" customFormat="1" ht="18" customHeight="1" x14ac:dyDescent="0.25">
      <c r="A1" s="164"/>
      <c r="C1" s="554" t="s">
        <v>398</v>
      </c>
      <c r="D1" s="554"/>
      <c r="E1" s="554"/>
      <c r="F1" s="554"/>
      <c r="G1" s="554"/>
      <c r="H1" s="554"/>
      <c r="I1" s="554"/>
      <c r="J1" s="554"/>
    </row>
    <row r="2" spans="1:12" s="94" customFormat="1" ht="37.5" customHeight="1" x14ac:dyDescent="0.25">
      <c r="A2" s="164"/>
      <c r="C2" s="536" t="s">
        <v>463</v>
      </c>
      <c r="D2" s="536"/>
      <c r="E2" s="536"/>
      <c r="F2" s="536"/>
      <c r="G2" s="536"/>
      <c r="H2" s="536"/>
      <c r="I2" s="536"/>
      <c r="J2" s="536"/>
      <c r="K2" s="536"/>
      <c r="L2" s="536"/>
    </row>
    <row r="3" spans="1:12" s="166" customFormat="1" ht="43.5" customHeight="1" x14ac:dyDescent="0.2">
      <c r="A3" s="557" t="s">
        <v>542</v>
      </c>
      <c r="B3" s="557"/>
      <c r="C3" s="557"/>
      <c r="D3" s="557"/>
      <c r="E3" s="557"/>
      <c r="F3" s="557"/>
      <c r="G3" s="557"/>
      <c r="H3" s="557"/>
      <c r="I3" s="557"/>
      <c r="J3" s="557"/>
      <c r="K3" s="557"/>
      <c r="L3" s="557"/>
    </row>
    <row r="4" spans="1:12" s="166" customFormat="1" ht="20.25" customHeight="1" x14ac:dyDescent="0.2">
      <c r="A4" s="167"/>
      <c r="D4" s="168" t="s">
        <v>437</v>
      </c>
    </row>
    <row r="5" spans="1:12" s="189" customFormat="1" ht="26.25" customHeight="1" x14ac:dyDescent="0.25">
      <c r="A5" s="188" t="s">
        <v>399</v>
      </c>
      <c r="B5" s="505" t="s">
        <v>400</v>
      </c>
      <c r="C5" s="505"/>
      <c r="D5" s="188" t="s">
        <v>420</v>
      </c>
      <c r="E5" s="318" t="s">
        <v>596</v>
      </c>
      <c r="F5" s="318" t="s">
        <v>581</v>
      </c>
      <c r="G5" s="330" t="s">
        <v>617</v>
      </c>
      <c r="H5" s="330" t="s">
        <v>656</v>
      </c>
      <c r="I5" s="419" t="s">
        <v>657</v>
      </c>
      <c r="J5" s="419" t="s">
        <v>645</v>
      </c>
      <c r="K5" s="423" t="s">
        <v>689</v>
      </c>
      <c r="L5" s="423" t="s">
        <v>692</v>
      </c>
    </row>
    <row r="6" spans="1:12" ht="27" customHeight="1" x14ac:dyDescent="0.25">
      <c r="A6" s="93" t="s">
        <v>401</v>
      </c>
      <c r="B6" s="555" t="s">
        <v>402</v>
      </c>
      <c r="C6" s="555"/>
      <c r="D6" s="169" t="e">
        <f>D7+D11</f>
        <v>#REF!</v>
      </c>
      <c r="E6" s="169" t="e">
        <f t="shared" ref="E6:F6" si="0">E7+E11</f>
        <v>#REF!</v>
      </c>
      <c r="F6" s="169" t="e">
        <f t="shared" si="0"/>
        <v>#REF!</v>
      </c>
      <c r="G6" s="169" t="e">
        <f t="shared" ref="G6:H6" si="1">G7+G11</f>
        <v>#REF!</v>
      </c>
      <c r="H6" s="169" t="e">
        <f t="shared" si="1"/>
        <v>#REF!</v>
      </c>
      <c r="I6" s="169" t="e">
        <f t="shared" ref="I6:J6" si="2">I7+I11</f>
        <v>#REF!</v>
      </c>
      <c r="J6" s="461" t="e">
        <f t="shared" si="2"/>
        <v>#REF!</v>
      </c>
      <c r="K6" s="461" t="e">
        <f t="shared" ref="K6:L6" si="3">K7+K11</f>
        <v>#REF!</v>
      </c>
      <c r="L6" s="461">
        <f t="shared" si="3"/>
        <v>8461006.599999994</v>
      </c>
    </row>
    <row r="7" spans="1:12" s="166" customFormat="1" ht="16.5" customHeight="1" x14ac:dyDescent="0.2">
      <c r="A7" s="93" t="s">
        <v>403</v>
      </c>
      <c r="B7" s="555" t="s">
        <v>404</v>
      </c>
      <c r="C7" s="555"/>
      <c r="D7" s="169" t="e">
        <f>D8</f>
        <v>#REF!</v>
      </c>
      <c r="E7" s="169" t="e">
        <f t="shared" ref="E7:L9" si="4">E8</f>
        <v>#REF!</v>
      </c>
      <c r="F7" s="169" t="e">
        <f t="shared" si="4"/>
        <v>#REF!</v>
      </c>
      <c r="G7" s="169" t="e">
        <f t="shared" si="4"/>
        <v>#REF!</v>
      </c>
      <c r="H7" s="169" t="e">
        <f t="shared" si="4"/>
        <v>#REF!</v>
      </c>
      <c r="I7" s="169" t="e">
        <f t="shared" si="4"/>
        <v>#REF!</v>
      </c>
      <c r="J7" s="461" t="e">
        <f t="shared" si="4"/>
        <v>#REF!</v>
      </c>
      <c r="K7" s="461" t="e">
        <f t="shared" si="4"/>
        <v>#REF!</v>
      </c>
      <c r="L7" s="461">
        <f t="shared" si="4"/>
        <v>-248473965.16</v>
      </c>
    </row>
    <row r="8" spans="1:12" s="166" customFormat="1" ht="26.25" customHeight="1" x14ac:dyDescent="0.2">
      <c r="A8" s="93" t="s">
        <v>405</v>
      </c>
      <c r="B8" s="555" t="s">
        <v>406</v>
      </c>
      <c r="C8" s="555"/>
      <c r="D8" s="169" t="e">
        <f>D9</f>
        <v>#REF!</v>
      </c>
      <c r="E8" s="169" t="e">
        <f t="shared" si="4"/>
        <v>#REF!</v>
      </c>
      <c r="F8" s="169" t="e">
        <f t="shared" si="4"/>
        <v>#REF!</v>
      </c>
      <c r="G8" s="169" t="e">
        <f t="shared" si="4"/>
        <v>#REF!</v>
      </c>
      <c r="H8" s="169" t="e">
        <f t="shared" si="4"/>
        <v>#REF!</v>
      </c>
      <c r="I8" s="169" t="e">
        <f t="shared" si="4"/>
        <v>#REF!</v>
      </c>
      <c r="J8" s="461" t="e">
        <f t="shared" si="4"/>
        <v>#REF!</v>
      </c>
      <c r="K8" s="461" t="e">
        <f t="shared" si="4"/>
        <v>#REF!</v>
      </c>
      <c r="L8" s="461">
        <f t="shared" si="4"/>
        <v>-248473965.16</v>
      </c>
    </row>
    <row r="9" spans="1:12" s="166" customFormat="1" ht="26.25" customHeight="1" x14ac:dyDescent="0.2">
      <c r="A9" s="93" t="s">
        <v>407</v>
      </c>
      <c r="B9" s="555" t="s">
        <v>408</v>
      </c>
      <c r="C9" s="555"/>
      <c r="D9" s="169" t="e">
        <f>D10</f>
        <v>#REF!</v>
      </c>
      <c r="E9" s="169" t="e">
        <f t="shared" si="4"/>
        <v>#REF!</v>
      </c>
      <c r="F9" s="169" t="e">
        <f t="shared" si="4"/>
        <v>#REF!</v>
      </c>
      <c r="G9" s="169" t="e">
        <f t="shared" si="4"/>
        <v>#REF!</v>
      </c>
      <c r="H9" s="169" t="e">
        <f t="shared" si="4"/>
        <v>#REF!</v>
      </c>
      <c r="I9" s="169" t="e">
        <f t="shared" si="4"/>
        <v>#REF!</v>
      </c>
      <c r="J9" s="461" t="e">
        <f t="shared" si="4"/>
        <v>#REF!</v>
      </c>
      <c r="K9" s="461" t="e">
        <f t="shared" si="4"/>
        <v>#REF!</v>
      </c>
      <c r="L9" s="461">
        <f t="shared" si="4"/>
        <v>-248473965.16</v>
      </c>
    </row>
    <row r="10" spans="1:12" s="166" customFormat="1" ht="42" customHeight="1" x14ac:dyDescent="0.2">
      <c r="A10" s="93" t="s">
        <v>409</v>
      </c>
      <c r="B10" s="555" t="s">
        <v>410</v>
      </c>
      <c r="C10" s="555"/>
      <c r="D10" s="169" t="e">
        <f>-#REF!</f>
        <v>#REF!</v>
      </c>
      <c r="E10" s="169" t="e">
        <f>-#REF!</f>
        <v>#REF!</v>
      </c>
      <c r="F10" s="169" t="e">
        <f>-#REF!</f>
        <v>#REF!</v>
      </c>
      <c r="G10" s="169" t="e">
        <f>-#REF!</f>
        <v>#REF!</v>
      </c>
      <c r="H10" s="169" t="e">
        <f>-#REF!</f>
        <v>#REF!</v>
      </c>
      <c r="I10" s="169" t="e">
        <f>-#REF!</f>
        <v>#REF!</v>
      </c>
      <c r="J10" s="461" t="e">
        <f>-#REF!</f>
        <v>#REF!</v>
      </c>
      <c r="K10" s="461" t="e">
        <f>-#REF!</f>
        <v>#REF!</v>
      </c>
      <c r="L10" s="461">
        <f>-Доходы!M128</f>
        <v>-248473965.16</v>
      </c>
    </row>
    <row r="11" spans="1:12" s="166" customFormat="1" ht="17.25" customHeight="1" x14ac:dyDescent="0.2">
      <c r="A11" s="93" t="s">
        <v>411</v>
      </c>
      <c r="B11" s="555" t="s">
        <v>412</v>
      </c>
      <c r="C11" s="555"/>
      <c r="D11" s="169">
        <f>D12</f>
        <v>234246433</v>
      </c>
      <c r="E11" s="169">
        <f t="shared" ref="E11:L13" si="5">E12</f>
        <v>8505006</v>
      </c>
      <c r="F11" s="169">
        <f t="shared" si="5"/>
        <v>242751439</v>
      </c>
      <c r="G11" s="169">
        <f t="shared" si="5"/>
        <v>165681</v>
      </c>
      <c r="H11" s="169">
        <f t="shared" si="5"/>
        <v>242917120</v>
      </c>
      <c r="I11" s="169">
        <f t="shared" si="5"/>
        <v>-2522350</v>
      </c>
      <c r="J11" s="461">
        <f t="shared" si="5"/>
        <v>240394770</v>
      </c>
      <c r="K11" s="461">
        <f t="shared" si="5"/>
        <v>16540201.76</v>
      </c>
      <c r="L11" s="461">
        <f t="shared" si="5"/>
        <v>256934971.75999999</v>
      </c>
    </row>
    <row r="12" spans="1:12" s="166" customFormat="1" ht="26.25" customHeight="1" x14ac:dyDescent="0.2">
      <c r="A12" s="93" t="s">
        <v>413</v>
      </c>
      <c r="B12" s="555" t="s">
        <v>414</v>
      </c>
      <c r="C12" s="555"/>
      <c r="D12" s="169">
        <f>D13</f>
        <v>234246433</v>
      </c>
      <c r="E12" s="169">
        <f t="shared" si="5"/>
        <v>8505006</v>
      </c>
      <c r="F12" s="169">
        <f t="shared" si="5"/>
        <v>242751439</v>
      </c>
      <c r="G12" s="169">
        <f t="shared" si="5"/>
        <v>165681</v>
      </c>
      <c r="H12" s="169">
        <f t="shared" si="5"/>
        <v>242917120</v>
      </c>
      <c r="I12" s="169">
        <f t="shared" si="5"/>
        <v>-2522350</v>
      </c>
      <c r="J12" s="461">
        <f t="shared" si="5"/>
        <v>240394770</v>
      </c>
      <c r="K12" s="461">
        <f t="shared" si="5"/>
        <v>16540201.76</v>
      </c>
      <c r="L12" s="461">
        <f t="shared" si="5"/>
        <v>256934971.75999999</v>
      </c>
    </row>
    <row r="13" spans="1:12" s="166" customFormat="1" ht="26.25" customHeight="1" x14ac:dyDescent="0.2">
      <c r="A13" s="93" t="s">
        <v>415</v>
      </c>
      <c r="B13" s="555" t="s">
        <v>416</v>
      </c>
      <c r="C13" s="555"/>
      <c r="D13" s="169">
        <f>D14</f>
        <v>234246433</v>
      </c>
      <c r="E13" s="169">
        <f t="shared" si="5"/>
        <v>8505006</v>
      </c>
      <c r="F13" s="169">
        <f t="shared" si="5"/>
        <v>242751439</v>
      </c>
      <c r="G13" s="169">
        <f t="shared" si="5"/>
        <v>165681</v>
      </c>
      <c r="H13" s="169">
        <f t="shared" si="5"/>
        <v>242917120</v>
      </c>
      <c r="I13" s="169">
        <f t="shared" si="5"/>
        <v>-2522350</v>
      </c>
      <c r="J13" s="461">
        <f t="shared" si="5"/>
        <v>240394770</v>
      </c>
      <c r="K13" s="461">
        <f t="shared" si="5"/>
        <v>16540201.76</v>
      </c>
      <c r="L13" s="461">
        <f t="shared" si="5"/>
        <v>256934971.75999999</v>
      </c>
    </row>
    <row r="14" spans="1:12" s="166" customFormat="1" ht="42" customHeight="1" x14ac:dyDescent="0.2">
      <c r="A14" s="93" t="s">
        <v>417</v>
      </c>
      <c r="B14" s="555" t="s">
        <v>418</v>
      </c>
      <c r="C14" s="555"/>
      <c r="D14" s="169">
        <f>'6 Вед15'!J393</f>
        <v>234246433</v>
      </c>
      <c r="E14" s="169">
        <f>'6 Вед15'!K393</f>
        <v>8505006</v>
      </c>
      <c r="F14" s="169">
        <f>'6 Вед15'!L393</f>
        <v>242751439</v>
      </c>
      <c r="G14" s="169">
        <f>'6 Вед15'!M393</f>
        <v>165681</v>
      </c>
      <c r="H14" s="169">
        <f>'6 Вед15'!N393</f>
        <v>242917120</v>
      </c>
      <c r="I14" s="169">
        <f>'6 Вед15'!O393</f>
        <v>-2522350</v>
      </c>
      <c r="J14" s="461">
        <f>'6 Вед15'!P393</f>
        <v>240394770</v>
      </c>
      <c r="K14" s="461">
        <f>'6 Вед15'!Q393</f>
        <v>16540201.76</v>
      </c>
      <c r="L14" s="461">
        <f>'6 Вед15'!U393</f>
        <v>256934971.75999999</v>
      </c>
    </row>
    <row r="15" spans="1:12" s="172" customFormat="1" ht="42" customHeight="1" x14ac:dyDescent="0.25">
      <c r="A15" s="170"/>
      <c r="B15" s="556" t="s">
        <v>419</v>
      </c>
      <c r="C15" s="556"/>
      <c r="D15" s="171" t="e">
        <f>D6</f>
        <v>#REF!</v>
      </c>
      <c r="E15" s="171" t="e">
        <f t="shared" ref="E15:F15" si="6">E6</f>
        <v>#REF!</v>
      </c>
      <c r="F15" s="171" t="e">
        <f t="shared" si="6"/>
        <v>#REF!</v>
      </c>
      <c r="G15" s="171" t="e">
        <f t="shared" ref="G15:H15" si="7">G6</f>
        <v>#REF!</v>
      </c>
      <c r="H15" s="171" t="e">
        <f t="shared" si="7"/>
        <v>#REF!</v>
      </c>
      <c r="I15" s="171" t="e">
        <f t="shared" ref="I15:J15" si="8">I6</f>
        <v>#REF!</v>
      </c>
      <c r="J15" s="462" t="e">
        <f t="shared" si="8"/>
        <v>#REF!</v>
      </c>
      <c r="K15" s="462" t="e">
        <f t="shared" ref="K15:L15" si="9">K6</f>
        <v>#REF!</v>
      </c>
      <c r="L15" s="462">
        <f t="shared" si="9"/>
        <v>8461006.599999994</v>
      </c>
    </row>
    <row r="17" spans="3:7" x14ac:dyDescent="0.25">
      <c r="D17" s="173"/>
    </row>
    <row r="18" spans="3:7" x14ac:dyDescent="0.25">
      <c r="D18" s="173"/>
    </row>
    <row r="19" spans="3:7" x14ac:dyDescent="0.25">
      <c r="D19" s="173"/>
      <c r="G19" s="361"/>
    </row>
    <row r="20" spans="3:7" x14ac:dyDescent="0.25">
      <c r="G20" s="373"/>
    </row>
    <row r="21" spans="3:7" x14ac:dyDescent="0.25">
      <c r="C21" s="174"/>
      <c r="D21" s="174"/>
    </row>
    <row r="25" spans="3:7" x14ac:dyDescent="0.25">
      <c r="C25" s="175"/>
      <c r="D25" s="175"/>
    </row>
  </sheetData>
  <mergeCells count="14">
    <mergeCell ref="C1:J1"/>
    <mergeCell ref="B14:C14"/>
    <mergeCell ref="B15:C15"/>
    <mergeCell ref="B6:C6"/>
    <mergeCell ref="B7:C7"/>
    <mergeCell ref="B8:C8"/>
    <mergeCell ref="B9:C9"/>
    <mergeCell ref="B10:C10"/>
    <mergeCell ref="B11:C11"/>
    <mergeCell ref="B5:C5"/>
    <mergeCell ref="B12:C12"/>
    <mergeCell ref="B13:C13"/>
    <mergeCell ref="C2:L2"/>
    <mergeCell ref="A3:L3"/>
  </mergeCells>
  <pageMargins left="0.31496062992125984" right="0.11811023622047245" top="0.35433070866141736" bottom="0.74803149606299213" header="0.31496062992125984" footer="0.31496062992125984"/>
  <pageSetup paperSize="9" scale="75"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workbookViewId="0">
      <selection activeCell="F10" sqref="F10"/>
    </sheetView>
  </sheetViews>
  <sheetFormatPr defaultRowHeight="12.75" x14ac:dyDescent="0.25"/>
  <cols>
    <col min="1" max="1" width="26.140625" style="165" customWidth="1"/>
    <col min="2" max="2" width="25.42578125" style="165" customWidth="1"/>
    <col min="3" max="3" width="13" style="165" customWidth="1"/>
    <col min="4" max="5" width="16.5703125" style="165" hidden="1" customWidth="1"/>
    <col min="6" max="6" width="16.5703125" style="165" customWidth="1"/>
    <col min="7" max="8" width="16.5703125" style="165" hidden="1" customWidth="1"/>
    <col min="9" max="9" width="16.5703125" style="165" customWidth="1"/>
    <col min="10" max="242" width="9.140625" style="165"/>
    <col min="243" max="243" width="26" style="165" customWidth="1"/>
    <col min="244" max="244" width="17.140625" style="165" customWidth="1"/>
    <col min="245" max="245" width="47.42578125" style="165" customWidth="1"/>
    <col min="246" max="246" width="15.5703125" style="165" customWidth="1"/>
    <col min="247" max="247" width="12.7109375" style="165" customWidth="1"/>
    <col min="248" max="498" width="9.140625" style="165"/>
    <col min="499" max="499" width="26" style="165" customWidth="1"/>
    <col min="500" max="500" width="17.140625" style="165" customWidth="1"/>
    <col min="501" max="501" width="47.42578125" style="165" customWidth="1"/>
    <col min="502" max="502" width="15.5703125" style="165" customWidth="1"/>
    <col min="503" max="503" width="12.7109375" style="165" customWidth="1"/>
    <col min="504" max="754" width="9.140625" style="165"/>
    <col min="755" max="755" width="26" style="165" customWidth="1"/>
    <col min="756" max="756" width="17.140625" style="165" customWidth="1"/>
    <col min="757" max="757" width="47.42578125" style="165" customWidth="1"/>
    <col min="758" max="758" width="15.5703125" style="165" customWidth="1"/>
    <col min="759" max="759" width="12.7109375" style="165" customWidth="1"/>
    <col min="760" max="1010" width="9.140625" style="165"/>
    <col min="1011" max="1011" width="26" style="165" customWidth="1"/>
    <col min="1012" max="1012" width="17.140625" style="165" customWidth="1"/>
    <col min="1013" max="1013" width="47.42578125" style="165" customWidth="1"/>
    <col min="1014" max="1014" width="15.5703125" style="165" customWidth="1"/>
    <col min="1015" max="1015" width="12.7109375" style="165" customWidth="1"/>
    <col min="1016" max="1266" width="9.140625" style="165"/>
    <col min="1267" max="1267" width="26" style="165" customWidth="1"/>
    <col min="1268" max="1268" width="17.140625" style="165" customWidth="1"/>
    <col min="1269" max="1269" width="47.42578125" style="165" customWidth="1"/>
    <col min="1270" max="1270" width="15.5703125" style="165" customWidth="1"/>
    <col min="1271" max="1271" width="12.7109375" style="165" customWidth="1"/>
    <col min="1272" max="1522" width="9.140625" style="165"/>
    <col min="1523" max="1523" width="26" style="165" customWidth="1"/>
    <col min="1524" max="1524" width="17.140625" style="165" customWidth="1"/>
    <col min="1525" max="1525" width="47.42578125" style="165" customWidth="1"/>
    <col min="1526" max="1526" width="15.5703125" style="165" customWidth="1"/>
    <col min="1527" max="1527" width="12.7109375" style="165" customWidth="1"/>
    <col min="1528" max="1778" width="9.140625" style="165"/>
    <col min="1779" max="1779" width="26" style="165" customWidth="1"/>
    <col min="1780" max="1780" width="17.140625" style="165" customWidth="1"/>
    <col min="1781" max="1781" width="47.42578125" style="165" customWidth="1"/>
    <col min="1782" max="1782" width="15.5703125" style="165" customWidth="1"/>
    <col min="1783" max="1783" width="12.7109375" style="165" customWidth="1"/>
    <col min="1784" max="2034" width="9.140625" style="165"/>
    <col min="2035" max="2035" width="26" style="165" customWidth="1"/>
    <col min="2036" max="2036" width="17.140625" style="165" customWidth="1"/>
    <col min="2037" max="2037" width="47.42578125" style="165" customWidth="1"/>
    <col min="2038" max="2038" width="15.5703125" style="165" customWidth="1"/>
    <col min="2039" max="2039" width="12.7109375" style="165" customWidth="1"/>
    <col min="2040" max="2290" width="9.140625" style="165"/>
    <col min="2291" max="2291" width="26" style="165" customWidth="1"/>
    <col min="2292" max="2292" width="17.140625" style="165" customWidth="1"/>
    <col min="2293" max="2293" width="47.42578125" style="165" customWidth="1"/>
    <col min="2294" max="2294" width="15.5703125" style="165" customWidth="1"/>
    <col min="2295" max="2295" width="12.7109375" style="165" customWidth="1"/>
    <col min="2296" max="2546" width="9.140625" style="165"/>
    <col min="2547" max="2547" width="26" style="165" customWidth="1"/>
    <col min="2548" max="2548" width="17.140625" style="165" customWidth="1"/>
    <col min="2549" max="2549" width="47.42578125" style="165" customWidth="1"/>
    <col min="2550" max="2550" width="15.5703125" style="165" customWidth="1"/>
    <col min="2551" max="2551" width="12.7109375" style="165" customWidth="1"/>
    <col min="2552" max="2802" width="9.140625" style="165"/>
    <col min="2803" max="2803" width="26" style="165" customWidth="1"/>
    <col min="2804" max="2804" width="17.140625" style="165" customWidth="1"/>
    <col min="2805" max="2805" width="47.42578125" style="165" customWidth="1"/>
    <col min="2806" max="2806" width="15.5703125" style="165" customWidth="1"/>
    <col min="2807" max="2807" width="12.7109375" style="165" customWidth="1"/>
    <col min="2808" max="3058" width="9.140625" style="165"/>
    <col min="3059" max="3059" width="26" style="165" customWidth="1"/>
    <col min="3060" max="3060" width="17.140625" style="165" customWidth="1"/>
    <col min="3061" max="3061" width="47.42578125" style="165" customWidth="1"/>
    <col min="3062" max="3062" width="15.5703125" style="165" customWidth="1"/>
    <col min="3063" max="3063" width="12.7109375" style="165" customWidth="1"/>
    <col min="3064" max="3314" width="9.140625" style="165"/>
    <col min="3315" max="3315" width="26" style="165" customWidth="1"/>
    <col min="3316" max="3316" width="17.140625" style="165" customWidth="1"/>
    <col min="3317" max="3317" width="47.42578125" style="165" customWidth="1"/>
    <col min="3318" max="3318" width="15.5703125" style="165" customWidth="1"/>
    <col min="3319" max="3319" width="12.7109375" style="165" customWidth="1"/>
    <col min="3320" max="3570" width="9.140625" style="165"/>
    <col min="3571" max="3571" width="26" style="165" customWidth="1"/>
    <col min="3572" max="3572" width="17.140625" style="165" customWidth="1"/>
    <col min="3573" max="3573" width="47.42578125" style="165" customWidth="1"/>
    <col min="3574" max="3574" width="15.5703125" style="165" customWidth="1"/>
    <col min="3575" max="3575" width="12.7109375" style="165" customWidth="1"/>
    <col min="3576" max="3826" width="9.140625" style="165"/>
    <col min="3827" max="3827" width="26" style="165" customWidth="1"/>
    <col min="3828" max="3828" width="17.140625" style="165" customWidth="1"/>
    <col min="3829" max="3829" width="47.42578125" style="165" customWidth="1"/>
    <col min="3830" max="3830" width="15.5703125" style="165" customWidth="1"/>
    <col min="3831" max="3831" width="12.7109375" style="165" customWidth="1"/>
    <col min="3832" max="4082" width="9.140625" style="165"/>
    <col min="4083" max="4083" width="26" style="165" customWidth="1"/>
    <col min="4084" max="4084" width="17.140625" style="165" customWidth="1"/>
    <col min="4085" max="4085" width="47.42578125" style="165" customWidth="1"/>
    <col min="4086" max="4086" width="15.5703125" style="165" customWidth="1"/>
    <col min="4087" max="4087" width="12.7109375" style="165" customWidth="1"/>
    <col min="4088" max="4338" width="9.140625" style="165"/>
    <col min="4339" max="4339" width="26" style="165" customWidth="1"/>
    <col min="4340" max="4340" width="17.140625" style="165" customWidth="1"/>
    <col min="4341" max="4341" width="47.42578125" style="165" customWidth="1"/>
    <col min="4342" max="4342" width="15.5703125" style="165" customWidth="1"/>
    <col min="4343" max="4343" width="12.7109375" style="165" customWidth="1"/>
    <col min="4344" max="4594" width="9.140625" style="165"/>
    <col min="4595" max="4595" width="26" style="165" customWidth="1"/>
    <col min="4596" max="4596" width="17.140625" style="165" customWidth="1"/>
    <col min="4597" max="4597" width="47.42578125" style="165" customWidth="1"/>
    <col min="4598" max="4598" width="15.5703125" style="165" customWidth="1"/>
    <col min="4599" max="4599" width="12.7109375" style="165" customWidth="1"/>
    <col min="4600" max="4850" width="9.140625" style="165"/>
    <col min="4851" max="4851" width="26" style="165" customWidth="1"/>
    <col min="4852" max="4852" width="17.140625" style="165" customWidth="1"/>
    <col min="4853" max="4853" width="47.42578125" style="165" customWidth="1"/>
    <col min="4854" max="4854" width="15.5703125" style="165" customWidth="1"/>
    <col min="4855" max="4855" width="12.7109375" style="165" customWidth="1"/>
    <col min="4856" max="5106" width="9.140625" style="165"/>
    <col min="5107" max="5107" width="26" style="165" customWidth="1"/>
    <col min="5108" max="5108" width="17.140625" style="165" customWidth="1"/>
    <col min="5109" max="5109" width="47.42578125" style="165" customWidth="1"/>
    <col min="5110" max="5110" width="15.5703125" style="165" customWidth="1"/>
    <col min="5111" max="5111" width="12.7109375" style="165" customWidth="1"/>
    <col min="5112" max="5362" width="9.140625" style="165"/>
    <col min="5363" max="5363" width="26" style="165" customWidth="1"/>
    <col min="5364" max="5364" width="17.140625" style="165" customWidth="1"/>
    <col min="5365" max="5365" width="47.42578125" style="165" customWidth="1"/>
    <col min="5366" max="5366" width="15.5703125" style="165" customWidth="1"/>
    <col min="5367" max="5367" width="12.7109375" style="165" customWidth="1"/>
    <col min="5368" max="5618" width="9.140625" style="165"/>
    <col min="5619" max="5619" width="26" style="165" customWidth="1"/>
    <col min="5620" max="5620" width="17.140625" style="165" customWidth="1"/>
    <col min="5621" max="5621" width="47.42578125" style="165" customWidth="1"/>
    <col min="5622" max="5622" width="15.5703125" style="165" customWidth="1"/>
    <col min="5623" max="5623" width="12.7109375" style="165" customWidth="1"/>
    <col min="5624" max="5874" width="9.140625" style="165"/>
    <col min="5875" max="5875" width="26" style="165" customWidth="1"/>
    <col min="5876" max="5876" width="17.140625" style="165" customWidth="1"/>
    <col min="5877" max="5877" width="47.42578125" style="165" customWidth="1"/>
    <col min="5878" max="5878" width="15.5703125" style="165" customWidth="1"/>
    <col min="5879" max="5879" width="12.7109375" style="165" customWidth="1"/>
    <col min="5880" max="6130" width="9.140625" style="165"/>
    <col min="6131" max="6131" width="26" style="165" customWidth="1"/>
    <col min="6132" max="6132" width="17.140625" style="165" customWidth="1"/>
    <col min="6133" max="6133" width="47.42578125" style="165" customWidth="1"/>
    <col min="6134" max="6134" width="15.5703125" style="165" customWidth="1"/>
    <col min="6135" max="6135" width="12.7109375" style="165" customWidth="1"/>
    <col min="6136" max="6386" width="9.140625" style="165"/>
    <col min="6387" max="6387" width="26" style="165" customWidth="1"/>
    <col min="6388" max="6388" width="17.140625" style="165" customWidth="1"/>
    <col min="6389" max="6389" width="47.42578125" style="165" customWidth="1"/>
    <col min="6390" max="6390" width="15.5703125" style="165" customWidth="1"/>
    <col min="6391" max="6391" width="12.7109375" style="165" customWidth="1"/>
    <col min="6392" max="6642" width="9.140625" style="165"/>
    <col min="6643" max="6643" width="26" style="165" customWidth="1"/>
    <col min="6644" max="6644" width="17.140625" style="165" customWidth="1"/>
    <col min="6645" max="6645" width="47.42578125" style="165" customWidth="1"/>
    <col min="6646" max="6646" width="15.5703125" style="165" customWidth="1"/>
    <col min="6647" max="6647" width="12.7109375" style="165" customWidth="1"/>
    <col min="6648" max="6898" width="9.140625" style="165"/>
    <col min="6899" max="6899" width="26" style="165" customWidth="1"/>
    <col min="6900" max="6900" width="17.140625" style="165" customWidth="1"/>
    <col min="6901" max="6901" width="47.42578125" style="165" customWidth="1"/>
    <col min="6902" max="6902" width="15.5703125" style="165" customWidth="1"/>
    <col min="6903" max="6903" width="12.7109375" style="165" customWidth="1"/>
    <col min="6904" max="7154" width="9.140625" style="165"/>
    <col min="7155" max="7155" width="26" style="165" customWidth="1"/>
    <col min="7156" max="7156" width="17.140625" style="165" customWidth="1"/>
    <col min="7157" max="7157" width="47.42578125" style="165" customWidth="1"/>
    <col min="7158" max="7158" width="15.5703125" style="165" customWidth="1"/>
    <col min="7159" max="7159" width="12.7109375" style="165" customWidth="1"/>
    <col min="7160" max="7410" width="9.140625" style="165"/>
    <col min="7411" max="7411" width="26" style="165" customWidth="1"/>
    <col min="7412" max="7412" width="17.140625" style="165" customWidth="1"/>
    <col min="7413" max="7413" width="47.42578125" style="165" customWidth="1"/>
    <col min="7414" max="7414" width="15.5703125" style="165" customWidth="1"/>
    <col min="7415" max="7415" width="12.7109375" style="165" customWidth="1"/>
    <col min="7416" max="7666" width="9.140625" style="165"/>
    <col min="7667" max="7667" width="26" style="165" customWidth="1"/>
    <col min="7668" max="7668" width="17.140625" style="165" customWidth="1"/>
    <col min="7669" max="7669" width="47.42578125" style="165" customWidth="1"/>
    <col min="7670" max="7670" width="15.5703125" style="165" customWidth="1"/>
    <col min="7671" max="7671" width="12.7109375" style="165" customWidth="1"/>
    <col min="7672" max="7922" width="9.140625" style="165"/>
    <col min="7923" max="7923" width="26" style="165" customWidth="1"/>
    <col min="7924" max="7924" width="17.140625" style="165" customWidth="1"/>
    <col min="7925" max="7925" width="47.42578125" style="165" customWidth="1"/>
    <col min="7926" max="7926" width="15.5703125" style="165" customWidth="1"/>
    <col min="7927" max="7927" width="12.7109375" style="165" customWidth="1"/>
    <col min="7928" max="8178" width="9.140625" style="165"/>
    <col min="8179" max="8179" width="26" style="165" customWidth="1"/>
    <col min="8180" max="8180" width="17.140625" style="165" customWidth="1"/>
    <col min="8181" max="8181" width="47.42578125" style="165" customWidth="1"/>
    <col min="8182" max="8182" width="15.5703125" style="165" customWidth="1"/>
    <col min="8183" max="8183" width="12.7109375" style="165" customWidth="1"/>
    <col min="8184" max="8434" width="9.140625" style="165"/>
    <col min="8435" max="8435" width="26" style="165" customWidth="1"/>
    <col min="8436" max="8436" width="17.140625" style="165" customWidth="1"/>
    <col min="8437" max="8437" width="47.42578125" style="165" customWidth="1"/>
    <col min="8438" max="8438" width="15.5703125" style="165" customWidth="1"/>
    <col min="8439" max="8439" width="12.7109375" style="165" customWidth="1"/>
    <col min="8440" max="8690" width="9.140625" style="165"/>
    <col min="8691" max="8691" width="26" style="165" customWidth="1"/>
    <col min="8692" max="8692" width="17.140625" style="165" customWidth="1"/>
    <col min="8693" max="8693" width="47.42578125" style="165" customWidth="1"/>
    <col min="8694" max="8694" width="15.5703125" style="165" customWidth="1"/>
    <col min="8695" max="8695" width="12.7109375" style="165" customWidth="1"/>
    <col min="8696" max="8946" width="9.140625" style="165"/>
    <col min="8947" max="8947" width="26" style="165" customWidth="1"/>
    <col min="8948" max="8948" width="17.140625" style="165" customWidth="1"/>
    <col min="8949" max="8949" width="47.42578125" style="165" customWidth="1"/>
    <col min="8950" max="8950" width="15.5703125" style="165" customWidth="1"/>
    <col min="8951" max="8951" width="12.7109375" style="165" customWidth="1"/>
    <col min="8952" max="9202" width="9.140625" style="165"/>
    <col min="9203" max="9203" width="26" style="165" customWidth="1"/>
    <col min="9204" max="9204" width="17.140625" style="165" customWidth="1"/>
    <col min="9205" max="9205" width="47.42578125" style="165" customWidth="1"/>
    <col min="9206" max="9206" width="15.5703125" style="165" customWidth="1"/>
    <col min="9207" max="9207" width="12.7109375" style="165" customWidth="1"/>
    <col min="9208" max="9458" width="9.140625" style="165"/>
    <col min="9459" max="9459" width="26" style="165" customWidth="1"/>
    <col min="9460" max="9460" width="17.140625" style="165" customWidth="1"/>
    <col min="9461" max="9461" width="47.42578125" style="165" customWidth="1"/>
    <col min="9462" max="9462" width="15.5703125" style="165" customWidth="1"/>
    <col min="9463" max="9463" width="12.7109375" style="165" customWidth="1"/>
    <col min="9464" max="9714" width="9.140625" style="165"/>
    <col min="9715" max="9715" width="26" style="165" customWidth="1"/>
    <col min="9716" max="9716" width="17.140625" style="165" customWidth="1"/>
    <col min="9717" max="9717" width="47.42578125" style="165" customWidth="1"/>
    <col min="9718" max="9718" width="15.5703125" style="165" customWidth="1"/>
    <col min="9719" max="9719" width="12.7109375" style="165" customWidth="1"/>
    <col min="9720" max="9970" width="9.140625" style="165"/>
    <col min="9971" max="9971" width="26" style="165" customWidth="1"/>
    <col min="9972" max="9972" width="17.140625" style="165" customWidth="1"/>
    <col min="9973" max="9973" width="47.42578125" style="165" customWidth="1"/>
    <col min="9974" max="9974" width="15.5703125" style="165" customWidth="1"/>
    <col min="9975" max="9975" width="12.7109375" style="165" customWidth="1"/>
    <col min="9976" max="10226" width="9.140625" style="165"/>
    <col min="10227" max="10227" width="26" style="165" customWidth="1"/>
    <col min="10228" max="10228" width="17.140625" style="165" customWidth="1"/>
    <col min="10229" max="10229" width="47.42578125" style="165" customWidth="1"/>
    <col min="10230" max="10230" width="15.5703125" style="165" customWidth="1"/>
    <col min="10231" max="10231" width="12.7109375" style="165" customWidth="1"/>
    <col min="10232" max="10482" width="9.140625" style="165"/>
    <col min="10483" max="10483" width="26" style="165" customWidth="1"/>
    <col min="10484" max="10484" width="17.140625" style="165" customWidth="1"/>
    <col min="10485" max="10485" width="47.42578125" style="165" customWidth="1"/>
    <col min="10486" max="10486" width="15.5703125" style="165" customWidth="1"/>
    <col min="10487" max="10487" width="12.7109375" style="165" customWidth="1"/>
    <col min="10488" max="10738" width="9.140625" style="165"/>
    <col min="10739" max="10739" width="26" style="165" customWidth="1"/>
    <col min="10740" max="10740" width="17.140625" style="165" customWidth="1"/>
    <col min="10741" max="10741" width="47.42578125" style="165" customWidth="1"/>
    <col min="10742" max="10742" width="15.5703125" style="165" customWidth="1"/>
    <col min="10743" max="10743" width="12.7109375" style="165" customWidth="1"/>
    <col min="10744" max="10994" width="9.140625" style="165"/>
    <col min="10995" max="10995" width="26" style="165" customWidth="1"/>
    <col min="10996" max="10996" width="17.140625" style="165" customWidth="1"/>
    <col min="10997" max="10997" width="47.42578125" style="165" customWidth="1"/>
    <col min="10998" max="10998" width="15.5703125" style="165" customWidth="1"/>
    <col min="10999" max="10999" width="12.7109375" style="165" customWidth="1"/>
    <col min="11000" max="11250" width="9.140625" style="165"/>
    <col min="11251" max="11251" width="26" style="165" customWidth="1"/>
    <col min="11252" max="11252" width="17.140625" style="165" customWidth="1"/>
    <col min="11253" max="11253" width="47.42578125" style="165" customWidth="1"/>
    <col min="11254" max="11254" width="15.5703125" style="165" customWidth="1"/>
    <col min="11255" max="11255" width="12.7109375" style="165" customWidth="1"/>
    <col min="11256" max="11506" width="9.140625" style="165"/>
    <col min="11507" max="11507" width="26" style="165" customWidth="1"/>
    <col min="11508" max="11508" width="17.140625" style="165" customWidth="1"/>
    <col min="11509" max="11509" width="47.42578125" style="165" customWidth="1"/>
    <col min="11510" max="11510" width="15.5703125" style="165" customWidth="1"/>
    <col min="11511" max="11511" width="12.7109375" style="165" customWidth="1"/>
    <col min="11512" max="11762" width="9.140625" style="165"/>
    <col min="11763" max="11763" width="26" style="165" customWidth="1"/>
    <col min="11764" max="11764" width="17.140625" style="165" customWidth="1"/>
    <col min="11765" max="11765" width="47.42578125" style="165" customWidth="1"/>
    <col min="11766" max="11766" width="15.5703125" style="165" customWidth="1"/>
    <col min="11767" max="11767" width="12.7109375" style="165" customWidth="1"/>
    <col min="11768" max="12018" width="9.140625" style="165"/>
    <col min="12019" max="12019" width="26" style="165" customWidth="1"/>
    <col min="12020" max="12020" width="17.140625" style="165" customWidth="1"/>
    <col min="12021" max="12021" width="47.42578125" style="165" customWidth="1"/>
    <col min="12022" max="12022" width="15.5703125" style="165" customWidth="1"/>
    <col min="12023" max="12023" width="12.7109375" style="165" customWidth="1"/>
    <col min="12024" max="12274" width="9.140625" style="165"/>
    <col min="12275" max="12275" width="26" style="165" customWidth="1"/>
    <col min="12276" max="12276" width="17.140625" style="165" customWidth="1"/>
    <col min="12277" max="12277" width="47.42578125" style="165" customWidth="1"/>
    <col min="12278" max="12278" width="15.5703125" style="165" customWidth="1"/>
    <col min="12279" max="12279" width="12.7109375" style="165" customWidth="1"/>
    <col min="12280" max="12530" width="9.140625" style="165"/>
    <col min="12531" max="12531" width="26" style="165" customWidth="1"/>
    <col min="12532" max="12532" width="17.140625" style="165" customWidth="1"/>
    <col min="12533" max="12533" width="47.42578125" style="165" customWidth="1"/>
    <col min="12534" max="12534" width="15.5703125" style="165" customWidth="1"/>
    <col min="12535" max="12535" width="12.7109375" style="165" customWidth="1"/>
    <col min="12536" max="12786" width="9.140625" style="165"/>
    <col min="12787" max="12787" width="26" style="165" customWidth="1"/>
    <col min="12788" max="12788" width="17.140625" style="165" customWidth="1"/>
    <col min="12789" max="12789" width="47.42578125" style="165" customWidth="1"/>
    <col min="12790" max="12790" width="15.5703125" style="165" customWidth="1"/>
    <col min="12791" max="12791" width="12.7109375" style="165" customWidth="1"/>
    <col min="12792" max="13042" width="9.140625" style="165"/>
    <col min="13043" max="13043" width="26" style="165" customWidth="1"/>
    <col min="13044" max="13044" width="17.140625" style="165" customWidth="1"/>
    <col min="13045" max="13045" width="47.42578125" style="165" customWidth="1"/>
    <col min="13046" max="13046" width="15.5703125" style="165" customWidth="1"/>
    <col min="13047" max="13047" width="12.7109375" style="165" customWidth="1"/>
    <col min="13048" max="13298" width="9.140625" style="165"/>
    <col min="13299" max="13299" width="26" style="165" customWidth="1"/>
    <col min="13300" max="13300" width="17.140625" style="165" customWidth="1"/>
    <col min="13301" max="13301" width="47.42578125" style="165" customWidth="1"/>
    <col min="13302" max="13302" width="15.5703125" style="165" customWidth="1"/>
    <col min="13303" max="13303" width="12.7109375" style="165" customWidth="1"/>
    <col min="13304" max="13554" width="9.140625" style="165"/>
    <col min="13555" max="13555" width="26" style="165" customWidth="1"/>
    <col min="13556" max="13556" width="17.140625" style="165" customWidth="1"/>
    <col min="13557" max="13557" width="47.42578125" style="165" customWidth="1"/>
    <col min="13558" max="13558" width="15.5703125" style="165" customWidth="1"/>
    <col min="13559" max="13559" width="12.7109375" style="165" customWidth="1"/>
    <col min="13560" max="13810" width="9.140625" style="165"/>
    <col min="13811" max="13811" width="26" style="165" customWidth="1"/>
    <col min="13812" max="13812" width="17.140625" style="165" customWidth="1"/>
    <col min="13813" max="13813" width="47.42578125" style="165" customWidth="1"/>
    <col min="13814" max="13814" width="15.5703125" style="165" customWidth="1"/>
    <col min="13815" max="13815" width="12.7109375" style="165" customWidth="1"/>
    <col min="13816" max="14066" width="9.140625" style="165"/>
    <col min="14067" max="14067" width="26" style="165" customWidth="1"/>
    <col min="14068" max="14068" width="17.140625" style="165" customWidth="1"/>
    <col min="14069" max="14069" width="47.42578125" style="165" customWidth="1"/>
    <col min="14070" max="14070" width="15.5703125" style="165" customWidth="1"/>
    <col min="14071" max="14071" width="12.7109375" style="165" customWidth="1"/>
    <col min="14072" max="14322" width="9.140625" style="165"/>
    <col min="14323" max="14323" width="26" style="165" customWidth="1"/>
    <col min="14324" max="14324" width="17.140625" style="165" customWidth="1"/>
    <col min="14325" max="14325" width="47.42578125" style="165" customWidth="1"/>
    <col min="14326" max="14326" width="15.5703125" style="165" customWidth="1"/>
    <col min="14327" max="14327" width="12.7109375" style="165" customWidth="1"/>
    <col min="14328" max="14578" width="9.140625" style="165"/>
    <col min="14579" max="14579" width="26" style="165" customWidth="1"/>
    <col min="14580" max="14580" width="17.140625" style="165" customWidth="1"/>
    <col min="14581" max="14581" width="47.42578125" style="165" customWidth="1"/>
    <col min="14582" max="14582" width="15.5703125" style="165" customWidth="1"/>
    <col min="14583" max="14583" width="12.7109375" style="165" customWidth="1"/>
    <col min="14584" max="14834" width="9.140625" style="165"/>
    <col min="14835" max="14835" width="26" style="165" customWidth="1"/>
    <col min="14836" max="14836" width="17.140625" style="165" customWidth="1"/>
    <col min="14837" max="14837" width="47.42578125" style="165" customWidth="1"/>
    <col min="14838" max="14838" width="15.5703125" style="165" customWidth="1"/>
    <col min="14839" max="14839" width="12.7109375" style="165" customWidth="1"/>
    <col min="14840" max="15090" width="9.140625" style="165"/>
    <col min="15091" max="15091" width="26" style="165" customWidth="1"/>
    <col min="15092" max="15092" width="17.140625" style="165" customWidth="1"/>
    <col min="15093" max="15093" width="47.42578125" style="165" customWidth="1"/>
    <col min="15094" max="15094" width="15.5703125" style="165" customWidth="1"/>
    <col min="15095" max="15095" width="12.7109375" style="165" customWidth="1"/>
    <col min="15096" max="15346" width="9.140625" style="165"/>
    <col min="15347" max="15347" width="26" style="165" customWidth="1"/>
    <col min="15348" max="15348" width="17.140625" style="165" customWidth="1"/>
    <col min="15349" max="15349" width="47.42578125" style="165" customWidth="1"/>
    <col min="15350" max="15350" width="15.5703125" style="165" customWidth="1"/>
    <col min="15351" max="15351" width="12.7109375" style="165" customWidth="1"/>
    <col min="15352" max="15602" width="9.140625" style="165"/>
    <col min="15603" max="15603" width="26" style="165" customWidth="1"/>
    <col min="15604" max="15604" width="17.140625" style="165" customWidth="1"/>
    <col min="15605" max="15605" width="47.42578125" style="165" customWidth="1"/>
    <col min="15606" max="15606" width="15.5703125" style="165" customWidth="1"/>
    <col min="15607" max="15607" width="12.7109375" style="165" customWidth="1"/>
    <col min="15608" max="15858" width="9.140625" style="165"/>
    <col min="15859" max="15859" width="26" style="165" customWidth="1"/>
    <col min="15860" max="15860" width="17.140625" style="165" customWidth="1"/>
    <col min="15861" max="15861" width="47.42578125" style="165" customWidth="1"/>
    <col min="15862" max="15862" width="15.5703125" style="165" customWidth="1"/>
    <col min="15863" max="15863" width="12.7109375" style="165" customWidth="1"/>
    <col min="15864" max="16114" width="9.140625" style="165"/>
    <col min="16115" max="16115" width="26" style="165" customWidth="1"/>
    <col min="16116" max="16116" width="17.140625" style="165" customWidth="1"/>
    <col min="16117" max="16117" width="47.42578125" style="165" customWidth="1"/>
    <col min="16118" max="16118" width="15.5703125" style="165" customWidth="1"/>
    <col min="16119" max="16119" width="12.7109375" style="165" customWidth="1"/>
    <col min="16120" max="16384" width="9.140625" style="165"/>
  </cols>
  <sheetData>
    <row r="1" spans="1:9" s="94" customFormat="1" ht="18" customHeight="1" x14ac:dyDescent="0.25">
      <c r="A1" s="164"/>
      <c r="C1" s="554" t="s">
        <v>429</v>
      </c>
      <c r="D1" s="554"/>
      <c r="E1" s="554"/>
      <c r="F1" s="554"/>
      <c r="G1" s="554"/>
      <c r="H1" s="554"/>
      <c r="I1" s="554"/>
    </row>
    <row r="2" spans="1:9" s="94" customFormat="1" ht="60" customHeight="1" x14ac:dyDescent="0.25">
      <c r="A2" s="164"/>
      <c r="C2" s="536" t="s">
        <v>462</v>
      </c>
      <c r="D2" s="536"/>
      <c r="E2" s="536"/>
      <c r="F2" s="536"/>
      <c r="G2" s="536"/>
      <c r="H2" s="536"/>
      <c r="I2" s="536"/>
    </row>
    <row r="3" spans="1:9" s="166" customFormat="1" ht="67.5" customHeight="1" x14ac:dyDescent="0.2">
      <c r="A3" s="557" t="s">
        <v>554</v>
      </c>
      <c r="B3" s="557"/>
      <c r="C3" s="557"/>
      <c r="D3" s="557"/>
      <c r="E3" s="557"/>
      <c r="F3" s="557"/>
      <c r="G3" s="557"/>
      <c r="H3" s="557"/>
      <c r="I3" s="557"/>
    </row>
    <row r="4" spans="1:9" s="166" customFormat="1" x14ac:dyDescent="0.2">
      <c r="A4" s="167"/>
      <c r="D4" s="168" t="s">
        <v>437</v>
      </c>
      <c r="E4" s="168"/>
      <c r="F4" s="168"/>
    </row>
    <row r="5" spans="1:9" s="95" customFormat="1" ht="26.25" customHeight="1" x14ac:dyDescent="0.25">
      <c r="A5" s="123" t="s">
        <v>399</v>
      </c>
      <c r="B5" s="505" t="s">
        <v>400</v>
      </c>
      <c r="C5" s="505"/>
      <c r="D5" s="123" t="s">
        <v>421</v>
      </c>
      <c r="E5" s="219" t="s">
        <v>618</v>
      </c>
      <c r="F5" s="219" t="s">
        <v>631</v>
      </c>
      <c r="G5" s="219">
        <v>2017</v>
      </c>
      <c r="H5" s="219" t="s">
        <v>618</v>
      </c>
      <c r="I5" s="219" t="s">
        <v>619</v>
      </c>
    </row>
    <row r="6" spans="1:9" ht="42" customHeight="1" x14ac:dyDescent="0.25">
      <c r="A6" s="93" t="s">
        <v>401</v>
      </c>
      <c r="B6" s="555" t="s">
        <v>402</v>
      </c>
      <c r="C6" s="555"/>
      <c r="D6" s="169" t="e">
        <f>D7+D11</f>
        <v>#REF!</v>
      </c>
      <c r="E6" s="169" t="e">
        <f t="shared" ref="E6:F6" si="0">E7+E11</f>
        <v>#REF!</v>
      </c>
      <c r="F6" s="169">
        <f t="shared" si="0"/>
        <v>0</v>
      </c>
      <c r="G6" s="169" t="e">
        <f>G7+G11</f>
        <v>#REF!</v>
      </c>
      <c r="H6" s="169" t="e">
        <f t="shared" ref="H6:I6" si="1">H7+H11</f>
        <v>#REF!</v>
      </c>
      <c r="I6" s="169">
        <f t="shared" si="1"/>
        <v>0</v>
      </c>
    </row>
    <row r="7" spans="1:9" s="166" customFormat="1" ht="42" customHeight="1" x14ac:dyDescent="0.2">
      <c r="A7" s="93" t="s">
        <v>403</v>
      </c>
      <c r="B7" s="555" t="s">
        <v>404</v>
      </c>
      <c r="C7" s="555"/>
      <c r="D7" s="169" t="e">
        <f t="shared" ref="D7:I9" si="2">D8</f>
        <v>#REF!</v>
      </c>
      <c r="E7" s="169" t="e">
        <f t="shared" si="2"/>
        <v>#REF!</v>
      </c>
      <c r="F7" s="169">
        <f t="shared" si="2"/>
        <v>-225223380</v>
      </c>
      <c r="G7" s="169" t="e">
        <f t="shared" si="2"/>
        <v>#REF!</v>
      </c>
      <c r="H7" s="169" t="e">
        <f t="shared" si="2"/>
        <v>#REF!</v>
      </c>
      <c r="I7" s="169">
        <f t="shared" si="2"/>
        <v>-224194673</v>
      </c>
    </row>
    <row r="8" spans="1:9" s="166" customFormat="1" ht="42" customHeight="1" x14ac:dyDescent="0.2">
      <c r="A8" s="93" t="s">
        <v>405</v>
      </c>
      <c r="B8" s="555" t="s">
        <v>406</v>
      </c>
      <c r="C8" s="555"/>
      <c r="D8" s="169" t="e">
        <f t="shared" si="2"/>
        <v>#REF!</v>
      </c>
      <c r="E8" s="169" t="e">
        <f t="shared" si="2"/>
        <v>#REF!</v>
      </c>
      <c r="F8" s="169">
        <f t="shared" si="2"/>
        <v>-225223380</v>
      </c>
      <c r="G8" s="169" t="e">
        <f t="shared" si="2"/>
        <v>#REF!</v>
      </c>
      <c r="H8" s="169" t="e">
        <f t="shared" si="2"/>
        <v>#REF!</v>
      </c>
      <c r="I8" s="169">
        <f t="shared" si="2"/>
        <v>-224194673</v>
      </c>
    </row>
    <row r="9" spans="1:9" s="166" customFormat="1" ht="42" customHeight="1" x14ac:dyDescent="0.2">
      <c r="A9" s="93" t="s">
        <v>407</v>
      </c>
      <c r="B9" s="555" t="s">
        <v>408</v>
      </c>
      <c r="C9" s="555"/>
      <c r="D9" s="169" t="e">
        <f t="shared" si="2"/>
        <v>#REF!</v>
      </c>
      <c r="E9" s="169" t="e">
        <f t="shared" si="2"/>
        <v>#REF!</v>
      </c>
      <c r="F9" s="169">
        <f t="shared" si="2"/>
        <v>-225223380</v>
      </c>
      <c r="G9" s="169" t="e">
        <f t="shared" si="2"/>
        <v>#REF!</v>
      </c>
      <c r="H9" s="169" t="e">
        <f t="shared" si="2"/>
        <v>#REF!</v>
      </c>
      <c r="I9" s="169">
        <f t="shared" si="2"/>
        <v>-224194673</v>
      </c>
    </row>
    <row r="10" spans="1:9" s="166" customFormat="1" ht="42" customHeight="1" x14ac:dyDescent="0.2">
      <c r="A10" s="93" t="s">
        <v>409</v>
      </c>
      <c r="B10" s="555" t="s">
        <v>410</v>
      </c>
      <c r="C10" s="555"/>
      <c r="D10" s="169" t="e">
        <f>-#REF!</f>
        <v>#REF!</v>
      </c>
      <c r="E10" s="169" t="e">
        <f>-#REF!</f>
        <v>#REF!</v>
      </c>
      <c r="F10" s="169">
        <v>-225223380</v>
      </c>
      <c r="G10" s="169" t="e">
        <f>-#REF!</f>
        <v>#REF!</v>
      </c>
      <c r="H10" s="169" t="e">
        <f>-#REF!</f>
        <v>#REF!</v>
      </c>
      <c r="I10" s="169">
        <v>-224194673</v>
      </c>
    </row>
    <row r="11" spans="1:9" s="166" customFormat="1" ht="42" customHeight="1" x14ac:dyDescent="0.2">
      <c r="A11" s="93" t="s">
        <v>411</v>
      </c>
      <c r="B11" s="555" t="s">
        <v>412</v>
      </c>
      <c r="C11" s="555"/>
      <c r="D11" s="169">
        <f t="shared" ref="D11:I13" si="3">D12</f>
        <v>230823280</v>
      </c>
      <c r="E11" s="169">
        <f t="shared" si="3"/>
        <v>-5599900</v>
      </c>
      <c r="F11" s="169">
        <f t="shared" si="3"/>
        <v>225223380</v>
      </c>
      <c r="G11" s="169">
        <f t="shared" si="3"/>
        <v>229348073</v>
      </c>
      <c r="H11" s="169">
        <f t="shared" si="3"/>
        <v>-5153400</v>
      </c>
      <c r="I11" s="169">
        <f t="shared" si="3"/>
        <v>224194673</v>
      </c>
    </row>
    <row r="12" spans="1:9" s="166" customFormat="1" ht="42" customHeight="1" x14ac:dyDescent="0.2">
      <c r="A12" s="93" t="s">
        <v>413</v>
      </c>
      <c r="B12" s="555" t="s">
        <v>414</v>
      </c>
      <c r="C12" s="555"/>
      <c r="D12" s="169">
        <f t="shared" si="3"/>
        <v>230823280</v>
      </c>
      <c r="E12" s="169">
        <f t="shared" si="3"/>
        <v>-5599900</v>
      </c>
      <c r="F12" s="169">
        <f t="shared" si="3"/>
        <v>225223380</v>
      </c>
      <c r="G12" s="169">
        <f t="shared" si="3"/>
        <v>229348073</v>
      </c>
      <c r="H12" s="169">
        <f t="shared" si="3"/>
        <v>-5153400</v>
      </c>
      <c r="I12" s="169">
        <f t="shared" si="3"/>
        <v>224194673</v>
      </c>
    </row>
    <row r="13" spans="1:9" s="166" customFormat="1" ht="42" customHeight="1" x14ac:dyDescent="0.2">
      <c r="A13" s="93" t="s">
        <v>415</v>
      </c>
      <c r="B13" s="555" t="s">
        <v>416</v>
      </c>
      <c r="C13" s="555"/>
      <c r="D13" s="169">
        <f t="shared" si="3"/>
        <v>230823280</v>
      </c>
      <c r="E13" s="169">
        <f t="shared" si="3"/>
        <v>-5599900</v>
      </c>
      <c r="F13" s="169">
        <f t="shared" si="3"/>
        <v>225223380</v>
      </c>
      <c r="G13" s="169">
        <f t="shared" si="3"/>
        <v>229348073</v>
      </c>
      <c r="H13" s="169">
        <f t="shared" si="3"/>
        <v>-5153400</v>
      </c>
      <c r="I13" s="169">
        <f t="shared" si="3"/>
        <v>224194673</v>
      </c>
    </row>
    <row r="14" spans="1:9" s="166" customFormat="1" ht="42" customHeight="1" x14ac:dyDescent="0.2">
      <c r="A14" s="93" t="s">
        <v>417</v>
      </c>
      <c r="B14" s="555" t="s">
        <v>418</v>
      </c>
      <c r="C14" s="555"/>
      <c r="D14" s="169">
        <f>'7 Вед.15-16'!K305</f>
        <v>230823280</v>
      </c>
      <c r="E14" s="169">
        <f>'7 Вед.15-16'!L305</f>
        <v>-5599900</v>
      </c>
      <c r="F14" s="169">
        <f>'7 Вед.15-16'!M305</f>
        <v>225223380</v>
      </c>
      <c r="G14" s="169">
        <f>'7 Вед.15-16'!N305</f>
        <v>229348073</v>
      </c>
      <c r="H14" s="169">
        <f>'7 Вед.15-16'!O305</f>
        <v>-5153400</v>
      </c>
      <c r="I14" s="169">
        <f>'7 Вед.15-16'!P305</f>
        <v>224194673</v>
      </c>
    </row>
    <row r="15" spans="1:9" s="172" customFormat="1" ht="42" customHeight="1" x14ac:dyDescent="0.25">
      <c r="A15" s="170"/>
      <c r="B15" s="556" t="s">
        <v>419</v>
      </c>
      <c r="C15" s="556"/>
      <c r="D15" s="171" t="e">
        <f>D6</f>
        <v>#REF!</v>
      </c>
      <c r="E15" s="171" t="e">
        <f t="shared" ref="E15:F15" si="4">E6</f>
        <v>#REF!</v>
      </c>
      <c r="F15" s="171">
        <f t="shared" si="4"/>
        <v>0</v>
      </c>
      <c r="G15" s="171" t="e">
        <f>G6</f>
        <v>#REF!</v>
      </c>
      <c r="H15" s="171" t="e">
        <f t="shared" ref="H15:I15" si="5">H6</f>
        <v>#REF!</v>
      </c>
      <c r="I15" s="171">
        <f t="shared" si="5"/>
        <v>0</v>
      </c>
    </row>
    <row r="16" spans="1:9" x14ac:dyDescent="0.25">
      <c r="C16" s="165" t="s">
        <v>181</v>
      </c>
    </row>
    <row r="17" spans="3:6" x14ac:dyDescent="0.25">
      <c r="D17" s="173"/>
      <c r="E17" s="173"/>
      <c r="F17" s="173"/>
    </row>
    <row r="18" spans="3:6" x14ac:dyDescent="0.25">
      <c r="D18" s="173"/>
      <c r="E18" s="173"/>
      <c r="F18" s="173"/>
    </row>
    <row r="19" spans="3:6" x14ac:dyDescent="0.25">
      <c r="D19" s="173"/>
      <c r="E19" s="173"/>
      <c r="F19" s="173"/>
    </row>
    <row r="21" spans="3:6" x14ac:dyDescent="0.25">
      <c r="C21" s="174"/>
      <c r="D21" s="174"/>
      <c r="E21" s="174"/>
      <c r="F21" s="174"/>
    </row>
    <row r="25" spans="3:6" x14ac:dyDescent="0.25">
      <c r="C25" s="175"/>
      <c r="D25" s="175"/>
      <c r="E25" s="175"/>
      <c r="F25" s="175"/>
    </row>
  </sheetData>
  <mergeCells count="14">
    <mergeCell ref="B5:C5"/>
    <mergeCell ref="B6:C6"/>
    <mergeCell ref="B7:C7"/>
    <mergeCell ref="B14:C14"/>
    <mergeCell ref="C1:I1"/>
    <mergeCell ref="C2:I2"/>
    <mergeCell ref="A3:I3"/>
    <mergeCell ref="B15:C15"/>
    <mergeCell ref="B8:C8"/>
    <mergeCell ref="B9:C9"/>
    <mergeCell ref="B10:C10"/>
    <mergeCell ref="B11:C11"/>
    <mergeCell ref="B12:C12"/>
    <mergeCell ref="B13:C13"/>
  </mergeCells>
  <pageMargins left="0.9055118110236221" right="0.51181102362204722" top="0.35433070866141736" bottom="0.74803149606299213"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topLeftCell="A49" workbookViewId="0">
      <selection activeCell="F47" sqref="F47"/>
    </sheetView>
  </sheetViews>
  <sheetFormatPr defaultRowHeight="12.75" x14ac:dyDescent="0.2"/>
  <cols>
    <col min="1" max="1" width="8.5703125" style="145" customWidth="1"/>
    <col min="2" max="2" width="9.140625" style="145"/>
    <col min="3" max="3" width="14" style="145" customWidth="1"/>
    <col min="4" max="4" width="72" style="125" customWidth="1"/>
    <col min="5" max="255" width="9.140625" style="125"/>
    <col min="256" max="256" width="9" style="125" customWidth="1"/>
    <col min="257" max="257" width="9.140625" style="125"/>
    <col min="258" max="258" width="12.28515625" style="125" customWidth="1"/>
    <col min="259" max="259" width="55.5703125" style="125" customWidth="1"/>
    <col min="260" max="511" width="9.140625" style="125"/>
    <col min="512" max="512" width="9" style="125" customWidth="1"/>
    <col min="513" max="513" width="9.140625" style="125"/>
    <col min="514" max="514" width="12.28515625" style="125" customWidth="1"/>
    <col min="515" max="515" width="55.5703125" style="125" customWidth="1"/>
    <col min="516" max="767" width="9.140625" style="125"/>
    <col min="768" max="768" width="9" style="125" customWidth="1"/>
    <col min="769" max="769" width="9.140625" style="125"/>
    <col min="770" max="770" width="12.28515625" style="125" customWidth="1"/>
    <col min="771" max="771" width="55.5703125" style="125" customWidth="1"/>
    <col min="772" max="1023" width="9.140625" style="125"/>
    <col min="1024" max="1024" width="9" style="125" customWidth="1"/>
    <col min="1025" max="1025" width="9.140625" style="125"/>
    <col min="1026" max="1026" width="12.28515625" style="125" customWidth="1"/>
    <col min="1027" max="1027" width="55.5703125" style="125" customWidth="1"/>
    <col min="1028" max="1279" width="9.140625" style="125"/>
    <col min="1280" max="1280" width="9" style="125" customWidth="1"/>
    <col min="1281" max="1281" width="9.140625" style="125"/>
    <col min="1282" max="1282" width="12.28515625" style="125" customWidth="1"/>
    <col min="1283" max="1283" width="55.5703125" style="125" customWidth="1"/>
    <col min="1284" max="1535" width="9.140625" style="125"/>
    <col min="1536" max="1536" width="9" style="125" customWidth="1"/>
    <col min="1537" max="1537" width="9.140625" style="125"/>
    <col min="1538" max="1538" width="12.28515625" style="125" customWidth="1"/>
    <col min="1539" max="1539" width="55.5703125" style="125" customWidth="1"/>
    <col min="1540" max="1791" width="9.140625" style="125"/>
    <col min="1792" max="1792" width="9" style="125" customWidth="1"/>
    <col min="1793" max="1793" width="9.140625" style="125"/>
    <col min="1794" max="1794" width="12.28515625" style="125" customWidth="1"/>
    <col min="1795" max="1795" width="55.5703125" style="125" customWidth="1"/>
    <col min="1796" max="2047" width="9.140625" style="125"/>
    <col min="2048" max="2048" width="9" style="125" customWidth="1"/>
    <col min="2049" max="2049" width="9.140625" style="125"/>
    <col min="2050" max="2050" width="12.28515625" style="125" customWidth="1"/>
    <col min="2051" max="2051" width="55.5703125" style="125" customWidth="1"/>
    <col min="2052" max="2303" width="9.140625" style="125"/>
    <col min="2304" max="2304" width="9" style="125" customWidth="1"/>
    <col min="2305" max="2305" width="9.140625" style="125"/>
    <col min="2306" max="2306" width="12.28515625" style="125" customWidth="1"/>
    <col min="2307" max="2307" width="55.5703125" style="125" customWidth="1"/>
    <col min="2308" max="2559" width="9.140625" style="125"/>
    <col min="2560" max="2560" width="9" style="125" customWidth="1"/>
    <col min="2561" max="2561" width="9.140625" style="125"/>
    <col min="2562" max="2562" width="12.28515625" style="125" customWidth="1"/>
    <col min="2563" max="2563" width="55.5703125" style="125" customWidth="1"/>
    <col min="2564" max="2815" width="9.140625" style="125"/>
    <col min="2816" max="2816" width="9" style="125" customWidth="1"/>
    <col min="2817" max="2817" width="9.140625" style="125"/>
    <col min="2818" max="2818" width="12.28515625" style="125" customWidth="1"/>
    <col min="2819" max="2819" width="55.5703125" style="125" customWidth="1"/>
    <col min="2820" max="3071" width="9.140625" style="125"/>
    <col min="3072" max="3072" width="9" style="125" customWidth="1"/>
    <col min="3073" max="3073" width="9.140625" style="125"/>
    <col min="3074" max="3074" width="12.28515625" style="125" customWidth="1"/>
    <col min="3075" max="3075" width="55.5703125" style="125" customWidth="1"/>
    <col min="3076" max="3327" width="9.140625" style="125"/>
    <col min="3328" max="3328" width="9" style="125" customWidth="1"/>
    <col min="3329" max="3329" width="9.140625" style="125"/>
    <col min="3330" max="3330" width="12.28515625" style="125" customWidth="1"/>
    <col min="3331" max="3331" width="55.5703125" style="125" customWidth="1"/>
    <col min="3332" max="3583" width="9.140625" style="125"/>
    <col min="3584" max="3584" width="9" style="125" customWidth="1"/>
    <col min="3585" max="3585" width="9.140625" style="125"/>
    <col min="3586" max="3586" width="12.28515625" style="125" customWidth="1"/>
    <col min="3587" max="3587" width="55.5703125" style="125" customWidth="1"/>
    <col min="3588" max="3839" width="9.140625" style="125"/>
    <col min="3840" max="3840" width="9" style="125" customWidth="1"/>
    <col min="3841" max="3841" width="9.140625" style="125"/>
    <col min="3842" max="3842" width="12.28515625" style="125" customWidth="1"/>
    <col min="3843" max="3843" width="55.5703125" style="125" customWidth="1"/>
    <col min="3844" max="4095" width="9.140625" style="125"/>
    <col min="4096" max="4096" width="9" style="125" customWidth="1"/>
    <col min="4097" max="4097" width="9.140625" style="125"/>
    <col min="4098" max="4098" width="12.28515625" style="125" customWidth="1"/>
    <col min="4099" max="4099" width="55.5703125" style="125" customWidth="1"/>
    <col min="4100" max="4351" width="9.140625" style="125"/>
    <col min="4352" max="4352" width="9" style="125" customWidth="1"/>
    <col min="4353" max="4353" width="9.140625" style="125"/>
    <col min="4354" max="4354" width="12.28515625" style="125" customWidth="1"/>
    <col min="4355" max="4355" width="55.5703125" style="125" customWidth="1"/>
    <col min="4356" max="4607" width="9.140625" style="125"/>
    <col min="4608" max="4608" width="9" style="125" customWidth="1"/>
    <col min="4609" max="4609" width="9.140625" style="125"/>
    <col min="4610" max="4610" width="12.28515625" style="125" customWidth="1"/>
    <col min="4611" max="4611" width="55.5703125" style="125" customWidth="1"/>
    <col min="4612" max="4863" width="9.140625" style="125"/>
    <col min="4864" max="4864" width="9" style="125" customWidth="1"/>
    <col min="4865" max="4865" width="9.140625" style="125"/>
    <col min="4866" max="4866" width="12.28515625" style="125" customWidth="1"/>
    <col min="4867" max="4867" width="55.5703125" style="125" customWidth="1"/>
    <col min="4868" max="5119" width="9.140625" style="125"/>
    <col min="5120" max="5120" width="9" style="125" customWidth="1"/>
    <col min="5121" max="5121" width="9.140625" style="125"/>
    <col min="5122" max="5122" width="12.28515625" style="125" customWidth="1"/>
    <col min="5123" max="5123" width="55.5703125" style="125" customWidth="1"/>
    <col min="5124" max="5375" width="9.140625" style="125"/>
    <col min="5376" max="5376" width="9" style="125" customWidth="1"/>
    <col min="5377" max="5377" width="9.140625" style="125"/>
    <col min="5378" max="5378" width="12.28515625" style="125" customWidth="1"/>
    <col min="5379" max="5379" width="55.5703125" style="125" customWidth="1"/>
    <col min="5380" max="5631" width="9.140625" style="125"/>
    <col min="5632" max="5632" width="9" style="125" customWidth="1"/>
    <col min="5633" max="5633" width="9.140625" style="125"/>
    <col min="5634" max="5634" width="12.28515625" style="125" customWidth="1"/>
    <col min="5635" max="5635" width="55.5703125" style="125" customWidth="1"/>
    <col min="5636" max="5887" width="9.140625" style="125"/>
    <col min="5888" max="5888" width="9" style="125" customWidth="1"/>
    <col min="5889" max="5889" width="9.140625" style="125"/>
    <col min="5890" max="5890" width="12.28515625" style="125" customWidth="1"/>
    <col min="5891" max="5891" width="55.5703125" style="125" customWidth="1"/>
    <col min="5892" max="6143" width="9.140625" style="125"/>
    <col min="6144" max="6144" width="9" style="125" customWidth="1"/>
    <col min="6145" max="6145" width="9.140625" style="125"/>
    <col min="6146" max="6146" width="12.28515625" style="125" customWidth="1"/>
    <col min="6147" max="6147" width="55.5703125" style="125" customWidth="1"/>
    <col min="6148" max="6399" width="9.140625" style="125"/>
    <col min="6400" max="6400" width="9" style="125" customWidth="1"/>
    <col min="6401" max="6401" width="9.140625" style="125"/>
    <col min="6402" max="6402" width="12.28515625" style="125" customWidth="1"/>
    <col min="6403" max="6403" width="55.5703125" style="125" customWidth="1"/>
    <col min="6404" max="6655" width="9.140625" style="125"/>
    <col min="6656" max="6656" width="9" style="125" customWidth="1"/>
    <col min="6657" max="6657" width="9.140625" style="125"/>
    <col min="6658" max="6658" width="12.28515625" style="125" customWidth="1"/>
    <col min="6659" max="6659" width="55.5703125" style="125" customWidth="1"/>
    <col min="6660" max="6911" width="9.140625" style="125"/>
    <col min="6912" max="6912" width="9" style="125" customWidth="1"/>
    <col min="6913" max="6913" width="9.140625" style="125"/>
    <col min="6914" max="6914" width="12.28515625" style="125" customWidth="1"/>
    <col min="6915" max="6915" width="55.5703125" style="125" customWidth="1"/>
    <col min="6916" max="7167" width="9.140625" style="125"/>
    <col min="7168" max="7168" width="9" style="125" customWidth="1"/>
    <col min="7169" max="7169" width="9.140625" style="125"/>
    <col min="7170" max="7170" width="12.28515625" style="125" customWidth="1"/>
    <col min="7171" max="7171" width="55.5703125" style="125" customWidth="1"/>
    <col min="7172" max="7423" width="9.140625" style="125"/>
    <col min="7424" max="7424" width="9" style="125" customWidth="1"/>
    <col min="7425" max="7425" width="9.140625" style="125"/>
    <col min="7426" max="7426" width="12.28515625" style="125" customWidth="1"/>
    <col min="7427" max="7427" width="55.5703125" style="125" customWidth="1"/>
    <col min="7428" max="7679" width="9.140625" style="125"/>
    <col min="7680" max="7680" width="9" style="125" customWidth="1"/>
    <col min="7681" max="7681" width="9.140625" style="125"/>
    <col min="7682" max="7682" width="12.28515625" style="125" customWidth="1"/>
    <col min="7683" max="7683" width="55.5703125" style="125" customWidth="1"/>
    <col min="7684" max="7935" width="9.140625" style="125"/>
    <col min="7936" max="7936" width="9" style="125" customWidth="1"/>
    <col min="7937" max="7937" width="9.140625" style="125"/>
    <col min="7938" max="7938" width="12.28515625" style="125" customWidth="1"/>
    <col min="7939" max="7939" width="55.5703125" style="125" customWidth="1"/>
    <col min="7940" max="8191" width="9.140625" style="125"/>
    <col min="8192" max="8192" width="9" style="125" customWidth="1"/>
    <col min="8193" max="8193" width="9.140625" style="125"/>
    <col min="8194" max="8194" width="12.28515625" style="125" customWidth="1"/>
    <col min="8195" max="8195" width="55.5703125" style="125" customWidth="1"/>
    <col min="8196" max="8447" width="9.140625" style="125"/>
    <col min="8448" max="8448" width="9" style="125" customWidth="1"/>
    <col min="8449" max="8449" width="9.140625" style="125"/>
    <col min="8450" max="8450" width="12.28515625" style="125" customWidth="1"/>
    <col min="8451" max="8451" width="55.5703125" style="125" customWidth="1"/>
    <col min="8452" max="8703" width="9.140625" style="125"/>
    <col min="8704" max="8704" width="9" style="125" customWidth="1"/>
    <col min="8705" max="8705" width="9.140625" style="125"/>
    <col min="8706" max="8706" width="12.28515625" style="125" customWidth="1"/>
    <col min="8707" max="8707" width="55.5703125" style="125" customWidth="1"/>
    <col min="8708" max="8959" width="9.140625" style="125"/>
    <col min="8960" max="8960" width="9" style="125" customWidth="1"/>
    <col min="8961" max="8961" width="9.140625" style="125"/>
    <col min="8962" max="8962" width="12.28515625" style="125" customWidth="1"/>
    <col min="8963" max="8963" width="55.5703125" style="125" customWidth="1"/>
    <col min="8964" max="9215" width="9.140625" style="125"/>
    <col min="9216" max="9216" width="9" style="125" customWidth="1"/>
    <col min="9217" max="9217" width="9.140625" style="125"/>
    <col min="9218" max="9218" width="12.28515625" style="125" customWidth="1"/>
    <col min="9219" max="9219" width="55.5703125" style="125" customWidth="1"/>
    <col min="9220" max="9471" width="9.140625" style="125"/>
    <col min="9472" max="9472" width="9" style="125" customWidth="1"/>
    <col min="9473" max="9473" width="9.140625" style="125"/>
    <col min="9474" max="9474" width="12.28515625" style="125" customWidth="1"/>
    <col min="9475" max="9475" width="55.5703125" style="125" customWidth="1"/>
    <col min="9476" max="9727" width="9.140625" style="125"/>
    <col min="9728" max="9728" width="9" style="125" customWidth="1"/>
    <col min="9729" max="9729" width="9.140625" style="125"/>
    <col min="9730" max="9730" width="12.28515625" style="125" customWidth="1"/>
    <col min="9731" max="9731" width="55.5703125" style="125" customWidth="1"/>
    <col min="9732" max="9983" width="9.140625" style="125"/>
    <col min="9984" max="9984" width="9" style="125" customWidth="1"/>
    <col min="9985" max="9985" width="9.140625" style="125"/>
    <col min="9986" max="9986" width="12.28515625" style="125" customWidth="1"/>
    <col min="9987" max="9987" width="55.5703125" style="125" customWidth="1"/>
    <col min="9988" max="10239" width="9.140625" style="125"/>
    <col min="10240" max="10240" width="9" style="125" customWidth="1"/>
    <col min="10241" max="10241" width="9.140625" style="125"/>
    <col min="10242" max="10242" width="12.28515625" style="125" customWidth="1"/>
    <col min="10243" max="10243" width="55.5703125" style="125" customWidth="1"/>
    <col min="10244" max="10495" width="9.140625" style="125"/>
    <col min="10496" max="10496" width="9" style="125" customWidth="1"/>
    <col min="10497" max="10497" width="9.140625" style="125"/>
    <col min="10498" max="10498" width="12.28515625" style="125" customWidth="1"/>
    <col min="10499" max="10499" width="55.5703125" style="125" customWidth="1"/>
    <col min="10500" max="10751" width="9.140625" style="125"/>
    <col min="10752" max="10752" width="9" style="125" customWidth="1"/>
    <col min="10753" max="10753" width="9.140625" style="125"/>
    <col min="10754" max="10754" width="12.28515625" style="125" customWidth="1"/>
    <col min="10755" max="10755" width="55.5703125" style="125" customWidth="1"/>
    <col min="10756" max="11007" width="9.140625" style="125"/>
    <col min="11008" max="11008" width="9" style="125" customWidth="1"/>
    <col min="11009" max="11009" width="9.140625" style="125"/>
    <col min="11010" max="11010" width="12.28515625" style="125" customWidth="1"/>
    <col min="11011" max="11011" width="55.5703125" style="125" customWidth="1"/>
    <col min="11012" max="11263" width="9.140625" style="125"/>
    <col min="11264" max="11264" width="9" style="125" customWidth="1"/>
    <col min="11265" max="11265" width="9.140625" style="125"/>
    <col min="11266" max="11266" width="12.28515625" style="125" customWidth="1"/>
    <col min="11267" max="11267" width="55.5703125" style="125" customWidth="1"/>
    <col min="11268" max="11519" width="9.140625" style="125"/>
    <col min="11520" max="11520" width="9" style="125" customWidth="1"/>
    <col min="11521" max="11521" width="9.140625" style="125"/>
    <col min="11522" max="11522" width="12.28515625" style="125" customWidth="1"/>
    <col min="11523" max="11523" width="55.5703125" style="125" customWidth="1"/>
    <col min="11524" max="11775" width="9.140625" style="125"/>
    <col min="11776" max="11776" width="9" style="125" customWidth="1"/>
    <col min="11777" max="11777" width="9.140625" style="125"/>
    <col min="11778" max="11778" width="12.28515625" style="125" customWidth="1"/>
    <col min="11779" max="11779" width="55.5703125" style="125" customWidth="1"/>
    <col min="11780" max="12031" width="9.140625" style="125"/>
    <col min="12032" max="12032" width="9" style="125" customWidth="1"/>
    <col min="12033" max="12033" width="9.140625" style="125"/>
    <col min="12034" max="12034" width="12.28515625" style="125" customWidth="1"/>
    <col min="12035" max="12035" width="55.5703125" style="125" customWidth="1"/>
    <col min="12036" max="12287" width="9.140625" style="125"/>
    <col min="12288" max="12288" width="9" style="125" customWidth="1"/>
    <col min="12289" max="12289" width="9.140625" style="125"/>
    <col min="12290" max="12290" width="12.28515625" style="125" customWidth="1"/>
    <col min="12291" max="12291" width="55.5703125" style="125" customWidth="1"/>
    <col min="12292" max="12543" width="9.140625" style="125"/>
    <col min="12544" max="12544" width="9" style="125" customWidth="1"/>
    <col min="12545" max="12545" width="9.140625" style="125"/>
    <col min="12546" max="12546" width="12.28515625" style="125" customWidth="1"/>
    <col min="12547" max="12547" width="55.5703125" style="125" customWidth="1"/>
    <col min="12548" max="12799" width="9.140625" style="125"/>
    <col min="12800" max="12800" width="9" style="125" customWidth="1"/>
    <col min="12801" max="12801" width="9.140625" style="125"/>
    <col min="12802" max="12802" width="12.28515625" style="125" customWidth="1"/>
    <col min="12803" max="12803" width="55.5703125" style="125" customWidth="1"/>
    <col min="12804" max="13055" width="9.140625" style="125"/>
    <col min="13056" max="13056" width="9" style="125" customWidth="1"/>
    <col min="13057" max="13057" width="9.140625" style="125"/>
    <col min="13058" max="13058" width="12.28515625" style="125" customWidth="1"/>
    <col min="13059" max="13059" width="55.5703125" style="125" customWidth="1"/>
    <col min="13060" max="13311" width="9.140625" style="125"/>
    <col min="13312" max="13312" width="9" style="125" customWidth="1"/>
    <col min="13313" max="13313" width="9.140625" style="125"/>
    <col min="13314" max="13314" width="12.28515625" style="125" customWidth="1"/>
    <col min="13315" max="13315" width="55.5703125" style="125" customWidth="1"/>
    <col min="13316" max="13567" width="9.140625" style="125"/>
    <col min="13568" max="13568" width="9" style="125" customWidth="1"/>
    <col min="13569" max="13569" width="9.140625" style="125"/>
    <col min="13570" max="13570" width="12.28515625" style="125" customWidth="1"/>
    <col min="13571" max="13571" width="55.5703125" style="125" customWidth="1"/>
    <col min="13572" max="13823" width="9.140625" style="125"/>
    <col min="13824" max="13824" width="9" style="125" customWidth="1"/>
    <col min="13825" max="13825" width="9.140625" style="125"/>
    <col min="13826" max="13826" width="12.28515625" style="125" customWidth="1"/>
    <col min="13827" max="13827" width="55.5703125" style="125" customWidth="1"/>
    <col min="13828" max="14079" width="9.140625" style="125"/>
    <col min="14080" max="14080" width="9" style="125" customWidth="1"/>
    <col min="14081" max="14081" width="9.140625" style="125"/>
    <col min="14082" max="14082" width="12.28515625" style="125" customWidth="1"/>
    <col min="14083" max="14083" width="55.5703125" style="125" customWidth="1"/>
    <col min="14084" max="14335" width="9.140625" style="125"/>
    <col min="14336" max="14336" width="9" style="125" customWidth="1"/>
    <col min="14337" max="14337" width="9.140625" style="125"/>
    <col min="14338" max="14338" width="12.28515625" style="125" customWidth="1"/>
    <col min="14339" max="14339" width="55.5703125" style="125" customWidth="1"/>
    <col min="14340" max="14591" width="9.140625" style="125"/>
    <col min="14592" max="14592" width="9" style="125" customWidth="1"/>
    <col min="14593" max="14593" width="9.140625" style="125"/>
    <col min="14594" max="14594" width="12.28515625" style="125" customWidth="1"/>
    <col min="14595" max="14595" width="55.5703125" style="125" customWidth="1"/>
    <col min="14596" max="14847" width="9.140625" style="125"/>
    <col min="14848" max="14848" width="9" style="125" customWidth="1"/>
    <col min="14849" max="14849" width="9.140625" style="125"/>
    <col min="14850" max="14850" width="12.28515625" style="125" customWidth="1"/>
    <col min="14851" max="14851" width="55.5703125" style="125" customWidth="1"/>
    <col min="14852" max="15103" width="9.140625" style="125"/>
    <col min="15104" max="15104" width="9" style="125" customWidth="1"/>
    <col min="15105" max="15105" width="9.140625" style="125"/>
    <col min="15106" max="15106" width="12.28515625" style="125" customWidth="1"/>
    <col min="15107" max="15107" width="55.5703125" style="125" customWidth="1"/>
    <col min="15108" max="15359" width="9.140625" style="125"/>
    <col min="15360" max="15360" width="9" style="125" customWidth="1"/>
    <col min="15361" max="15361" width="9.140625" style="125"/>
    <col min="15362" max="15362" width="12.28515625" style="125" customWidth="1"/>
    <col min="15363" max="15363" width="55.5703125" style="125" customWidth="1"/>
    <col min="15364" max="15615" width="9.140625" style="125"/>
    <col min="15616" max="15616" width="9" style="125" customWidth="1"/>
    <col min="15617" max="15617" width="9.140625" style="125"/>
    <col min="15618" max="15618" width="12.28515625" style="125" customWidth="1"/>
    <col min="15619" max="15619" width="55.5703125" style="125" customWidth="1"/>
    <col min="15620" max="15871" width="9.140625" style="125"/>
    <col min="15872" max="15872" width="9" style="125" customWidth="1"/>
    <col min="15873" max="15873" width="9.140625" style="125"/>
    <col min="15874" max="15874" width="12.28515625" style="125" customWidth="1"/>
    <col min="15875" max="15875" width="55.5703125" style="125" customWidth="1"/>
    <col min="15876" max="16127" width="9.140625" style="125"/>
    <col min="16128" max="16128" width="9" style="125" customWidth="1"/>
    <col min="16129" max="16129" width="9.140625" style="125"/>
    <col min="16130" max="16130" width="12.28515625" style="125" customWidth="1"/>
    <col min="16131" max="16131" width="55.5703125" style="125" customWidth="1"/>
    <col min="16132" max="16384" width="9.140625" style="125"/>
  </cols>
  <sheetData>
    <row r="1" spans="1:6" x14ac:dyDescent="0.2">
      <c r="A1" s="51"/>
      <c r="B1" s="51"/>
      <c r="C1" s="51"/>
      <c r="D1" s="139" t="s">
        <v>423</v>
      </c>
    </row>
    <row r="2" spans="1:6" ht="51" customHeight="1" x14ac:dyDescent="0.2">
      <c r="A2" s="51"/>
      <c r="B2" s="51"/>
      <c r="C2" s="51"/>
      <c r="D2" s="144" t="s">
        <v>531</v>
      </c>
      <c r="E2" s="147"/>
    </row>
    <row r="3" spans="1:6" ht="31.5" customHeight="1" x14ac:dyDescent="0.2">
      <c r="A3" s="475" t="s">
        <v>314</v>
      </c>
      <c r="B3" s="475"/>
      <c r="C3" s="475"/>
      <c r="D3" s="475"/>
    </row>
    <row r="4" spans="1:6" x14ac:dyDescent="0.2">
      <c r="A4" s="51"/>
      <c r="B4" s="51"/>
      <c r="C4" s="51"/>
      <c r="D4" s="142"/>
    </row>
    <row r="5" spans="1:6" ht="30" customHeight="1" x14ac:dyDescent="0.2">
      <c r="A5" s="474" t="s">
        <v>204</v>
      </c>
      <c r="B5" s="474"/>
      <c r="C5" s="474"/>
      <c r="D5" s="476" t="s">
        <v>315</v>
      </c>
    </row>
    <row r="6" spans="1:6" ht="39.75" customHeight="1" x14ac:dyDescent="0.2">
      <c r="A6" s="143" t="s">
        <v>289</v>
      </c>
      <c r="B6" s="474" t="s">
        <v>533</v>
      </c>
      <c r="C6" s="474"/>
      <c r="D6" s="477"/>
      <c r="F6" s="125" t="s">
        <v>181</v>
      </c>
    </row>
    <row r="7" spans="1:6" ht="19.5" customHeight="1" x14ac:dyDescent="0.2">
      <c r="A7" s="478" t="s">
        <v>15</v>
      </c>
      <c r="B7" s="479"/>
      <c r="C7" s="479"/>
      <c r="D7" s="480"/>
    </row>
    <row r="8" spans="1:6" s="144" customFormat="1" ht="25.5" customHeight="1" x14ac:dyDescent="0.25">
      <c r="A8" s="202">
        <v>851</v>
      </c>
      <c r="B8" s="474" t="s">
        <v>316</v>
      </c>
      <c r="C8" s="474"/>
      <c r="D8" s="206" t="s">
        <v>317</v>
      </c>
    </row>
    <row r="9" spans="1:6" s="144" customFormat="1" ht="25.5" customHeight="1" x14ac:dyDescent="0.25">
      <c r="A9" s="202">
        <v>851</v>
      </c>
      <c r="B9" s="474" t="s">
        <v>318</v>
      </c>
      <c r="C9" s="474"/>
      <c r="D9" s="206" t="s">
        <v>317</v>
      </c>
    </row>
    <row r="10" spans="1:6" s="144" customFormat="1" ht="51" x14ac:dyDescent="0.25">
      <c r="A10" s="202">
        <v>851</v>
      </c>
      <c r="B10" s="474" t="s">
        <v>319</v>
      </c>
      <c r="C10" s="474"/>
      <c r="D10" s="206" t="s">
        <v>320</v>
      </c>
    </row>
    <row r="11" spans="1:6" s="144" customFormat="1" ht="51" x14ac:dyDescent="0.25">
      <c r="A11" s="202">
        <v>851</v>
      </c>
      <c r="B11" s="474" t="s">
        <v>321</v>
      </c>
      <c r="C11" s="474"/>
      <c r="D11" s="206" t="s">
        <v>322</v>
      </c>
    </row>
    <row r="12" spans="1:6" s="144" customFormat="1" ht="41.25" customHeight="1" x14ac:dyDescent="0.25">
      <c r="A12" s="202">
        <v>851</v>
      </c>
      <c r="B12" s="474" t="s">
        <v>323</v>
      </c>
      <c r="C12" s="474"/>
      <c r="D12" s="206" t="s">
        <v>324</v>
      </c>
    </row>
    <row r="13" spans="1:6" s="144" customFormat="1" ht="38.25" x14ac:dyDescent="0.25">
      <c r="A13" s="202">
        <v>851</v>
      </c>
      <c r="B13" s="474" t="s">
        <v>325</v>
      </c>
      <c r="C13" s="474"/>
      <c r="D13" s="206" t="s">
        <v>326</v>
      </c>
    </row>
    <row r="14" spans="1:6" s="144" customFormat="1" ht="51" x14ac:dyDescent="0.25">
      <c r="A14" s="202">
        <v>851</v>
      </c>
      <c r="B14" s="474" t="s">
        <v>327</v>
      </c>
      <c r="C14" s="474"/>
      <c r="D14" s="206" t="s">
        <v>328</v>
      </c>
    </row>
    <row r="15" spans="1:6" s="144" customFormat="1" ht="25.5" customHeight="1" x14ac:dyDescent="0.25">
      <c r="A15" s="202">
        <v>851</v>
      </c>
      <c r="B15" s="474" t="s">
        <v>329</v>
      </c>
      <c r="C15" s="474"/>
      <c r="D15" s="206" t="s">
        <v>330</v>
      </c>
    </row>
    <row r="16" spans="1:6" s="144" customFormat="1" ht="15.75" customHeight="1" x14ac:dyDescent="0.25">
      <c r="A16" s="202">
        <v>851</v>
      </c>
      <c r="B16" s="481" t="s">
        <v>331</v>
      </c>
      <c r="C16" s="482"/>
      <c r="D16" s="206" t="s">
        <v>332</v>
      </c>
    </row>
    <row r="17" spans="1:10" s="144" customFormat="1" ht="53.25" customHeight="1" x14ac:dyDescent="0.25">
      <c r="A17" s="202">
        <v>851</v>
      </c>
      <c r="B17" s="474" t="s">
        <v>333</v>
      </c>
      <c r="C17" s="474"/>
      <c r="D17" s="206" t="s">
        <v>334</v>
      </c>
    </row>
    <row r="18" spans="1:10" s="144" customFormat="1" ht="63.75" x14ac:dyDescent="0.25">
      <c r="A18" s="202">
        <v>851</v>
      </c>
      <c r="B18" s="474" t="s">
        <v>335</v>
      </c>
      <c r="C18" s="474"/>
      <c r="D18" s="206" t="s">
        <v>336</v>
      </c>
    </row>
    <row r="19" spans="1:10" s="144" customFormat="1" ht="63.75" x14ac:dyDescent="0.25">
      <c r="A19" s="202">
        <v>851</v>
      </c>
      <c r="B19" s="474" t="s">
        <v>337</v>
      </c>
      <c r="C19" s="474"/>
      <c r="D19" s="206" t="s">
        <v>338</v>
      </c>
    </row>
    <row r="20" spans="1:10" s="144" customFormat="1" ht="63.75" x14ac:dyDescent="0.25">
      <c r="A20" s="202">
        <v>851</v>
      </c>
      <c r="B20" s="474" t="s">
        <v>339</v>
      </c>
      <c r="C20" s="474"/>
      <c r="D20" s="206" t="s">
        <v>340</v>
      </c>
    </row>
    <row r="21" spans="1:10" s="144" customFormat="1" ht="25.5" customHeight="1" x14ac:dyDescent="0.25">
      <c r="A21" s="203">
        <v>851</v>
      </c>
      <c r="B21" s="483" t="s">
        <v>341</v>
      </c>
      <c r="C21" s="483"/>
      <c r="D21" s="132" t="s">
        <v>342</v>
      </c>
    </row>
    <row r="22" spans="1:10" s="144" customFormat="1" ht="25.5" customHeight="1" x14ac:dyDescent="0.25">
      <c r="A22" s="203">
        <v>851</v>
      </c>
      <c r="B22" s="484" t="s">
        <v>343</v>
      </c>
      <c r="C22" s="485"/>
      <c r="D22" s="132" t="s">
        <v>344</v>
      </c>
    </row>
    <row r="23" spans="1:10" s="144" customFormat="1" ht="25.5" customHeight="1" x14ac:dyDescent="0.25">
      <c r="A23" s="202">
        <v>851</v>
      </c>
      <c r="B23" s="474" t="s">
        <v>345</v>
      </c>
      <c r="C23" s="474"/>
      <c r="D23" s="206" t="s">
        <v>346</v>
      </c>
    </row>
    <row r="24" spans="1:10" s="144" customFormat="1" ht="51" x14ac:dyDescent="0.25">
      <c r="A24" s="226">
        <v>851</v>
      </c>
      <c r="B24" s="474" t="s">
        <v>347</v>
      </c>
      <c r="C24" s="474"/>
      <c r="D24" s="236" t="s">
        <v>348</v>
      </c>
    </row>
    <row r="25" spans="1:10" s="144" customFormat="1" ht="38.25" x14ac:dyDescent="0.25">
      <c r="A25" s="226">
        <v>851</v>
      </c>
      <c r="B25" s="474" t="s">
        <v>349</v>
      </c>
      <c r="C25" s="474"/>
      <c r="D25" s="236" t="s">
        <v>350</v>
      </c>
    </row>
    <row r="26" spans="1:10" s="144" customFormat="1" ht="38.25" x14ac:dyDescent="0.25">
      <c r="A26" s="202">
        <v>851</v>
      </c>
      <c r="B26" s="481" t="s">
        <v>351</v>
      </c>
      <c r="C26" s="482"/>
      <c r="D26" s="206" t="s">
        <v>388</v>
      </c>
      <c r="G26" s="144" t="s">
        <v>181</v>
      </c>
    </row>
    <row r="27" spans="1:10" s="144" customFormat="1" ht="25.5" customHeight="1" x14ac:dyDescent="0.25">
      <c r="A27" s="202">
        <v>851</v>
      </c>
      <c r="B27" s="474" t="s">
        <v>261</v>
      </c>
      <c r="C27" s="474"/>
      <c r="D27" s="206" t="s">
        <v>352</v>
      </c>
    </row>
    <row r="28" spans="1:10" s="144" customFormat="1" ht="15" customHeight="1" x14ac:dyDescent="0.25">
      <c r="A28" s="202">
        <v>851</v>
      </c>
      <c r="B28" s="483" t="s">
        <v>353</v>
      </c>
      <c r="C28" s="483"/>
      <c r="D28" s="206" t="s">
        <v>354</v>
      </c>
    </row>
    <row r="29" spans="1:10" s="144" customFormat="1" ht="16.5" customHeight="1" x14ac:dyDescent="0.25">
      <c r="A29" s="202">
        <v>851</v>
      </c>
      <c r="B29" s="483" t="s">
        <v>355</v>
      </c>
      <c r="C29" s="483"/>
      <c r="D29" s="206" t="s">
        <v>356</v>
      </c>
    </row>
    <row r="30" spans="1:10" s="144" customFormat="1" ht="18.75" customHeight="1" x14ac:dyDescent="0.25">
      <c r="A30" s="478" t="s">
        <v>143</v>
      </c>
      <c r="B30" s="486"/>
      <c r="C30" s="486"/>
      <c r="D30" s="486"/>
      <c r="J30" s="144" t="s">
        <v>181</v>
      </c>
    </row>
    <row r="31" spans="1:10" s="144" customFormat="1" ht="15.75" customHeight="1" x14ac:dyDescent="0.25">
      <c r="A31" s="202">
        <v>853</v>
      </c>
      <c r="B31" s="483" t="s">
        <v>331</v>
      </c>
      <c r="C31" s="483"/>
      <c r="D31" s="143" t="s">
        <v>185</v>
      </c>
    </row>
    <row r="32" spans="1:10" s="144" customFormat="1" ht="15.75" customHeight="1" x14ac:dyDescent="0.25">
      <c r="A32" s="202">
        <v>853</v>
      </c>
      <c r="B32" s="483" t="s">
        <v>353</v>
      </c>
      <c r="C32" s="483"/>
      <c r="D32" s="206" t="s">
        <v>354</v>
      </c>
    </row>
    <row r="33" spans="1:8" s="144" customFormat="1" ht="15.75" customHeight="1" x14ac:dyDescent="0.25">
      <c r="A33" s="202">
        <v>853</v>
      </c>
      <c r="B33" s="483" t="s">
        <v>355</v>
      </c>
      <c r="C33" s="483"/>
      <c r="D33" s="206" t="s">
        <v>356</v>
      </c>
    </row>
    <row r="34" spans="1:8" s="144" customFormat="1" ht="25.5" customHeight="1" x14ac:dyDescent="0.25">
      <c r="A34" s="202">
        <v>853</v>
      </c>
      <c r="B34" s="483" t="s">
        <v>188</v>
      </c>
      <c r="C34" s="483"/>
      <c r="D34" s="132" t="s">
        <v>189</v>
      </c>
    </row>
    <row r="35" spans="1:8" s="144" customFormat="1" ht="25.5" customHeight="1" x14ac:dyDescent="0.25">
      <c r="A35" s="202">
        <v>853</v>
      </c>
      <c r="B35" s="483" t="s">
        <v>190</v>
      </c>
      <c r="C35" s="483"/>
      <c r="D35" s="132" t="s">
        <v>191</v>
      </c>
    </row>
    <row r="36" spans="1:8" s="144" customFormat="1" ht="15.75" customHeight="1" x14ac:dyDescent="0.25">
      <c r="A36" s="202">
        <v>853</v>
      </c>
      <c r="B36" s="483" t="s">
        <v>357</v>
      </c>
      <c r="C36" s="487"/>
      <c r="D36" s="132" t="s">
        <v>358</v>
      </c>
    </row>
    <row r="37" spans="1:8" s="144" customFormat="1" ht="25.5" customHeight="1" x14ac:dyDescent="0.25">
      <c r="A37" s="202">
        <v>853</v>
      </c>
      <c r="B37" s="483" t="s">
        <v>359</v>
      </c>
      <c r="C37" s="474"/>
      <c r="D37" s="132" t="s">
        <v>360</v>
      </c>
    </row>
    <row r="38" spans="1:8" s="144" customFormat="1" ht="25.5" customHeight="1" x14ac:dyDescent="0.25">
      <c r="A38" s="202">
        <v>853</v>
      </c>
      <c r="B38" s="483" t="s">
        <v>361</v>
      </c>
      <c r="C38" s="474"/>
      <c r="D38" s="132" t="s">
        <v>362</v>
      </c>
    </row>
    <row r="39" spans="1:8" s="144" customFormat="1" ht="26.25" customHeight="1" x14ac:dyDescent="0.25">
      <c r="A39" s="202">
        <v>853</v>
      </c>
      <c r="B39" s="483" t="s">
        <v>363</v>
      </c>
      <c r="C39" s="474"/>
      <c r="D39" s="132" t="s">
        <v>364</v>
      </c>
    </row>
    <row r="40" spans="1:8" s="144" customFormat="1" ht="25.5" customHeight="1" x14ac:dyDescent="0.25">
      <c r="A40" s="202">
        <v>853</v>
      </c>
      <c r="B40" s="483" t="s">
        <v>365</v>
      </c>
      <c r="C40" s="483"/>
      <c r="D40" s="132" t="s">
        <v>366</v>
      </c>
      <c r="H40" s="144" t="s">
        <v>181</v>
      </c>
    </row>
    <row r="41" spans="1:8" s="144" customFormat="1" ht="18" customHeight="1" x14ac:dyDescent="0.25">
      <c r="A41" s="202">
        <v>853</v>
      </c>
      <c r="B41" s="483" t="s">
        <v>367</v>
      </c>
      <c r="C41" s="483"/>
      <c r="D41" s="206" t="s">
        <v>368</v>
      </c>
      <c r="F41" s="144" t="s">
        <v>181</v>
      </c>
    </row>
    <row r="42" spans="1:8" s="144" customFormat="1" ht="26.25" customHeight="1" x14ac:dyDescent="0.25">
      <c r="A42" s="202">
        <v>853</v>
      </c>
      <c r="B42" s="483" t="s">
        <v>369</v>
      </c>
      <c r="C42" s="483"/>
      <c r="D42" s="132" t="s">
        <v>370</v>
      </c>
    </row>
    <row r="43" spans="1:8" s="144" customFormat="1" ht="40.5" customHeight="1" x14ac:dyDescent="0.25">
      <c r="A43" s="146">
        <v>853</v>
      </c>
      <c r="B43" s="483" t="s">
        <v>371</v>
      </c>
      <c r="C43" s="483"/>
      <c r="D43" s="132" t="s">
        <v>372</v>
      </c>
    </row>
    <row r="44" spans="1:8" s="144" customFormat="1" ht="25.5" x14ac:dyDescent="0.25">
      <c r="A44" s="202">
        <v>853</v>
      </c>
      <c r="B44" s="483" t="s">
        <v>192</v>
      </c>
      <c r="C44" s="483"/>
      <c r="D44" s="206" t="s">
        <v>193</v>
      </c>
    </row>
    <row r="45" spans="1:8" s="144" customFormat="1" ht="37.5" customHeight="1" x14ac:dyDescent="0.25">
      <c r="A45" s="202">
        <v>853</v>
      </c>
      <c r="B45" s="483" t="s">
        <v>194</v>
      </c>
      <c r="C45" s="483"/>
      <c r="D45" s="206" t="s">
        <v>195</v>
      </c>
    </row>
    <row r="46" spans="1:8" s="144" customFormat="1" ht="25.5" x14ac:dyDescent="0.25">
      <c r="A46" s="202">
        <v>853</v>
      </c>
      <c r="B46" s="483" t="s">
        <v>196</v>
      </c>
      <c r="C46" s="483"/>
      <c r="D46" s="206" t="s">
        <v>197</v>
      </c>
      <c r="E46" s="144" t="s">
        <v>181</v>
      </c>
    </row>
    <row r="47" spans="1:8" s="144" customFormat="1" ht="51" customHeight="1" x14ac:dyDescent="0.25">
      <c r="A47" s="202">
        <v>853</v>
      </c>
      <c r="B47" s="483" t="s">
        <v>198</v>
      </c>
      <c r="C47" s="483"/>
      <c r="D47" s="206" t="s">
        <v>373</v>
      </c>
    </row>
    <row r="48" spans="1:8" s="144" customFormat="1" ht="39.75" customHeight="1" x14ac:dyDescent="0.25">
      <c r="A48" s="202">
        <v>853</v>
      </c>
      <c r="B48" s="483" t="s">
        <v>199</v>
      </c>
      <c r="C48" s="483"/>
      <c r="D48" s="206" t="s">
        <v>574</v>
      </c>
    </row>
    <row r="49" spans="1:9" s="144" customFormat="1" x14ac:dyDescent="0.25">
      <c r="A49" s="202">
        <v>853</v>
      </c>
      <c r="B49" s="483" t="s">
        <v>200</v>
      </c>
      <c r="C49" s="483"/>
      <c r="D49" s="206" t="s">
        <v>201</v>
      </c>
      <c r="I49" s="144" t="s">
        <v>181</v>
      </c>
    </row>
    <row r="50" spans="1:9" s="144" customFormat="1" ht="39.75" customHeight="1" x14ac:dyDescent="0.25">
      <c r="A50" s="202">
        <v>853</v>
      </c>
      <c r="B50" s="483" t="s">
        <v>202</v>
      </c>
      <c r="C50" s="483"/>
      <c r="D50" s="206" t="s">
        <v>203</v>
      </c>
    </row>
    <row r="51" spans="1:9" s="144" customFormat="1" ht="25.5" x14ac:dyDescent="0.25">
      <c r="A51" s="202">
        <v>853</v>
      </c>
      <c r="B51" s="483" t="s">
        <v>374</v>
      </c>
      <c r="C51" s="483"/>
      <c r="D51" s="206" t="s">
        <v>375</v>
      </c>
      <c r="E51" s="144" t="s">
        <v>181</v>
      </c>
    </row>
    <row r="52" spans="1:9" s="144" customFormat="1" ht="64.5" customHeight="1" x14ac:dyDescent="0.25">
      <c r="A52" s="202">
        <v>853</v>
      </c>
      <c r="B52" s="483" t="s">
        <v>376</v>
      </c>
      <c r="C52" s="483"/>
      <c r="D52" s="206" t="s">
        <v>377</v>
      </c>
    </row>
    <row r="53" spans="1:9" s="144" customFormat="1" ht="39" customHeight="1" x14ac:dyDescent="0.25">
      <c r="A53" s="203">
        <v>853</v>
      </c>
      <c r="B53" s="487" t="s">
        <v>378</v>
      </c>
      <c r="C53" s="487"/>
      <c r="D53" s="206" t="s">
        <v>379</v>
      </c>
      <c r="H53" s="144" t="s">
        <v>181</v>
      </c>
    </row>
    <row r="54" spans="1:9" s="144" customFormat="1" ht="38.25" x14ac:dyDescent="0.25">
      <c r="A54" s="203">
        <v>853</v>
      </c>
      <c r="B54" s="487" t="s">
        <v>380</v>
      </c>
      <c r="C54" s="487"/>
      <c r="D54" s="206" t="s">
        <v>381</v>
      </c>
    </row>
    <row r="55" spans="1:9" ht="25.5" customHeight="1" x14ac:dyDescent="0.2"/>
  </sheetData>
  <mergeCells count="52">
    <mergeCell ref="B51:C51"/>
    <mergeCell ref="B52:C52"/>
    <mergeCell ref="B53:C53"/>
    <mergeCell ref="B54:C54"/>
    <mergeCell ref="B50:C50"/>
    <mergeCell ref="B47:C47"/>
    <mergeCell ref="B48:C48"/>
    <mergeCell ref="B39:C39"/>
    <mergeCell ref="B40:C40"/>
    <mergeCell ref="B41:C41"/>
    <mergeCell ref="B42:C42"/>
    <mergeCell ref="B43:C43"/>
    <mergeCell ref="B49:C49"/>
    <mergeCell ref="B38:C38"/>
    <mergeCell ref="B27:C27"/>
    <mergeCell ref="B28:C28"/>
    <mergeCell ref="B29:C29"/>
    <mergeCell ref="A30:D30"/>
    <mergeCell ref="B31:C31"/>
    <mergeCell ref="B32:C32"/>
    <mergeCell ref="B33:C33"/>
    <mergeCell ref="B34:C34"/>
    <mergeCell ref="B35:C35"/>
    <mergeCell ref="B36:C36"/>
    <mergeCell ref="B37:C37"/>
    <mergeCell ref="B44:C44"/>
    <mergeCell ref="B45:C45"/>
    <mergeCell ref="B46:C46"/>
    <mergeCell ref="B26:C26"/>
    <mergeCell ref="B15:C15"/>
    <mergeCell ref="B16:C16"/>
    <mergeCell ref="B17:C17"/>
    <mergeCell ref="B18:C18"/>
    <mergeCell ref="B19:C19"/>
    <mergeCell ref="B20:C20"/>
    <mergeCell ref="B21:C21"/>
    <mergeCell ref="B22:C22"/>
    <mergeCell ref="B23:C23"/>
    <mergeCell ref="B24:C24"/>
    <mergeCell ref="B25:C25"/>
    <mergeCell ref="B14:C14"/>
    <mergeCell ref="A3:D3"/>
    <mergeCell ref="A5:C5"/>
    <mergeCell ref="D5:D6"/>
    <mergeCell ref="B6:C6"/>
    <mergeCell ref="A7:D7"/>
    <mergeCell ref="B8:C8"/>
    <mergeCell ref="B9:C9"/>
    <mergeCell ref="B10:C10"/>
    <mergeCell ref="B11:C11"/>
    <mergeCell ref="B12:C12"/>
    <mergeCell ref="B13:C13"/>
  </mergeCells>
  <pageMargins left="0.70866141732283472" right="0.51181102362204722" top="0.74803149606299213" bottom="0.55118110236220474"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A3" sqref="A3:D3"/>
    </sheetView>
  </sheetViews>
  <sheetFormatPr defaultRowHeight="12.75" x14ac:dyDescent="0.2"/>
  <cols>
    <col min="1" max="1" width="10" style="145" customWidth="1"/>
    <col min="2" max="2" width="9.140625" style="145"/>
    <col min="3" max="3" width="12.7109375" style="145" customWidth="1"/>
    <col min="4" max="4" width="69.42578125" style="125" customWidth="1"/>
    <col min="5" max="255" width="9.140625" style="125"/>
    <col min="256" max="256" width="9" style="125" customWidth="1"/>
    <col min="257" max="257" width="9.140625" style="125"/>
    <col min="258" max="258" width="12.28515625" style="125" customWidth="1"/>
    <col min="259" max="259" width="55.5703125" style="125" customWidth="1"/>
    <col min="260" max="511" width="9.140625" style="125"/>
    <col min="512" max="512" width="9" style="125" customWidth="1"/>
    <col min="513" max="513" width="9.140625" style="125"/>
    <col min="514" max="514" width="12.28515625" style="125" customWidth="1"/>
    <col min="515" max="515" width="55.5703125" style="125" customWidth="1"/>
    <col min="516" max="767" width="9.140625" style="125"/>
    <col min="768" max="768" width="9" style="125" customWidth="1"/>
    <col min="769" max="769" width="9.140625" style="125"/>
    <col min="770" max="770" width="12.28515625" style="125" customWidth="1"/>
    <col min="771" max="771" width="55.5703125" style="125" customWidth="1"/>
    <col min="772" max="1023" width="9.140625" style="125"/>
    <col min="1024" max="1024" width="9" style="125" customWidth="1"/>
    <col min="1025" max="1025" width="9.140625" style="125"/>
    <col min="1026" max="1026" width="12.28515625" style="125" customWidth="1"/>
    <col min="1027" max="1027" width="55.5703125" style="125" customWidth="1"/>
    <col min="1028" max="1279" width="9.140625" style="125"/>
    <col min="1280" max="1280" width="9" style="125" customWidth="1"/>
    <col min="1281" max="1281" width="9.140625" style="125"/>
    <col min="1282" max="1282" width="12.28515625" style="125" customWidth="1"/>
    <col min="1283" max="1283" width="55.5703125" style="125" customWidth="1"/>
    <col min="1284" max="1535" width="9.140625" style="125"/>
    <col min="1536" max="1536" width="9" style="125" customWidth="1"/>
    <col min="1537" max="1537" width="9.140625" style="125"/>
    <col min="1538" max="1538" width="12.28515625" style="125" customWidth="1"/>
    <col min="1539" max="1539" width="55.5703125" style="125" customWidth="1"/>
    <col min="1540" max="1791" width="9.140625" style="125"/>
    <col min="1792" max="1792" width="9" style="125" customWidth="1"/>
    <col min="1793" max="1793" width="9.140625" style="125"/>
    <col min="1794" max="1794" width="12.28515625" style="125" customWidth="1"/>
    <col min="1795" max="1795" width="55.5703125" style="125" customWidth="1"/>
    <col min="1796" max="2047" width="9.140625" style="125"/>
    <col min="2048" max="2048" width="9" style="125" customWidth="1"/>
    <col min="2049" max="2049" width="9.140625" style="125"/>
    <col min="2050" max="2050" width="12.28515625" style="125" customWidth="1"/>
    <col min="2051" max="2051" width="55.5703125" style="125" customWidth="1"/>
    <col min="2052" max="2303" width="9.140625" style="125"/>
    <col min="2304" max="2304" width="9" style="125" customWidth="1"/>
    <col min="2305" max="2305" width="9.140625" style="125"/>
    <col min="2306" max="2306" width="12.28515625" style="125" customWidth="1"/>
    <col min="2307" max="2307" width="55.5703125" style="125" customWidth="1"/>
    <col min="2308" max="2559" width="9.140625" style="125"/>
    <col min="2560" max="2560" width="9" style="125" customWidth="1"/>
    <col min="2561" max="2561" width="9.140625" style="125"/>
    <col min="2562" max="2562" width="12.28515625" style="125" customWidth="1"/>
    <col min="2563" max="2563" width="55.5703125" style="125" customWidth="1"/>
    <col min="2564" max="2815" width="9.140625" style="125"/>
    <col min="2816" max="2816" width="9" style="125" customWidth="1"/>
    <col min="2817" max="2817" width="9.140625" style="125"/>
    <col min="2818" max="2818" width="12.28515625" style="125" customWidth="1"/>
    <col min="2819" max="2819" width="55.5703125" style="125" customWidth="1"/>
    <col min="2820" max="3071" width="9.140625" style="125"/>
    <col min="3072" max="3072" width="9" style="125" customWidth="1"/>
    <col min="3073" max="3073" width="9.140625" style="125"/>
    <col min="3074" max="3074" width="12.28515625" style="125" customWidth="1"/>
    <col min="3075" max="3075" width="55.5703125" style="125" customWidth="1"/>
    <col min="3076" max="3327" width="9.140625" style="125"/>
    <col min="3328" max="3328" width="9" style="125" customWidth="1"/>
    <col min="3329" max="3329" width="9.140625" style="125"/>
    <col min="3330" max="3330" width="12.28515625" style="125" customWidth="1"/>
    <col min="3331" max="3331" width="55.5703125" style="125" customWidth="1"/>
    <col min="3332" max="3583" width="9.140625" style="125"/>
    <col min="3584" max="3584" width="9" style="125" customWidth="1"/>
    <col min="3585" max="3585" width="9.140625" style="125"/>
    <col min="3586" max="3586" width="12.28515625" style="125" customWidth="1"/>
    <col min="3587" max="3587" width="55.5703125" style="125" customWidth="1"/>
    <col min="3588" max="3839" width="9.140625" style="125"/>
    <col min="3840" max="3840" width="9" style="125" customWidth="1"/>
    <col min="3841" max="3841" width="9.140625" style="125"/>
    <col min="3842" max="3842" width="12.28515625" style="125" customWidth="1"/>
    <col min="3843" max="3843" width="55.5703125" style="125" customWidth="1"/>
    <col min="3844" max="4095" width="9.140625" style="125"/>
    <col min="4096" max="4096" width="9" style="125" customWidth="1"/>
    <col min="4097" max="4097" width="9.140625" style="125"/>
    <col min="4098" max="4098" width="12.28515625" style="125" customWidth="1"/>
    <col min="4099" max="4099" width="55.5703125" style="125" customWidth="1"/>
    <col min="4100" max="4351" width="9.140625" style="125"/>
    <col min="4352" max="4352" width="9" style="125" customWidth="1"/>
    <col min="4353" max="4353" width="9.140625" style="125"/>
    <col min="4354" max="4354" width="12.28515625" style="125" customWidth="1"/>
    <col min="4355" max="4355" width="55.5703125" style="125" customWidth="1"/>
    <col min="4356" max="4607" width="9.140625" style="125"/>
    <col min="4608" max="4608" width="9" style="125" customWidth="1"/>
    <col min="4609" max="4609" width="9.140625" style="125"/>
    <col min="4610" max="4610" width="12.28515625" style="125" customWidth="1"/>
    <col min="4611" max="4611" width="55.5703125" style="125" customWidth="1"/>
    <col min="4612" max="4863" width="9.140625" style="125"/>
    <col min="4864" max="4864" width="9" style="125" customWidth="1"/>
    <col min="4865" max="4865" width="9.140625" style="125"/>
    <col min="4866" max="4866" width="12.28515625" style="125" customWidth="1"/>
    <col min="4867" max="4867" width="55.5703125" style="125" customWidth="1"/>
    <col min="4868" max="5119" width="9.140625" style="125"/>
    <col min="5120" max="5120" width="9" style="125" customWidth="1"/>
    <col min="5121" max="5121" width="9.140625" style="125"/>
    <col min="5122" max="5122" width="12.28515625" style="125" customWidth="1"/>
    <col min="5123" max="5123" width="55.5703125" style="125" customWidth="1"/>
    <col min="5124" max="5375" width="9.140625" style="125"/>
    <col min="5376" max="5376" width="9" style="125" customWidth="1"/>
    <col min="5377" max="5377" width="9.140625" style="125"/>
    <col min="5378" max="5378" width="12.28515625" style="125" customWidth="1"/>
    <col min="5379" max="5379" width="55.5703125" style="125" customWidth="1"/>
    <col min="5380" max="5631" width="9.140625" style="125"/>
    <col min="5632" max="5632" width="9" style="125" customWidth="1"/>
    <col min="5633" max="5633" width="9.140625" style="125"/>
    <col min="5634" max="5634" width="12.28515625" style="125" customWidth="1"/>
    <col min="5635" max="5635" width="55.5703125" style="125" customWidth="1"/>
    <col min="5636" max="5887" width="9.140625" style="125"/>
    <col min="5888" max="5888" width="9" style="125" customWidth="1"/>
    <col min="5889" max="5889" width="9.140625" style="125"/>
    <col min="5890" max="5890" width="12.28515625" style="125" customWidth="1"/>
    <col min="5891" max="5891" width="55.5703125" style="125" customWidth="1"/>
    <col min="5892" max="6143" width="9.140625" style="125"/>
    <col min="6144" max="6144" width="9" style="125" customWidth="1"/>
    <col min="6145" max="6145" width="9.140625" style="125"/>
    <col min="6146" max="6146" width="12.28515625" style="125" customWidth="1"/>
    <col min="6147" max="6147" width="55.5703125" style="125" customWidth="1"/>
    <col min="6148" max="6399" width="9.140625" style="125"/>
    <col min="6400" max="6400" width="9" style="125" customWidth="1"/>
    <col min="6401" max="6401" width="9.140625" style="125"/>
    <col min="6402" max="6402" width="12.28515625" style="125" customWidth="1"/>
    <col min="6403" max="6403" width="55.5703125" style="125" customWidth="1"/>
    <col min="6404" max="6655" width="9.140625" style="125"/>
    <col min="6656" max="6656" width="9" style="125" customWidth="1"/>
    <col min="6657" max="6657" width="9.140625" style="125"/>
    <col min="6658" max="6658" width="12.28515625" style="125" customWidth="1"/>
    <col min="6659" max="6659" width="55.5703125" style="125" customWidth="1"/>
    <col min="6660" max="6911" width="9.140625" style="125"/>
    <col min="6912" max="6912" width="9" style="125" customWidth="1"/>
    <col min="6913" max="6913" width="9.140625" style="125"/>
    <col min="6914" max="6914" width="12.28515625" style="125" customWidth="1"/>
    <col min="6915" max="6915" width="55.5703125" style="125" customWidth="1"/>
    <col min="6916" max="7167" width="9.140625" style="125"/>
    <col min="7168" max="7168" width="9" style="125" customWidth="1"/>
    <col min="7169" max="7169" width="9.140625" style="125"/>
    <col min="7170" max="7170" width="12.28515625" style="125" customWidth="1"/>
    <col min="7171" max="7171" width="55.5703125" style="125" customWidth="1"/>
    <col min="7172" max="7423" width="9.140625" style="125"/>
    <col min="7424" max="7424" width="9" style="125" customWidth="1"/>
    <col min="7425" max="7425" width="9.140625" style="125"/>
    <col min="7426" max="7426" width="12.28515625" style="125" customWidth="1"/>
    <col min="7427" max="7427" width="55.5703125" style="125" customWidth="1"/>
    <col min="7428" max="7679" width="9.140625" style="125"/>
    <col min="7680" max="7680" width="9" style="125" customWidth="1"/>
    <col min="7681" max="7681" width="9.140625" style="125"/>
    <col min="7682" max="7682" width="12.28515625" style="125" customWidth="1"/>
    <col min="7683" max="7683" width="55.5703125" style="125" customWidth="1"/>
    <col min="7684" max="7935" width="9.140625" style="125"/>
    <col min="7936" max="7936" width="9" style="125" customWidth="1"/>
    <col min="7937" max="7937" width="9.140625" style="125"/>
    <col min="7938" max="7938" width="12.28515625" style="125" customWidth="1"/>
    <col min="7939" max="7939" width="55.5703125" style="125" customWidth="1"/>
    <col min="7940" max="8191" width="9.140625" style="125"/>
    <col min="8192" max="8192" width="9" style="125" customWidth="1"/>
    <col min="8193" max="8193" width="9.140625" style="125"/>
    <col min="8194" max="8194" width="12.28515625" style="125" customWidth="1"/>
    <col min="8195" max="8195" width="55.5703125" style="125" customWidth="1"/>
    <col min="8196" max="8447" width="9.140625" style="125"/>
    <col min="8448" max="8448" width="9" style="125" customWidth="1"/>
    <col min="8449" max="8449" width="9.140625" style="125"/>
    <col min="8450" max="8450" width="12.28515625" style="125" customWidth="1"/>
    <col min="8451" max="8451" width="55.5703125" style="125" customWidth="1"/>
    <col min="8452" max="8703" width="9.140625" style="125"/>
    <col min="8704" max="8704" width="9" style="125" customWidth="1"/>
    <col min="8705" max="8705" width="9.140625" style="125"/>
    <col min="8706" max="8706" width="12.28515625" style="125" customWidth="1"/>
    <col min="8707" max="8707" width="55.5703125" style="125" customWidth="1"/>
    <col min="8708" max="8959" width="9.140625" style="125"/>
    <col min="8960" max="8960" width="9" style="125" customWidth="1"/>
    <col min="8961" max="8961" width="9.140625" style="125"/>
    <col min="8962" max="8962" width="12.28515625" style="125" customWidth="1"/>
    <col min="8963" max="8963" width="55.5703125" style="125" customWidth="1"/>
    <col min="8964" max="9215" width="9.140625" style="125"/>
    <col min="9216" max="9216" width="9" style="125" customWidth="1"/>
    <col min="9217" max="9217" width="9.140625" style="125"/>
    <col min="9218" max="9218" width="12.28515625" style="125" customWidth="1"/>
    <col min="9219" max="9219" width="55.5703125" style="125" customWidth="1"/>
    <col min="9220" max="9471" width="9.140625" style="125"/>
    <col min="9472" max="9472" width="9" style="125" customWidth="1"/>
    <col min="9473" max="9473" width="9.140625" style="125"/>
    <col min="9474" max="9474" width="12.28515625" style="125" customWidth="1"/>
    <col min="9475" max="9475" width="55.5703125" style="125" customWidth="1"/>
    <col min="9476" max="9727" width="9.140625" style="125"/>
    <col min="9728" max="9728" width="9" style="125" customWidth="1"/>
    <col min="9729" max="9729" width="9.140625" style="125"/>
    <col min="9730" max="9730" width="12.28515625" style="125" customWidth="1"/>
    <col min="9731" max="9731" width="55.5703125" style="125" customWidth="1"/>
    <col min="9732" max="9983" width="9.140625" style="125"/>
    <col min="9984" max="9984" width="9" style="125" customWidth="1"/>
    <col min="9985" max="9985" width="9.140625" style="125"/>
    <col min="9986" max="9986" width="12.28515625" style="125" customWidth="1"/>
    <col min="9987" max="9987" width="55.5703125" style="125" customWidth="1"/>
    <col min="9988" max="10239" width="9.140625" style="125"/>
    <col min="10240" max="10240" width="9" style="125" customWidth="1"/>
    <col min="10241" max="10241" width="9.140625" style="125"/>
    <col min="10242" max="10242" width="12.28515625" style="125" customWidth="1"/>
    <col min="10243" max="10243" width="55.5703125" style="125" customWidth="1"/>
    <col min="10244" max="10495" width="9.140625" style="125"/>
    <col min="10496" max="10496" width="9" style="125" customWidth="1"/>
    <col min="10497" max="10497" width="9.140625" style="125"/>
    <col min="10498" max="10498" width="12.28515625" style="125" customWidth="1"/>
    <col min="10499" max="10499" width="55.5703125" style="125" customWidth="1"/>
    <col min="10500" max="10751" width="9.140625" style="125"/>
    <col min="10752" max="10752" width="9" style="125" customWidth="1"/>
    <col min="10753" max="10753" width="9.140625" style="125"/>
    <col min="10754" max="10754" width="12.28515625" style="125" customWidth="1"/>
    <col min="10755" max="10755" width="55.5703125" style="125" customWidth="1"/>
    <col min="10756" max="11007" width="9.140625" style="125"/>
    <col min="11008" max="11008" width="9" style="125" customWidth="1"/>
    <col min="11009" max="11009" width="9.140625" style="125"/>
    <col min="11010" max="11010" width="12.28515625" style="125" customWidth="1"/>
    <col min="11011" max="11011" width="55.5703125" style="125" customWidth="1"/>
    <col min="11012" max="11263" width="9.140625" style="125"/>
    <col min="11264" max="11264" width="9" style="125" customWidth="1"/>
    <col min="11265" max="11265" width="9.140625" style="125"/>
    <col min="11266" max="11266" width="12.28515625" style="125" customWidth="1"/>
    <col min="11267" max="11267" width="55.5703125" style="125" customWidth="1"/>
    <col min="11268" max="11519" width="9.140625" style="125"/>
    <col min="11520" max="11520" width="9" style="125" customWidth="1"/>
    <col min="11521" max="11521" width="9.140625" style="125"/>
    <col min="11522" max="11522" width="12.28515625" style="125" customWidth="1"/>
    <col min="11523" max="11523" width="55.5703125" style="125" customWidth="1"/>
    <col min="11524" max="11775" width="9.140625" style="125"/>
    <col min="11776" max="11776" width="9" style="125" customWidth="1"/>
    <col min="11777" max="11777" width="9.140625" style="125"/>
    <col min="11778" max="11778" width="12.28515625" style="125" customWidth="1"/>
    <col min="11779" max="11779" width="55.5703125" style="125" customWidth="1"/>
    <col min="11780" max="12031" width="9.140625" style="125"/>
    <col min="12032" max="12032" width="9" style="125" customWidth="1"/>
    <col min="12033" max="12033" width="9.140625" style="125"/>
    <col min="12034" max="12034" width="12.28515625" style="125" customWidth="1"/>
    <col min="12035" max="12035" width="55.5703125" style="125" customWidth="1"/>
    <col min="12036" max="12287" width="9.140625" style="125"/>
    <col min="12288" max="12288" width="9" style="125" customWidth="1"/>
    <col min="12289" max="12289" width="9.140625" style="125"/>
    <col min="12290" max="12290" width="12.28515625" style="125" customWidth="1"/>
    <col min="12291" max="12291" width="55.5703125" style="125" customWidth="1"/>
    <col min="12292" max="12543" width="9.140625" style="125"/>
    <col min="12544" max="12544" width="9" style="125" customWidth="1"/>
    <col min="12545" max="12545" width="9.140625" style="125"/>
    <col min="12546" max="12546" width="12.28515625" style="125" customWidth="1"/>
    <col min="12547" max="12547" width="55.5703125" style="125" customWidth="1"/>
    <col min="12548" max="12799" width="9.140625" style="125"/>
    <col min="12800" max="12800" width="9" style="125" customWidth="1"/>
    <col min="12801" max="12801" width="9.140625" style="125"/>
    <col min="12802" max="12802" width="12.28515625" style="125" customWidth="1"/>
    <col min="12803" max="12803" width="55.5703125" style="125" customWidth="1"/>
    <col min="12804" max="13055" width="9.140625" style="125"/>
    <col min="13056" max="13056" width="9" style="125" customWidth="1"/>
    <col min="13057" max="13057" width="9.140625" style="125"/>
    <col min="13058" max="13058" width="12.28515625" style="125" customWidth="1"/>
    <col min="13059" max="13059" width="55.5703125" style="125" customWidth="1"/>
    <col min="13060" max="13311" width="9.140625" style="125"/>
    <col min="13312" max="13312" width="9" style="125" customWidth="1"/>
    <col min="13313" max="13313" width="9.140625" style="125"/>
    <col min="13314" max="13314" width="12.28515625" style="125" customWidth="1"/>
    <col min="13315" max="13315" width="55.5703125" style="125" customWidth="1"/>
    <col min="13316" max="13567" width="9.140625" style="125"/>
    <col min="13568" max="13568" width="9" style="125" customWidth="1"/>
    <col min="13569" max="13569" width="9.140625" style="125"/>
    <col min="13570" max="13570" width="12.28515625" style="125" customWidth="1"/>
    <col min="13571" max="13571" width="55.5703125" style="125" customWidth="1"/>
    <col min="13572" max="13823" width="9.140625" style="125"/>
    <col min="13824" max="13824" width="9" style="125" customWidth="1"/>
    <col min="13825" max="13825" width="9.140625" style="125"/>
    <col min="13826" max="13826" width="12.28515625" style="125" customWidth="1"/>
    <col min="13827" max="13827" width="55.5703125" style="125" customWidth="1"/>
    <col min="13828" max="14079" width="9.140625" style="125"/>
    <col min="14080" max="14080" width="9" style="125" customWidth="1"/>
    <col min="14081" max="14081" width="9.140625" style="125"/>
    <col min="14082" max="14082" width="12.28515625" style="125" customWidth="1"/>
    <col min="14083" max="14083" width="55.5703125" style="125" customWidth="1"/>
    <col min="14084" max="14335" width="9.140625" style="125"/>
    <col min="14336" max="14336" width="9" style="125" customWidth="1"/>
    <col min="14337" max="14337" width="9.140625" style="125"/>
    <col min="14338" max="14338" width="12.28515625" style="125" customWidth="1"/>
    <col min="14339" max="14339" width="55.5703125" style="125" customWidth="1"/>
    <col min="14340" max="14591" width="9.140625" style="125"/>
    <col min="14592" max="14592" width="9" style="125" customWidth="1"/>
    <col min="14593" max="14593" width="9.140625" style="125"/>
    <col min="14594" max="14594" width="12.28515625" style="125" customWidth="1"/>
    <col min="14595" max="14595" width="55.5703125" style="125" customWidth="1"/>
    <col min="14596" max="14847" width="9.140625" style="125"/>
    <col min="14848" max="14848" width="9" style="125" customWidth="1"/>
    <col min="14849" max="14849" width="9.140625" style="125"/>
    <col min="14850" max="14850" width="12.28515625" style="125" customWidth="1"/>
    <col min="14851" max="14851" width="55.5703125" style="125" customWidth="1"/>
    <col min="14852" max="15103" width="9.140625" style="125"/>
    <col min="15104" max="15104" width="9" style="125" customWidth="1"/>
    <col min="15105" max="15105" width="9.140625" style="125"/>
    <col min="15106" max="15106" width="12.28515625" style="125" customWidth="1"/>
    <col min="15107" max="15107" width="55.5703125" style="125" customWidth="1"/>
    <col min="15108" max="15359" width="9.140625" style="125"/>
    <col min="15360" max="15360" width="9" style="125" customWidth="1"/>
    <col min="15361" max="15361" width="9.140625" style="125"/>
    <col min="15362" max="15362" width="12.28515625" style="125" customWidth="1"/>
    <col min="15363" max="15363" width="55.5703125" style="125" customWidth="1"/>
    <col min="15364" max="15615" width="9.140625" style="125"/>
    <col min="15616" max="15616" width="9" style="125" customWidth="1"/>
    <col min="15617" max="15617" width="9.140625" style="125"/>
    <col min="15618" max="15618" width="12.28515625" style="125" customWidth="1"/>
    <col min="15619" max="15619" width="55.5703125" style="125" customWidth="1"/>
    <col min="15620" max="15871" width="9.140625" style="125"/>
    <col min="15872" max="15872" width="9" style="125" customWidth="1"/>
    <col min="15873" max="15873" width="9.140625" style="125"/>
    <col min="15874" max="15874" width="12.28515625" style="125" customWidth="1"/>
    <col min="15875" max="15875" width="55.5703125" style="125" customWidth="1"/>
    <col min="15876" max="16127" width="9.140625" style="125"/>
    <col min="16128" max="16128" width="9" style="125" customWidth="1"/>
    <col min="16129" max="16129" width="9.140625" style="125"/>
    <col min="16130" max="16130" width="12.28515625" style="125" customWidth="1"/>
    <col min="16131" max="16131" width="55.5703125" style="125" customWidth="1"/>
    <col min="16132" max="16384" width="9.140625" style="125"/>
  </cols>
  <sheetData>
    <row r="1" spans="1:6" x14ac:dyDescent="0.2">
      <c r="A1" s="51"/>
      <c r="B1" s="51"/>
      <c r="C1" s="51"/>
      <c r="D1" s="139" t="s">
        <v>515</v>
      </c>
    </row>
    <row r="2" spans="1:6" ht="53.25" customHeight="1" x14ac:dyDescent="0.2">
      <c r="A2" s="51"/>
      <c r="B2" s="51"/>
      <c r="C2" s="51"/>
      <c r="D2" s="144" t="s">
        <v>531</v>
      </c>
      <c r="E2" s="147"/>
    </row>
    <row r="3" spans="1:6" ht="54.75" customHeight="1" x14ac:dyDescent="0.2">
      <c r="A3" s="475" t="s">
        <v>532</v>
      </c>
      <c r="B3" s="475"/>
      <c r="C3" s="475"/>
      <c r="D3" s="475"/>
    </row>
    <row r="4" spans="1:6" x14ac:dyDescent="0.2">
      <c r="A4" s="51"/>
      <c r="B4" s="51"/>
      <c r="C4" s="51"/>
      <c r="D4" s="142"/>
    </row>
    <row r="5" spans="1:6" ht="31.5" customHeight="1" x14ac:dyDescent="0.2">
      <c r="A5" s="474" t="s">
        <v>204</v>
      </c>
      <c r="B5" s="474"/>
      <c r="C5" s="474"/>
      <c r="D5" s="489" t="s">
        <v>309</v>
      </c>
    </row>
    <row r="6" spans="1:6" ht="63.75" customHeight="1" x14ac:dyDescent="0.2">
      <c r="A6" s="143" t="s">
        <v>310</v>
      </c>
      <c r="B6" s="474" t="s">
        <v>311</v>
      </c>
      <c r="C6" s="474"/>
      <c r="D6" s="489"/>
      <c r="F6" s="125" t="s">
        <v>181</v>
      </c>
    </row>
    <row r="7" spans="1:6" ht="30" customHeight="1" x14ac:dyDescent="0.2">
      <c r="A7" s="490" t="s">
        <v>15</v>
      </c>
      <c r="B7" s="491"/>
      <c r="C7" s="491"/>
      <c r="D7" s="491"/>
    </row>
    <row r="8" spans="1:6" s="144" customFormat="1" ht="53.25" customHeight="1" x14ac:dyDescent="0.25">
      <c r="A8" s="202">
        <v>803</v>
      </c>
      <c r="B8" s="474" t="s">
        <v>312</v>
      </c>
      <c r="C8" s="474"/>
      <c r="D8" s="206" t="s">
        <v>313</v>
      </c>
    </row>
    <row r="10" spans="1:6" ht="65.25" customHeight="1" x14ac:dyDescent="0.2">
      <c r="A10" s="472" t="s">
        <v>516</v>
      </c>
      <c r="B10" s="488"/>
      <c r="C10" s="488"/>
      <c r="D10" s="488"/>
    </row>
  </sheetData>
  <mergeCells count="7">
    <mergeCell ref="A10:D10"/>
    <mergeCell ref="A3:D3"/>
    <mergeCell ref="A5:C5"/>
    <mergeCell ref="D5:D6"/>
    <mergeCell ref="B6:C6"/>
    <mergeCell ref="A7:D7"/>
    <mergeCell ref="B8:C8"/>
  </mergeCells>
  <pageMargins left="0.70866141732283472" right="0.51181102362204722" top="0.55118110236220474" bottom="0.74803149606299213" header="0.31496062992125984" footer="0.31496062992125984"/>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workbookViewId="0">
      <selection activeCell="C12" sqref="C12"/>
    </sheetView>
  </sheetViews>
  <sheetFormatPr defaultRowHeight="15" x14ac:dyDescent="0.2"/>
  <cols>
    <col min="1" max="1" width="12.42578125" style="127" customWidth="1"/>
    <col min="2" max="2" width="27" style="127" customWidth="1"/>
    <col min="3" max="3" width="60.5703125" style="128" customWidth="1"/>
    <col min="4" max="16384" width="9.140625" style="128"/>
  </cols>
  <sheetData>
    <row r="1" spans="1:6" x14ac:dyDescent="0.2">
      <c r="C1" s="3" t="s">
        <v>424</v>
      </c>
    </row>
    <row r="2" spans="1:6" ht="54" customHeight="1" x14ac:dyDescent="0.2">
      <c r="C2" s="144" t="s">
        <v>531</v>
      </c>
      <c r="D2" s="147"/>
    </row>
    <row r="3" spans="1:6" ht="35.25" customHeight="1" x14ac:dyDescent="0.2">
      <c r="A3" s="497" t="s">
        <v>382</v>
      </c>
      <c r="B3" s="497"/>
      <c r="C3" s="497"/>
    </row>
    <row r="4" spans="1:6" s="125" customFormat="1" ht="33.75" customHeight="1" x14ac:dyDescent="0.2">
      <c r="A4" s="501" t="s">
        <v>204</v>
      </c>
      <c r="B4" s="501"/>
      <c r="C4" s="501" t="s">
        <v>253</v>
      </c>
    </row>
    <row r="5" spans="1:6" s="125" customFormat="1" ht="25.5" x14ac:dyDescent="0.2">
      <c r="A5" s="126" t="s">
        <v>289</v>
      </c>
      <c r="B5" s="204" t="s">
        <v>288</v>
      </c>
      <c r="C5" s="501"/>
    </row>
    <row r="6" spans="1:6" s="124" customFormat="1" ht="21" customHeight="1" x14ac:dyDescent="0.2">
      <c r="A6" s="493" t="s">
        <v>254</v>
      </c>
      <c r="B6" s="493"/>
      <c r="C6" s="493"/>
    </row>
    <row r="7" spans="1:6" s="124" customFormat="1" ht="35.25" customHeight="1" x14ac:dyDescent="0.2">
      <c r="A7" s="213" t="s">
        <v>517</v>
      </c>
      <c r="B7" s="204" t="s">
        <v>255</v>
      </c>
      <c r="C7" s="148" t="s">
        <v>183</v>
      </c>
    </row>
    <row r="8" spans="1:6" s="124" customFormat="1" ht="35.25" customHeight="1" x14ac:dyDescent="0.2">
      <c r="A8" s="204" t="s">
        <v>181</v>
      </c>
      <c r="B8" s="204" t="s">
        <v>256</v>
      </c>
      <c r="C8" s="148" t="s">
        <v>257</v>
      </c>
    </row>
    <row r="9" spans="1:6" s="124" customFormat="1" ht="35.25" customHeight="1" x14ac:dyDescent="0.2">
      <c r="A9" s="204" t="s">
        <v>181</v>
      </c>
      <c r="B9" s="204" t="s">
        <v>258</v>
      </c>
      <c r="C9" s="148" t="s">
        <v>184</v>
      </c>
    </row>
    <row r="10" spans="1:6" s="124" customFormat="1" ht="35.25" customHeight="1" x14ac:dyDescent="0.2">
      <c r="A10" s="204" t="s">
        <v>181</v>
      </c>
      <c r="B10" s="204" t="s">
        <v>259</v>
      </c>
      <c r="C10" s="148" t="s">
        <v>260</v>
      </c>
    </row>
    <row r="11" spans="1:6" s="124" customFormat="1" ht="28.5" customHeight="1" x14ac:dyDescent="0.2">
      <c r="A11" s="493" t="s">
        <v>262</v>
      </c>
      <c r="B11" s="493"/>
      <c r="C11" s="493"/>
    </row>
    <row r="12" spans="1:6" s="124" customFormat="1" ht="48" customHeight="1" x14ac:dyDescent="0.2">
      <c r="A12" s="204">
        <v>141</v>
      </c>
      <c r="B12" s="204" t="s">
        <v>263</v>
      </c>
      <c r="C12" s="148" t="s">
        <v>264</v>
      </c>
    </row>
    <row r="13" spans="1:6" s="124" customFormat="1" ht="33.75" customHeight="1" x14ac:dyDescent="0.2">
      <c r="A13" s="498" t="s">
        <v>518</v>
      </c>
      <c r="B13" s="499"/>
      <c r="C13" s="500"/>
    </row>
    <row r="14" spans="1:6" s="124" customFormat="1" ht="53.25" customHeight="1" x14ac:dyDescent="0.2">
      <c r="A14" s="204">
        <v>100</v>
      </c>
      <c r="B14" s="204" t="s">
        <v>519</v>
      </c>
      <c r="C14" s="148" t="s">
        <v>489</v>
      </c>
    </row>
    <row r="15" spans="1:6" s="124" customFormat="1" ht="60.75" customHeight="1" x14ac:dyDescent="0.2">
      <c r="A15" s="204">
        <v>100</v>
      </c>
      <c r="B15" s="204" t="s">
        <v>520</v>
      </c>
      <c r="C15" s="148" t="s">
        <v>521</v>
      </c>
      <c r="F15" s="124" t="s">
        <v>181</v>
      </c>
    </row>
    <row r="16" spans="1:6" s="124" customFormat="1" ht="60" customHeight="1" x14ac:dyDescent="0.2">
      <c r="A16" s="204">
        <v>100</v>
      </c>
      <c r="B16" s="204" t="s">
        <v>522</v>
      </c>
      <c r="C16" s="148" t="s">
        <v>523</v>
      </c>
      <c r="D16" s="124" t="s">
        <v>181</v>
      </c>
    </row>
    <row r="17" spans="1:6" s="124" customFormat="1" ht="48" customHeight="1" x14ac:dyDescent="0.2">
      <c r="A17" s="204">
        <v>100</v>
      </c>
      <c r="B17" s="204" t="s">
        <v>524</v>
      </c>
      <c r="C17" s="148" t="s">
        <v>525</v>
      </c>
      <c r="F17" s="124" t="s">
        <v>181</v>
      </c>
    </row>
    <row r="18" spans="1:6" s="124" customFormat="1" ht="27" customHeight="1" x14ac:dyDescent="0.2">
      <c r="A18" s="493" t="s">
        <v>265</v>
      </c>
      <c r="B18" s="493"/>
      <c r="C18" s="493"/>
    </row>
    <row r="19" spans="1:6" s="124" customFormat="1" ht="23.25" customHeight="1" x14ac:dyDescent="0.2">
      <c r="A19" s="204">
        <v>182</v>
      </c>
      <c r="B19" s="204" t="s">
        <v>266</v>
      </c>
      <c r="C19" s="149" t="s">
        <v>267</v>
      </c>
    </row>
    <row r="20" spans="1:6" s="124" customFormat="1" ht="33" customHeight="1" x14ac:dyDescent="0.2">
      <c r="A20" s="204">
        <v>182</v>
      </c>
      <c r="B20" s="204" t="s">
        <v>268</v>
      </c>
      <c r="C20" s="150" t="s">
        <v>269</v>
      </c>
    </row>
    <row r="21" spans="1:6" s="124" customFormat="1" ht="33" customHeight="1" x14ac:dyDescent="0.2">
      <c r="A21" s="204">
        <v>182</v>
      </c>
      <c r="B21" s="204" t="s">
        <v>270</v>
      </c>
      <c r="C21" s="150" t="s">
        <v>271</v>
      </c>
    </row>
    <row r="22" spans="1:6" s="124" customFormat="1" ht="33" customHeight="1" x14ac:dyDescent="0.2">
      <c r="A22" s="204">
        <v>182</v>
      </c>
      <c r="B22" s="204" t="s">
        <v>182</v>
      </c>
      <c r="C22" s="150" t="s">
        <v>272</v>
      </c>
    </row>
    <row r="23" spans="1:6" s="124" customFormat="1" ht="33" customHeight="1" x14ac:dyDescent="0.2">
      <c r="A23" s="204">
        <v>182</v>
      </c>
      <c r="B23" s="204" t="s">
        <v>273</v>
      </c>
      <c r="C23" s="149" t="s">
        <v>274</v>
      </c>
    </row>
    <row r="24" spans="1:6" s="124" customFormat="1" ht="33" customHeight="1" x14ac:dyDescent="0.2">
      <c r="A24" s="204">
        <v>182</v>
      </c>
      <c r="B24" s="204" t="s">
        <v>275</v>
      </c>
      <c r="C24" s="149" t="s">
        <v>276</v>
      </c>
    </row>
    <row r="25" spans="1:6" s="124" customFormat="1" ht="48.75" customHeight="1" x14ac:dyDescent="0.2">
      <c r="A25" s="204">
        <v>182</v>
      </c>
      <c r="B25" s="204" t="s">
        <v>277</v>
      </c>
      <c r="C25" s="150" t="s">
        <v>278</v>
      </c>
    </row>
    <row r="26" spans="1:6" s="124" customFormat="1" ht="33.75" customHeight="1" x14ac:dyDescent="0.2">
      <c r="A26" s="204">
        <v>182</v>
      </c>
      <c r="B26" s="204" t="s">
        <v>279</v>
      </c>
      <c r="C26" s="150" t="s">
        <v>280</v>
      </c>
    </row>
    <row r="27" spans="1:6" s="124" customFormat="1" ht="63" customHeight="1" x14ac:dyDescent="0.2">
      <c r="A27" s="204">
        <v>182</v>
      </c>
      <c r="B27" s="204" t="s">
        <v>526</v>
      </c>
      <c r="C27" s="150" t="s">
        <v>527</v>
      </c>
    </row>
    <row r="28" spans="1:6" s="124" customFormat="1" ht="57.75" customHeight="1" x14ac:dyDescent="0.2">
      <c r="A28" s="204">
        <v>182</v>
      </c>
      <c r="B28" s="204" t="s">
        <v>186</v>
      </c>
      <c r="C28" s="150" t="s">
        <v>528</v>
      </c>
    </row>
    <row r="29" spans="1:6" s="124" customFormat="1" ht="21.75" customHeight="1" x14ac:dyDescent="0.2">
      <c r="A29" s="493" t="s">
        <v>281</v>
      </c>
      <c r="B29" s="493"/>
      <c r="C29" s="493"/>
    </row>
    <row r="30" spans="1:6" s="124" customFormat="1" ht="44.25" customHeight="1" x14ac:dyDescent="0.2">
      <c r="A30" s="204">
        <v>188</v>
      </c>
      <c r="B30" s="204" t="s">
        <v>261</v>
      </c>
      <c r="C30" s="148" t="s">
        <v>383</v>
      </c>
    </row>
    <row r="31" spans="1:6" s="124" customFormat="1" ht="30.75" customHeight="1" x14ac:dyDescent="0.2">
      <c r="A31" s="493" t="s">
        <v>282</v>
      </c>
      <c r="B31" s="493"/>
      <c r="C31" s="493"/>
    </row>
    <row r="32" spans="1:6" s="124" customFormat="1" ht="89.25" x14ac:dyDescent="0.2">
      <c r="A32" s="204">
        <v>321</v>
      </c>
      <c r="B32" s="204" t="s">
        <v>283</v>
      </c>
      <c r="C32" s="151" t="s">
        <v>284</v>
      </c>
    </row>
    <row r="33" spans="1:6" s="124" customFormat="1" ht="33" customHeight="1" x14ac:dyDescent="0.2">
      <c r="A33" s="493" t="s">
        <v>285</v>
      </c>
      <c r="B33" s="493"/>
      <c r="C33" s="493"/>
    </row>
    <row r="34" spans="1:6" s="124" customFormat="1" ht="42" customHeight="1" x14ac:dyDescent="0.2">
      <c r="A34" s="204">
        <v>415</v>
      </c>
      <c r="B34" s="204" t="s">
        <v>286</v>
      </c>
      <c r="C34" s="148" t="s">
        <v>386</v>
      </c>
    </row>
    <row r="35" spans="1:6" s="124" customFormat="1" ht="33" customHeight="1" x14ac:dyDescent="0.2">
      <c r="A35" s="494" t="s">
        <v>385</v>
      </c>
      <c r="B35" s="495"/>
      <c r="C35" s="496"/>
    </row>
    <row r="36" spans="1:6" s="124" customFormat="1" ht="42.75" customHeight="1" x14ac:dyDescent="0.2">
      <c r="A36" s="126">
        <v>805</v>
      </c>
      <c r="B36" s="126" t="s">
        <v>286</v>
      </c>
      <c r="C36" s="148" t="s">
        <v>384</v>
      </c>
    </row>
    <row r="37" spans="1:6" s="124" customFormat="1" ht="32.25" customHeight="1" x14ac:dyDescent="0.2">
      <c r="A37" s="493" t="s">
        <v>287</v>
      </c>
      <c r="B37" s="493"/>
      <c r="C37" s="493"/>
    </row>
    <row r="38" spans="1:6" s="124" customFormat="1" ht="38.25" x14ac:dyDescent="0.2">
      <c r="A38" s="204">
        <v>810</v>
      </c>
      <c r="B38" s="204" t="s">
        <v>286</v>
      </c>
      <c r="C38" s="148" t="s">
        <v>384</v>
      </c>
    </row>
    <row r="39" spans="1:6" s="124" customFormat="1" ht="14.25" x14ac:dyDescent="0.2">
      <c r="A39" s="145"/>
      <c r="B39" s="145"/>
      <c r="C39" s="125"/>
    </row>
    <row r="40" spans="1:6" s="124" customFormat="1" ht="52.5" customHeight="1" x14ac:dyDescent="0.2">
      <c r="A40" s="492" t="s">
        <v>387</v>
      </c>
      <c r="B40" s="492"/>
      <c r="C40" s="492"/>
    </row>
    <row r="41" spans="1:6" s="124" customFormat="1" ht="72.75" customHeight="1" x14ac:dyDescent="0.2">
      <c r="A41" s="492" t="s">
        <v>529</v>
      </c>
      <c r="B41" s="492"/>
      <c r="C41" s="492"/>
    </row>
    <row r="42" spans="1:6" ht="63.75" customHeight="1" x14ac:dyDescent="0.2">
      <c r="A42" s="492" t="s">
        <v>530</v>
      </c>
      <c r="B42" s="492"/>
      <c r="C42" s="492"/>
    </row>
    <row r="43" spans="1:6" ht="18.75" x14ac:dyDescent="0.2">
      <c r="A43" s="152" t="s">
        <v>181</v>
      </c>
      <c r="B43" s="145"/>
      <c r="C43" s="125"/>
      <c r="F43" s="128" t="s">
        <v>181</v>
      </c>
    </row>
    <row r="44" spans="1:6" x14ac:dyDescent="0.2">
      <c r="A44" s="145"/>
      <c r="B44" s="145"/>
      <c r="C44" s="125"/>
    </row>
  </sheetData>
  <mergeCells count="15">
    <mergeCell ref="A3:C3"/>
    <mergeCell ref="A37:C37"/>
    <mergeCell ref="A6:C6"/>
    <mergeCell ref="A11:C11"/>
    <mergeCell ref="A13:C13"/>
    <mergeCell ref="A4:B4"/>
    <mergeCell ref="C4:C5"/>
    <mergeCell ref="A18:C18"/>
    <mergeCell ref="A29:C29"/>
    <mergeCell ref="A42:C42"/>
    <mergeCell ref="A31:C31"/>
    <mergeCell ref="A33:C33"/>
    <mergeCell ref="A35:C35"/>
    <mergeCell ref="A40:C40"/>
    <mergeCell ref="A41:C41"/>
  </mergeCells>
  <hyperlinks>
    <hyperlink ref="C19" r:id="rId1" display="consultantplus://offline/ref=E88F0C8B57259A8E16544F9DC27CADC22B5729ED2611768BD70DA245F7B40A830CAE0EEB7020B4B475BE71c8fBK"/>
    <hyperlink ref="C23" r:id="rId2" display="consultantplus://offline/ref=E88F0C8B57259A8E16544F9DC27CADC22B5729ED2611768BD70DA245F7B40A830CAE0EEB7020B4B475BE71c8fBK"/>
    <hyperlink ref="C24" r:id="rId3" display="consultantplus://offline/ref=E88F0C8B57259A8E16544F9DC27CADC22B5729ED2611768BD70DA245F7B40A830CAE0EEB7020B4B475BE71c8fBK"/>
  </hyperlinks>
  <pageMargins left="0.70866141732283472" right="0.51181102362204722" top="0.55118110236220474" bottom="0.15748031496062992" header="0.31496062992125984" footer="0.31496062992125984"/>
  <pageSetup paperSize="9" scale="85" orientation="portrait"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election activeCell="C23" sqref="C23"/>
    </sheetView>
  </sheetViews>
  <sheetFormatPr defaultRowHeight="12.75" x14ac:dyDescent="0.25"/>
  <cols>
    <col min="1" max="1" width="14.140625" style="51" customWidth="1"/>
    <col min="2" max="2" width="27.28515625" style="51" customWidth="1"/>
    <col min="3" max="3" width="59.140625" style="142" customWidth="1"/>
    <col min="4" max="4" width="9.140625" style="142"/>
    <col min="5" max="5" width="22.85546875" style="142" customWidth="1"/>
    <col min="6" max="255" width="9.140625" style="142"/>
    <col min="256" max="256" width="10" style="142" customWidth="1"/>
    <col min="257" max="257" width="5.140625" style="142" customWidth="1"/>
    <col min="258" max="258" width="19.28515625" style="142" customWidth="1"/>
    <col min="259" max="259" width="61.5703125" style="142" customWidth="1"/>
    <col min="260" max="511" width="9.140625" style="142"/>
    <col min="512" max="512" width="10" style="142" customWidth="1"/>
    <col min="513" max="513" width="5.140625" style="142" customWidth="1"/>
    <col min="514" max="514" width="19.28515625" style="142" customWidth="1"/>
    <col min="515" max="515" width="61.5703125" style="142" customWidth="1"/>
    <col min="516" max="767" width="9.140625" style="142"/>
    <col min="768" max="768" width="10" style="142" customWidth="1"/>
    <col min="769" max="769" width="5.140625" style="142" customWidth="1"/>
    <col min="770" max="770" width="19.28515625" style="142" customWidth="1"/>
    <col min="771" max="771" width="61.5703125" style="142" customWidth="1"/>
    <col min="772" max="1023" width="9.140625" style="142"/>
    <col min="1024" max="1024" width="10" style="142" customWidth="1"/>
    <col min="1025" max="1025" width="5.140625" style="142" customWidth="1"/>
    <col min="1026" max="1026" width="19.28515625" style="142" customWidth="1"/>
    <col min="1027" max="1027" width="61.5703125" style="142" customWidth="1"/>
    <col min="1028" max="1279" width="9.140625" style="142"/>
    <col min="1280" max="1280" width="10" style="142" customWidth="1"/>
    <col min="1281" max="1281" width="5.140625" style="142" customWidth="1"/>
    <col min="1282" max="1282" width="19.28515625" style="142" customWidth="1"/>
    <col min="1283" max="1283" width="61.5703125" style="142" customWidth="1"/>
    <col min="1284" max="1535" width="9.140625" style="142"/>
    <col min="1536" max="1536" width="10" style="142" customWidth="1"/>
    <col min="1537" max="1537" width="5.140625" style="142" customWidth="1"/>
    <col min="1538" max="1538" width="19.28515625" style="142" customWidth="1"/>
    <col min="1539" max="1539" width="61.5703125" style="142" customWidth="1"/>
    <col min="1540" max="1791" width="9.140625" style="142"/>
    <col min="1792" max="1792" width="10" style="142" customWidth="1"/>
    <col min="1793" max="1793" width="5.140625" style="142" customWidth="1"/>
    <col min="1794" max="1794" width="19.28515625" style="142" customWidth="1"/>
    <col min="1795" max="1795" width="61.5703125" style="142" customWidth="1"/>
    <col min="1796" max="2047" width="9.140625" style="142"/>
    <col min="2048" max="2048" width="10" style="142" customWidth="1"/>
    <col min="2049" max="2049" width="5.140625" style="142" customWidth="1"/>
    <col min="2050" max="2050" width="19.28515625" style="142" customWidth="1"/>
    <col min="2051" max="2051" width="61.5703125" style="142" customWidth="1"/>
    <col min="2052" max="2303" width="9.140625" style="142"/>
    <col min="2304" max="2304" width="10" style="142" customWidth="1"/>
    <col min="2305" max="2305" width="5.140625" style="142" customWidth="1"/>
    <col min="2306" max="2306" width="19.28515625" style="142" customWidth="1"/>
    <col min="2307" max="2307" width="61.5703125" style="142" customWidth="1"/>
    <col min="2308" max="2559" width="9.140625" style="142"/>
    <col min="2560" max="2560" width="10" style="142" customWidth="1"/>
    <col min="2561" max="2561" width="5.140625" style="142" customWidth="1"/>
    <col min="2562" max="2562" width="19.28515625" style="142" customWidth="1"/>
    <col min="2563" max="2563" width="61.5703125" style="142" customWidth="1"/>
    <col min="2564" max="2815" width="9.140625" style="142"/>
    <col min="2816" max="2816" width="10" style="142" customWidth="1"/>
    <col min="2817" max="2817" width="5.140625" style="142" customWidth="1"/>
    <col min="2818" max="2818" width="19.28515625" style="142" customWidth="1"/>
    <col min="2819" max="2819" width="61.5703125" style="142" customWidth="1"/>
    <col min="2820" max="3071" width="9.140625" style="142"/>
    <col min="3072" max="3072" width="10" style="142" customWidth="1"/>
    <col min="3073" max="3073" width="5.140625" style="142" customWidth="1"/>
    <col min="3074" max="3074" width="19.28515625" style="142" customWidth="1"/>
    <col min="3075" max="3075" width="61.5703125" style="142" customWidth="1"/>
    <col min="3076" max="3327" width="9.140625" style="142"/>
    <col min="3328" max="3328" width="10" style="142" customWidth="1"/>
    <col min="3329" max="3329" width="5.140625" style="142" customWidth="1"/>
    <col min="3330" max="3330" width="19.28515625" style="142" customWidth="1"/>
    <col min="3331" max="3331" width="61.5703125" style="142" customWidth="1"/>
    <col min="3332" max="3583" width="9.140625" style="142"/>
    <col min="3584" max="3584" width="10" style="142" customWidth="1"/>
    <col min="3585" max="3585" width="5.140625" style="142" customWidth="1"/>
    <col min="3586" max="3586" width="19.28515625" style="142" customWidth="1"/>
    <col min="3587" max="3587" width="61.5703125" style="142" customWidth="1"/>
    <col min="3588" max="3839" width="9.140625" style="142"/>
    <col min="3840" max="3840" width="10" style="142" customWidth="1"/>
    <col min="3841" max="3841" width="5.140625" style="142" customWidth="1"/>
    <col min="3842" max="3842" width="19.28515625" style="142" customWidth="1"/>
    <col min="3843" max="3843" width="61.5703125" style="142" customWidth="1"/>
    <col min="3844" max="4095" width="9.140625" style="142"/>
    <col min="4096" max="4096" width="10" style="142" customWidth="1"/>
    <col min="4097" max="4097" width="5.140625" style="142" customWidth="1"/>
    <col min="4098" max="4098" width="19.28515625" style="142" customWidth="1"/>
    <col min="4099" max="4099" width="61.5703125" style="142" customWidth="1"/>
    <col min="4100" max="4351" width="9.140625" style="142"/>
    <col min="4352" max="4352" width="10" style="142" customWidth="1"/>
    <col min="4353" max="4353" width="5.140625" style="142" customWidth="1"/>
    <col min="4354" max="4354" width="19.28515625" style="142" customWidth="1"/>
    <col min="4355" max="4355" width="61.5703125" style="142" customWidth="1"/>
    <col min="4356" max="4607" width="9.140625" style="142"/>
    <col min="4608" max="4608" width="10" style="142" customWidth="1"/>
    <col min="4609" max="4609" width="5.140625" style="142" customWidth="1"/>
    <col min="4610" max="4610" width="19.28515625" style="142" customWidth="1"/>
    <col min="4611" max="4611" width="61.5703125" style="142" customWidth="1"/>
    <col min="4612" max="4863" width="9.140625" style="142"/>
    <col min="4864" max="4864" width="10" style="142" customWidth="1"/>
    <col min="4865" max="4865" width="5.140625" style="142" customWidth="1"/>
    <col min="4866" max="4866" width="19.28515625" style="142" customWidth="1"/>
    <col min="4867" max="4867" width="61.5703125" style="142" customWidth="1"/>
    <col min="4868" max="5119" width="9.140625" style="142"/>
    <col min="5120" max="5120" width="10" style="142" customWidth="1"/>
    <col min="5121" max="5121" width="5.140625" style="142" customWidth="1"/>
    <col min="5122" max="5122" width="19.28515625" style="142" customWidth="1"/>
    <col min="5123" max="5123" width="61.5703125" style="142" customWidth="1"/>
    <col min="5124" max="5375" width="9.140625" style="142"/>
    <col min="5376" max="5376" width="10" style="142" customWidth="1"/>
    <col min="5377" max="5377" width="5.140625" style="142" customWidth="1"/>
    <col min="5378" max="5378" width="19.28515625" style="142" customWidth="1"/>
    <col min="5379" max="5379" width="61.5703125" style="142" customWidth="1"/>
    <col min="5380" max="5631" width="9.140625" style="142"/>
    <col min="5632" max="5632" width="10" style="142" customWidth="1"/>
    <col min="5633" max="5633" width="5.140625" style="142" customWidth="1"/>
    <col min="5634" max="5634" width="19.28515625" style="142" customWidth="1"/>
    <col min="5635" max="5635" width="61.5703125" style="142" customWidth="1"/>
    <col min="5636" max="5887" width="9.140625" style="142"/>
    <col min="5888" max="5888" width="10" style="142" customWidth="1"/>
    <col min="5889" max="5889" width="5.140625" style="142" customWidth="1"/>
    <col min="5890" max="5890" width="19.28515625" style="142" customWidth="1"/>
    <col min="5891" max="5891" width="61.5703125" style="142" customWidth="1"/>
    <col min="5892" max="6143" width="9.140625" style="142"/>
    <col min="6144" max="6144" width="10" style="142" customWidth="1"/>
    <col min="6145" max="6145" width="5.140625" style="142" customWidth="1"/>
    <col min="6146" max="6146" width="19.28515625" style="142" customWidth="1"/>
    <col min="6147" max="6147" width="61.5703125" style="142" customWidth="1"/>
    <col min="6148" max="6399" width="9.140625" style="142"/>
    <col min="6400" max="6400" width="10" style="142" customWidth="1"/>
    <col min="6401" max="6401" width="5.140625" style="142" customWidth="1"/>
    <col min="6402" max="6402" width="19.28515625" style="142" customWidth="1"/>
    <col min="6403" max="6403" width="61.5703125" style="142" customWidth="1"/>
    <col min="6404" max="6655" width="9.140625" style="142"/>
    <col min="6656" max="6656" width="10" style="142" customWidth="1"/>
    <col min="6657" max="6657" width="5.140625" style="142" customWidth="1"/>
    <col min="6658" max="6658" width="19.28515625" style="142" customWidth="1"/>
    <col min="6659" max="6659" width="61.5703125" style="142" customWidth="1"/>
    <col min="6660" max="6911" width="9.140625" style="142"/>
    <col min="6912" max="6912" width="10" style="142" customWidth="1"/>
    <col min="6913" max="6913" width="5.140625" style="142" customWidth="1"/>
    <col min="6914" max="6914" width="19.28515625" style="142" customWidth="1"/>
    <col min="6915" max="6915" width="61.5703125" style="142" customWidth="1"/>
    <col min="6916" max="7167" width="9.140625" style="142"/>
    <col min="7168" max="7168" width="10" style="142" customWidth="1"/>
    <col min="7169" max="7169" width="5.140625" style="142" customWidth="1"/>
    <col min="7170" max="7170" width="19.28515625" style="142" customWidth="1"/>
    <col min="7171" max="7171" width="61.5703125" style="142" customWidth="1"/>
    <col min="7172" max="7423" width="9.140625" style="142"/>
    <col min="7424" max="7424" width="10" style="142" customWidth="1"/>
    <col min="7425" max="7425" width="5.140625" style="142" customWidth="1"/>
    <col min="7426" max="7426" width="19.28515625" style="142" customWidth="1"/>
    <col min="7427" max="7427" width="61.5703125" style="142" customWidth="1"/>
    <col min="7428" max="7679" width="9.140625" style="142"/>
    <col min="7680" max="7680" width="10" style="142" customWidth="1"/>
    <col min="7681" max="7681" width="5.140625" style="142" customWidth="1"/>
    <col min="7682" max="7682" width="19.28515625" style="142" customWidth="1"/>
    <col min="7683" max="7683" width="61.5703125" style="142" customWidth="1"/>
    <col min="7684" max="7935" width="9.140625" style="142"/>
    <col min="7936" max="7936" width="10" style="142" customWidth="1"/>
    <col min="7937" max="7937" width="5.140625" style="142" customWidth="1"/>
    <col min="7938" max="7938" width="19.28515625" style="142" customWidth="1"/>
    <col min="7939" max="7939" width="61.5703125" style="142" customWidth="1"/>
    <col min="7940" max="8191" width="9.140625" style="142"/>
    <col min="8192" max="8192" width="10" style="142" customWidth="1"/>
    <col min="8193" max="8193" width="5.140625" style="142" customWidth="1"/>
    <col min="8194" max="8194" width="19.28515625" style="142" customWidth="1"/>
    <col min="8195" max="8195" width="61.5703125" style="142" customWidth="1"/>
    <col min="8196" max="8447" width="9.140625" style="142"/>
    <col min="8448" max="8448" width="10" style="142" customWidth="1"/>
    <col min="8449" max="8449" width="5.140625" style="142" customWidth="1"/>
    <col min="8450" max="8450" width="19.28515625" style="142" customWidth="1"/>
    <col min="8451" max="8451" width="61.5703125" style="142" customWidth="1"/>
    <col min="8452" max="8703" width="9.140625" style="142"/>
    <col min="8704" max="8704" width="10" style="142" customWidth="1"/>
    <col min="8705" max="8705" width="5.140625" style="142" customWidth="1"/>
    <col min="8706" max="8706" width="19.28515625" style="142" customWidth="1"/>
    <col min="8707" max="8707" width="61.5703125" style="142" customWidth="1"/>
    <col min="8708" max="8959" width="9.140625" style="142"/>
    <col min="8960" max="8960" width="10" style="142" customWidth="1"/>
    <col min="8961" max="8961" width="5.140625" style="142" customWidth="1"/>
    <col min="8962" max="8962" width="19.28515625" style="142" customWidth="1"/>
    <col min="8963" max="8963" width="61.5703125" style="142" customWidth="1"/>
    <col min="8964" max="9215" width="9.140625" style="142"/>
    <col min="9216" max="9216" width="10" style="142" customWidth="1"/>
    <col min="9217" max="9217" width="5.140625" style="142" customWidth="1"/>
    <col min="9218" max="9218" width="19.28515625" style="142" customWidth="1"/>
    <col min="9219" max="9219" width="61.5703125" style="142" customWidth="1"/>
    <col min="9220" max="9471" width="9.140625" style="142"/>
    <col min="9472" max="9472" width="10" style="142" customWidth="1"/>
    <col min="9473" max="9473" width="5.140625" style="142" customWidth="1"/>
    <col min="9474" max="9474" width="19.28515625" style="142" customWidth="1"/>
    <col min="9475" max="9475" width="61.5703125" style="142" customWidth="1"/>
    <col min="9476" max="9727" width="9.140625" style="142"/>
    <col min="9728" max="9728" width="10" style="142" customWidth="1"/>
    <col min="9729" max="9729" width="5.140625" style="142" customWidth="1"/>
    <col min="9730" max="9730" width="19.28515625" style="142" customWidth="1"/>
    <col min="9731" max="9731" width="61.5703125" style="142" customWidth="1"/>
    <col min="9732" max="9983" width="9.140625" style="142"/>
    <col min="9984" max="9984" width="10" style="142" customWidth="1"/>
    <col min="9985" max="9985" width="5.140625" style="142" customWidth="1"/>
    <col min="9986" max="9986" width="19.28515625" style="142" customWidth="1"/>
    <col min="9987" max="9987" width="61.5703125" style="142" customWidth="1"/>
    <col min="9988" max="10239" width="9.140625" style="142"/>
    <col min="10240" max="10240" width="10" style="142" customWidth="1"/>
    <col min="10241" max="10241" width="5.140625" style="142" customWidth="1"/>
    <col min="10242" max="10242" width="19.28515625" style="142" customWidth="1"/>
    <col min="10243" max="10243" width="61.5703125" style="142" customWidth="1"/>
    <col min="10244" max="10495" width="9.140625" style="142"/>
    <col min="10496" max="10496" width="10" style="142" customWidth="1"/>
    <col min="10497" max="10497" width="5.140625" style="142" customWidth="1"/>
    <col min="10498" max="10498" width="19.28515625" style="142" customWidth="1"/>
    <col min="10499" max="10499" width="61.5703125" style="142" customWidth="1"/>
    <col min="10500" max="10751" width="9.140625" style="142"/>
    <col min="10752" max="10752" width="10" style="142" customWidth="1"/>
    <col min="10753" max="10753" width="5.140625" style="142" customWidth="1"/>
    <col min="10754" max="10754" width="19.28515625" style="142" customWidth="1"/>
    <col min="10755" max="10755" width="61.5703125" style="142" customWidth="1"/>
    <col min="10756" max="11007" width="9.140625" style="142"/>
    <col min="11008" max="11008" width="10" style="142" customWidth="1"/>
    <col min="11009" max="11009" width="5.140625" style="142" customWidth="1"/>
    <col min="11010" max="11010" width="19.28515625" style="142" customWidth="1"/>
    <col min="11011" max="11011" width="61.5703125" style="142" customWidth="1"/>
    <col min="11012" max="11263" width="9.140625" style="142"/>
    <col min="11264" max="11264" width="10" style="142" customWidth="1"/>
    <col min="11265" max="11265" width="5.140625" style="142" customWidth="1"/>
    <col min="11266" max="11266" width="19.28515625" style="142" customWidth="1"/>
    <col min="11267" max="11267" width="61.5703125" style="142" customWidth="1"/>
    <col min="11268" max="11519" width="9.140625" style="142"/>
    <col min="11520" max="11520" width="10" style="142" customWidth="1"/>
    <col min="11521" max="11521" width="5.140625" style="142" customWidth="1"/>
    <col min="11522" max="11522" width="19.28515625" style="142" customWidth="1"/>
    <col min="11523" max="11523" width="61.5703125" style="142" customWidth="1"/>
    <col min="11524" max="11775" width="9.140625" style="142"/>
    <col min="11776" max="11776" width="10" style="142" customWidth="1"/>
    <col min="11777" max="11777" width="5.140625" style="142" customWidth="1"/>
    <col min="11778" max="11778" width="19.28515625" style="142" customWidth="1"/>
    <col min="11779" max="11779" width="61.5703125" style="142" customWidth="1"/>
    <col min="11780" max="12031" width="9.140625" style="142"/>
    <col min="12032" max="12032" width="10" style="142" customWidth="1"/>
    <col min="12033" max="12033" width="5.140625" style="142" customWidth="1"/>
    <col min="12034" max="12034" width="19.28515625" style="142" customWidth="1"/>
    <col min="12035" max="12035" width="61.5703125" style="142" customWidth="1"/>
    <col min="12036" max="12287" width="9.140625" style="142"/>
    <col min="12288" max="12288" width="10" style="142" customWidth="1"/>
    <col min="12289" max="12289" width="5.140625" style="142" customWidth="1"/>
    <col min="12290" max="12290" width="19.28515625" style="142" customWidth="1"/>
    <col min="12291" max="12291" width="61.5703125" style="142" customWidth="1"/>
    <col min="12292" max="12543" width="9.140625" style="142"/>
    <col min="12544" max="12544" width="10" style="142" customWidth="1"/>
    <col min="12545" max="12545" width="5.140625" style="142" customWidth="1"/>
    <col min="12546" max="12546" width="19.28515625" style="142" customWidth="1"/>
    <col min="12547" max="12547" width="61.5703125" style="142" customWidth="1"/>
    <col min="12548" max="12799" width="9.140625" style="142"/>
    <col min="12800" max="12800" width="10" style="142" customWidth="1"/>
    <col min="12801" max="12801" width="5.140625" style="142" customWidth="1"/>
    <col min="12802" max="12802" width="19.28515625" style="142" customWidth="1"/>
    <col min="12803" max="12803" width="61.5703125" style="142" customWidth="1"/>
    <col min="12804" max="13055" width="9.140625" style="142"/>
    <col min="13056" max="13056" width="10" style="142" customWidth="1"/>
    <col min="13057" max="13057" width="5.140625" style="142" customWidth="1"/>
    <col min="13058" max="13058" width="19.28515625" style="142" customWidth="1"/>
    <col min="13059" max="13059" width="61.5703125" style="142" customWidth="1"/>
    <col min="13060" max="13311" width="9.140625" style="142"/>
    <col min="13312" max="13312" width="10" style="142" customWidth="1"/>
    <col min="13313" max="13313" width="5.140625" style="142" customWidth="1"/>
    <col min="13314" max="13314" width="19.28515625" style="142" customWidth="1"/>
    <col min="13315" max="13315" width="61.5703125" style="142" customWidth="1"/>
    <col min="13316" max="13567" width="9.140625" style="142"/>
    <col min="13568" max="13568" width="10" style="142" customWidth="1"/>
    <col min="13569" max="13569" width="5.140625" style="142" customWidth="1"/>
    <col min="13570" max="13570" width="19.28515625" style="142" customWidth="1"/>
    <col min="13571" max="13571" width="61.5703125" style="142" customWidth="1"/>
    <col min="13572" max="13823" width="9.140625" style="142"/>
    <col min="13824" max="13824" width="10" style="142" customWidth="1"/>
    <col min="13825" max="13825" width="5.140625" style="142" customWidth="1"/>
    <col min="13826" max="13826" width="19.28515625" style="142" customWidth="1"/>
    <col min="13827" max="13827" width="61.5703125" style="142" customWidth="1"/>
    <col min="13828" max="14079" width="9.140625" style="142"/>
    <col min="14080" max="14080" width="10" style="142" customWidth="1"/>
    <col min="14081" max="14081" width="5.140625" style="142" customWidth="1"/>
    <col min="14082" max="14082" width="19.28515625" style="142" customWidth="1"/>
    <col min="14083" max="14083" width="61.5703125" style="142" customWidth="1"/>
    <col min="14084" max="14335" width="9.140625" style="142"/>
    <col min="14336" max="14336" width="10" style="142" customWidth="1"/>
    <col min="14337" max="14337" width="5.140625" style="142" customWidth="1"/>
    <col min="14338" max="14338" width="19.28515625" style="142" customWidth="1"/>
    <col min="14339" max="14339" width="61.5703125" style="142" customWidth="1"/>
    <col min="14340" max="14591" width="9.140625" style="142"/>
    <col min="14592" max="14592" width="10" style="142" customWidth="1"/>
    <col min="14593" max="14593" width="5.140625" style="142" customWidth="1"/>
    <col min="14594" max="14594" width="19.28515625" style="142" customWidth="1"/>
    <col min="14595" max="14595" width="61.5703125" style="142" customWidth="1"/>
    <col min="14596" max="14847" width="9.140625" style="142"/>
    <col min="14848" max="14848" width="10" style="142" customWidth="1"/>
    <col min="14849" max="14849" width="5.140625" style="142" customWidth="1"/>
    <col min="14850" max="14850" width="19.28515625" style="142" customWidth="1"/>
    <col min="14851" max="14851" width="61.5703125" style="142" customWidth="1"/>
    <col min="14852" max="15103" width="9.140625" style="142"/>
    <col min="15104" max="15104" width="10" style="142" customWidth="1"/>
    <col min="15105" max="15105" width="5.140625" style="142" customWidth="1"/>
    <col min="15106" max="15106" width="19.28515625" style="142" customWidth="1"/>
    <col min="15107" max="15107" width="61.5703125" style="142" customWidth="1"/>
    <col min="15108" max="15359" width="9.140625" style="142"/>
    <col min="15360" max="15360" width="10" style="142" customWidth="1"/>
    <col min="15361" max="15361" width="5.140625" style="142" customWidth="1"/>
    <col min="15362" max="15362" width="19.28515625" style="142" customWidth="1"/>
    <col min="15363" max="15363" width="61.5703125" style="142" customWidth="1"/>
    <col min="15364" max="15615" width="9.140625" style="142"/>
    <col min="15616" max="15616" width="10" style="142" customWidth="1"/>
    <col min="15617" max="15617" width="5.140625" style="142" customWidth="1"/>
    <col min="15618" max="15618" width="19.28515625" style="142" customWidth="1"/>
    <col min="15619" max="15619" width="61.5703125" style="142" customWidth="1"/>
    <col min="15620" max="15871" width="9.140625" style="142"/>
    <col min="15872" max="15872" width="10" style="142" customWidth="1"/>
    <col min="15873" max="15873" width="5.140625" style="142" customWidth="1"/>
    <col min="15874" max="15874" width="19.28515625" style="142" customWidth="1"/>
    <col min="15875" max="15875" width="61.5703125" style="142" customWidth="1"/>
    <col min="15876" max="16127" width="9.140625" style="142"/>
    <col min="16128" max="16128" width="10" style="142" customWidth="1"/>
    <col min="16129" max="16129" width="5.140625" style="142" customWidth="1"/>
    <col min="16130" max="16130" width="19.28515625" style="142" customWidth="1"/>
    <col min="16131" max="16131" width="61.5703125" style="142" customWidth="1"/>
    <col min="16132" max="16384" width="9.140625" style="142"/>
  </cols>
  <sheetData>
    <row r="1" spans="1:6" x14ac:dyDescent="0.25">
      <c r="C1" s="140" t="s">
        <v>389</v>
      </c>
      <c r="D1" s="153"/>
      <c r="E1" s="153"/>
      <c r="F1" s="153"/>
    </row>
    <row r="2" spans="1:6" ht="38.25" x14ac:dyDescent="0.25">
      <c r="C2" s="141" t="s">
        <v>462</v>
      </c>
      <c r="D2" s="153"/>
      <c r="E2" s="153"/>
      <c r="F2" s="153"/>
    </row>
    <row r="4" spans="1:6" ht="42" customHeight="1" x14ac:dyDescent="0.25">
      <c r="A4" s="475" t="s">
        <v>390</v>
      </c>
      <c r="B4" s="475"/>
      <c r="C4" s="475"/>
    </row>
    <row r="6" spans="1:6" s="154" customFormat="1" ht="56.25" x14ac:dyDescent="0.25">
      <c r="A6" s="123" t="s">
        <v>391</v>
      </c>
      <c r="B6" s="123" t="s">
        <v>392</v>
      </c>
      <c r="C6" s="123" t="s">
        <v>393</v>
      </c>
    </row>
    <row r="7" spans="1:6" ht="26.25" customHeight="1" x14ac:dyDescent="0.25">
      <c r="A7" s="478" t="s">
        <v>143</v>
      </c>
      <c r="B7" s="486"/>
      <c r="C7" s="502"/>
    </row>
    <row r="8" spans="1:6" s="158" customFormat="1" ht="36" customHeight="1" x14ac:dyDescent="0.25">
      <c r="A8" s="155">
        <v>853</v>
      </c>
      <c r="B8" s="155" t="s">
        <v>394</v>
      </c>
      <c r="C8" s="156" t="s">
        <v>395</v>
      </c>
      <c r="D8" s="157"/>
    </row>
    <row r="9" spans="1:6" s="159" customFormat="1" ht="36" customHeight="1" x14ac:dyDescent="0.25">
      <c r="A9" s="155">
        <v>853</v>
      </c>
      <c r="B9" s="155" t="s">
        <v>396</v>
      </c>
      <c r="C9" s="156" t="s">
        <v>397</v>
      </c>
    </row>
    <row r="17" spans="3:5" s="142" customFormat="1" x14ac:dyDescent="0.25">
      <c r="C17" s="160"/>
      <c r="D17" s="160"/>
      <c r="E17" s="160"/>
    </row>
    <row r="18" spans="3:5" s="142" customFormat="1" x14ac:dyDescent="0.25">
      <c r="C18" s="161"/>
      <c r="D18" s="162"/>
      <c r="E18" s="163"/>
    </row>
    <row r="19" spans="3:5" s="142" customFormat="1" x14ac:dyDescent="0.25">
      <c r="C19" s="161"/>
      <c r="D19" s="162"/>
      <c r="E19" s="163"/>
    </row>
    <row r="20" spans="3:5" s="142" customFormat="1" x14ac:dyDescent="0.25">
      <c r="C20" s="160"/>
      <c r="D20" s="160"/>
      <c r="E20" s="160"/>
    </row>
  </sheetData>
  <mergeCells count="2">
    <mergeCell ref="A4:C4"/>
    <mergeCell ref="A7:C7"/>
  </mergeCells>
  <pageMargins left="0.70866141732283472" right="0.31496062992125984" top="0.74803149606299213" bottom="0.74803149606299213" header="0.31496062992125984" footer="0.31496062992125984"/>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99"/>
  </sheetPr>
  <dimension ref="A1:X448"/>
  <sheetViews>
    <sheetView zoomScale="90" zoomScaleNormal="90" workbookViewId="0">
      <pane xSplit="9" ySplit="5" topLeftCell="J6" activePane="bottomRight" state="frozen"/>
      <selection activeCell="J379" sqref="J379:J380"/>
      <selection pane="topRight" activeCell="J379" sqref="J379:J380"/>
      <selection pane="bottomLeft" activeCell="J379" sqref="J379:J380"/>
      <selection pane="bottomRight" activeCell="U10" sqref="U10"/>
    </sheetView>
  </sheetViews>
  <sheetFormatPr defaultRowHeight="12" x14ac:dyDescent="0.25"/>
  <cols>
    <col min="1" max="1" width="1.7109375" style="6" customWidth="1"/>
    <col min="2" max="2" width="71.42578125" style="6" customWidth="1"/>
    <col min="3" max="4" width="4" style="6" hidden="1" customWidth="1"/>
    <col min="5" max="5" width="4.5703125" style="64" customWidth="1"/>
    <col min="6" max="7" width="4" style="64" customWidth="1"/>
    <col min="8" max="8" width="10.42578125" style="6" customWidth="1"/>
    <col min="9" max="9" width="4.5703125" style="6" customWidth="1"/>
    <col min="10" max="10" width="14.28515625" style="6" hidden="1" customWidth="1"/>
    <col min="11" max="11" width="12.28515625" style="6" hidden="1" customWidth="1"/>
    <col min="12" max="12" width="13.140625" style="6" hidden="1" customWidth="1"/>
    <col min="13" max="13" width="12.28515625" style="6" hidden="1" customWidth="1"/>
    <col min="14" max="14" width="13.140625" style="6" hidden="1" customWidth="1"/>
    <col min="15" max="15" width="12.28515625" style="6" hidden="1" customWidth="1"/>
    <col min="16" max="16" width="14.5703125" style="6" hidden="1" customWidth="1"/>
    <col min="17" max="17" width="13.140625" style="6" hidden="1" customWidth="1"/>
    <col min="18" max="19" width="12.28515625" style="6" hidden="1" customWidth="1"/>
    <col min="20" max="20" width="9.7109375" style="6" hidden="1" customWidth="1"/>
    <col min="21" max="21" width="15.42578125" style="6" customWidth="1"/>
    <col min="22" max="22" width="14" style="6" customWidth="1"/>
    <col min="23" max="23" width="14.140625" style="6" customWidth="1"/>
    <col min="24" max="207" width="9.140625" style="6"/>
    <col min="208" max="208" width="1.42578125" style="6" customWidth="1"/>
    <col min="209" max="209" width="59.5703125" style="6" customWidth="1"/>
    <col min="210" max="210" width="9.140625" style="6" customWidth="1"/>
    <col min="211" max="212" width="3.85546875" style="6" customWidth="1"/>
    <col min="213" max="213" width="10.5703125" style="6" customWidth="1"/>
    <col min="214" max="214" width="3.85546875" style="6" customWidth="1"/>
    <col min="215" max="217" width="14.42578125" style="6" customWidth="1"/>
    <col min="218" max="218" width="4.140625" style="6" customWidth="1"/>
    <col min="219" max="219" width="15" style="6" customWidth="1"/>
    <col min="220" max="221" width="9.140625" style="6" customWidth="1"/>
    <col min="222" max="222" width="11.5703125" style="6" customWidth="1"/>
    <col min="223" max="223" width="18.140625" style="6" customWidth="1"/>
    <col min="224" max="224" width="13.140625" style="6" customWidth="1"/>
    <col min="225" max="225" width="12.28515625" style="6" customWidth="1"/>
    <col min="226" max="463" width="9.140625" style="6"/>
    <col min="464" max="464" width="1.42578125" style="6" customWidth="1"/>
    <col min="465" max="465" width="59.5703125" style="6" customWidth="1"/>
    <col min="466" max="466" width="9.140625" style="6" customWidth="1"/>
    <col min="467" max="468" width="3.85546875" style="6" customWidth="1"/>
    <col min="469" max="469" width="10.5703125" style="6" customWidth="1"/>
    <col min="470" max="470" width="3.85546875" style="6" customWidth="1"/>
    <col min="471" max="473" width="14.42578125" style="6" customWidth="1"/>
    <col min="474" max="474" width="4.140625" style="6" customWidth="1"/>
    <col min="475" max="475" width="15" style="6" customWidth="1"/>
    <col min="476" max="477" width="9.140625" style="6" customWidth="1"/>
    <col min="478" max="478" width="11.5703125" style="6" customWidth="1"/>
    <col min="479" max="479" width="18.140625" style="6" customWidth="1"/>
    <col min="480" max="480" width="13.140625" style="6" customWidth="1"/>
    <col min="481" max="481" width="12.28515625" style="6" customWidth="1"/>
    <col min="482" max="719" width="9.140625" style="6"/>
    <col min="720" max="720" width="1.42578125" style="6" customWidth="1"/>
    <col min="721" max="721" width="59.5703125" style="6" customWidth="1"/>
    <col min="722" max="722" width="9.140625" style="6" customWidth="1"/>
    <col min="723" max="724" width="3.85546875" style="6" customWidth="1"/>
    <col min="725" max="725" width="10.5703125" style="6" customWidth="1"/>
    <col min="726" max="726" width="3.85546875" style="6" customWidth="1"/>
    <col min="727" max="729" width="14.42578125" style="6" customWidth="1"/>
    <col min="730" max="730" width="4.140625" style="6" customWidth="1"/>
    <col min="731" max="731" width="15" style="6" customWidth="1"/>
    <col min="732" max="733" width="9.140625" style="6" customWidth="1"/>
    <col min="734" max="734" width="11.5703125" style="6" customWidth="1"/>
    <col min="735" max="735" width="18.140625" style="6" customWidth="1"/>
    <col min="736" max="736" width="13.140625" style="6" customWidth="1"/>
    <col min="737" max="737" width="12.28515625" style="6" customWidth="1"/>
    <col min="738" max="975" width="9.140625" style="6"/>
    <col min="976" max="976" width="1.42578125" style="6" customWidth="1"/>
    <col min="977" max="977" width="59.5703125" style="6" customWidth="1"/>
    <col min="978" max="978" width="9.140625" style="6" customWidth="1"/>
    <col min="979" max="980" width="3.85546875" style="6" customWidth="1"/>
    <col min="981" max="981" width="10.5703125" style="6" customWidth="1"/>
    <col min="982" max="982" width="3.85546875" style="6" customWidth="1"/>
    <col min="983" max="985" width="14.42578125" style="6" customWidth="1"/>
    <col min="986" max="986" width="4.140625" style="6" customWidth="1"/>
    <col min="987" max="987" width="15" style="6" customWidth="1"/>
    <col min="988" max="989" width="9.140625" style="6" customWidth="1"/>
    <col min="990" max="990" width="11.5703125" style="6" customWidth="1"/>
    <col min="991" max="991" width="18.140625" style="6" customWidth="1"/>
    <col min="992" max="992" width="13.140625" style="6" customWidth="1"/>
    <col min="993" max="993" width="12.28515625" style="6" customWidth="1"/>
    <col min="994" max="1231" width="9.140625" style="6"/>
    <col min="1232" max="1232" width="1.42578125" style="6" customWidth="1"/>
    <col min="1233" max="1233" width="59.5703125" style="6" customWidth="1"/>
    <col min="1234" max="1234" width="9.140625" style="6" customWidth="1"/>
    <col min="1235" max="1236" width="3.85546875" style="6" customWidth="1"/>
    <col min="1237" max="1237" width="10.5703125" style="6" customWidth="1"/>
    <col min="1238" max="1238" width="3.85546875" style="6" customWidth="1"/>
    <col min="1239" max="1241" width="14.42578125" style="6" customWidth="1"/>
    <col min="1242" max="1242" width="4.140625" style="6" customWidth="1"/>
    <col min="1243" max="1243" width="15" style="6" customWidth="1"/>
    <col min="1244" max="1245" width="9.140625" style="6" customWidth="1"/>
    <col min="1246" max="1246" width="11.5703125" style="6" customWidth="1"/>
    <col min="1247" max="1247" width="18.140625" style="6" customWidth="1"/>
    <col min="1248" max="1248" width="13.140625" style="6" customWidth="1"/>
    <col min="1249" max="1249" width="12.28515625" style="6" customWidth="1"/>
    <col min="1250" max="1487" width="9.140625" style="6"/>
    <col min="1488" max="1488" width="1.42578125" style="6" customWidth="1"/>
    <col min="1489" max="1489" width="59.5703125" style="6" customWidth="1"/>
    <col min="1490" max="1490" width="9.140625" style="6" customWidth="1"/>
    <col min="1491" max="1492" width="3.85546875" style="6" customWidth="1"/>
    <col min="1493" max="1493" width="10.5703125" style="6" customWidth="1"/>
    <col min="1494" max="1494" width="3.85546875" style="6" customWidth="1"/>
    <col min="1495" max="1497" width="14.42578125" style="6" customWidth="1"/>
    <col min="1498" max="1498" width="4.140625" style="6" customWidth="1"/>
    <col min="1499" max="1499" width="15" style="6" customWidth="1"/>
    <col min="1500" max="1501" width="9.140625" style="6" customWidth="1"/>
    <col min="1502" max="1502" width="11.5703125" style="6" customWidth="1"/>
    <col min="1503" max="1503" width="18.140625" style="6" customWidth="1"/>
    <col min="1504" max="1504" width="13.140625" style="6" customWidth="1"/>
    <col min="1505" max="1505" width="12.28515625" style="6" customWidth="1"/>
    <col min="1506" max="1743" width="9.140625" style="6"/>
    <col min="1744" max="1744" width="1.42578125" style="6" customWidth="1"/>
    <col min="1745" max="1745" width="59.5703125" style="6" customWidth="1"/>
    <col min="1746" max="1746" width="9.140625" style="6" customWidth="1"/>
    <col min="1747" max="1748" width="3.85546875" style="6" customWidth="1"/>
    <col min="1749" max="1749" width="10.5703125" style="6" customWidth="1"/>
    <col min="1750" max="1750" width="3.85546875" style="6" customWidth="1"/>
    <col min="1751" max="1753" width="14.42578125" style="6" customWidth="1"/>
    <col min="1754" max="1754" width="4.140625" style="6" customWidth="1"/>
    <col min="1755" max="1755" width="15" style="6" customWidth="1"/>
    <col min="1756" max="1757" width="9.140625" style="6" customWidth="1"/>
    <col min="1758" max="1758" width="11.5703125" style="6" customWidth="1"/>
    <col min="1759" max="1759" width="18.140625" style="6" customWidth="1"/>
    <col min="1760" max="1760" width="13.140625" style="6" customWidth="1"/>
    <col min="1761" max="1761" width="12.28515625" style="6" customWidth="1"/>
    <col min="1762" max="1999" width="9.140625" style="6"/>
    <col min="2000" max="2000" width="1.42578125" style="6" customWidth="1"/>
    <col min="2001" max="2001" width="59.5703125" style="6" customWidth="1"/>
    <col min="2002" max="2002" width="9.140625" style="6" customWidth="1"/>
    <col min="2003" max="2004" width="3.85546875" style="6" customWidth="1"/>
    <col min="2005" max="2005" width="10.5703125" style="6" customWidth="1"/>
    <col min="2006" max="2006" width="3.85546875" style="6" customWidth="1"/>
    <col min="2007" max="2009" width="14.42578125" style="6" customWidth="1"/>
    <col min="2010" max="2010" width="4.140625" style="6" customWidth="1"/>
    <col min="2011" max="2011" width="15" style="6" customWidth="1"/>
    <col min="2012" max="2013" width="9.140625" style="6" customWidth="1"/>
    <col min="2014" max="2014" width="11.5703125" style="6" customWidth="1"/>
    <col min="2015" max="2015" width="18.140625" style="6" customWidth="1"/>
    <col min="2016" max="2016" width="13.140625" style="6" customWidth="1"/>
    <col min="2017" max="2017" width="12.28515625" style="6" customWidth="1"/>
    <col min="2018" max="2255" width="9.140625" style="6"/>
    <col min="2256" max="2256" width="1.42578125" style="6" customWidth="1"/>
    <col min="2257" max="2257" width="59.5703125" style="6" customWidth="1"/>
    <col min="2258" max="2258" width="9.140625" style="6" customWidth="1"/>
    <col min="2259" max="2260" width="3.85546875" style="6" customWidth="1"/>
    <col min="2261" max="2261" width="10.5703125" style="6" customWidth="1"/>
    <col min="2262" max="2262" width="3.85546875" style="6" customWidth="1"/>
    <col min="2263" max="2265" width="14.42578125" style="6" customWidth="1"/>
    <col min="2266" max="2266" width="4.140625" style="6" customWidth="1"/>
    <col min="2267" max="2267" width="15" style="6" customWidth="1"/>
    <col min="2268" max="2269" width="9.140625" style="6" customWidth="1"/>
    <col min="2270" max="2270" width="11.5703125" style="6" customWidth="1"/>
    <col min="2271" max="2271" width="18.140625" style="6" customWidth="1"/>
    <col min="2272" max="2272" width="13.140625" style="6" customWidth="1"/>
    <col min="2273" max="2273" width="12.28515625" style="6" customWidth="1"/>
    <col min="2274" max="2511" width="9.140625" style="6"/>
    <col min="2512" max="2512" width="1.42578125" style="6" customWidth="1"/>
    <col min="2513" max="2513" width="59.5703125" style="6" customWidth="1"/>
    <col min="2514" max="2514" width="9.140625" style="6" customWidth="1"/>
    <col min="2515" max="2516" width="3.85546875" style="6" customWidth="1"/>
    <col min="2517" max="2517" width="10.5703125" style="6" customWidth="1"/>
    <col min="2518" max="2518" width="3.85546875" style="6" customWidth="1"/>
    <col min="2519" max="2521" width="14.42578125" style="6" customWidth="1"/>
    <col min="2522" max="2522" width="4.140625" style="6" customWidth="1"/>
    <col min="2523" max="2523" width="15" style="6" customWidth="1"/>
    <col min="2524" max="2525" width="9.140625" style="6" customWidth="1"/>
    <col min="2526" max="2526" width="11.5703125" style="6" customWidth="1"/>
    <col min="2527" max="2527" width="18.140625" style="6" customWidth="1"/>
    <col min="2528" max="2528" width="13.140625" style="6" customWidth="1"/>
    <col min="2529" max="2529" width="12.28515625" style="6" customWidth="1"/>
    <col min="2530" max="2767" width="9.140625" style="6"/>
    <col min="2768" max="2768" width="1.42578125" style="6" customWidth="1"/>
    <col min="2769" max="2769" width="59.5703125" style="6" customWidth="1"/>
    <col min="2770" max="2770" width="9.140625" style="6" customWidth="1"/>
    <col min="2771" max="2772" width="3.85546875" style="6" customWidth="1"/>
    <col min="2773" max="2773" width="10.5703125" style="6" customWidth="1"/>
    <col min="2774" max="2774" width="3.85546875" style="6" customWidth="1"/>
    <col min="2775" max="2777" width="14.42578125" style="6" customWidth="1"/>
    <col min="2778" max="2778" width="4.140625" style="6" customWidth="1"/>
    <col min="2779" max="2779" width="15" style="6" customWidth="1"/>
    <col min="2780" max="2781" width="9.140625" style="6" customWidth="1"/>
    <col min="2782" max="2782" width="11.5703125" style="6" customWidth="1"/>
    <col min="2783" max="2783" width="18.140625" style="6" customWidth="1"/>
    <col min="2784" max="2784" width="13.140625" style="6" customWidth="1"/>
    <col min="2785" max="2785" width="12.28515625" style="6" customWidth="1"/>
    <col min="2786" max="3023" width="9.140625" style="6"/>
    <col min="3024" max="3024" width="1.42578125" style="6" customWidth="1"/>
    <col min="3025" max="3025" width="59.5703125" style="6" customWidth="1"/>
    <col min="3026" max="3026" width="9.140625" style="6" customWidth="1"/>
    <col min="3027" max="3028" width="3.85546875" style="6" customWidth="1"/>
    <col min="3029" max="3029" width="10.5703125" style="6" customWidth="1"/>
    <col min="3030" max="3030" width="3.85546875" style="6" customWidth="1"/>
    <col min="3031" max="3033" width="14.42578125" style="6" customWidth="1"/>
    <col min="3034" max="3034" width="4.140625" style="6" customWidth="1"/>
    <col min="3035" max="3035" width="15" style="6" customWidth="1"/>
    <col min="3036" max="3037" width="9.140625" style="6" customWidth="1"/>
    <col min="3038" max="3038" width="11.5703125" style="6" customWidth="1"/>
    <col min="3039" max="3039" width="18.140625" style="6" customWidth="1"/>
    <col min="3040" max="3040" width="13.140625" style="6" customWidth="1"/>
    <col min="3041" max="3041" width="12.28515625" style="6" customWidth="1"/>
    <col min="3042" max="3279" width="9.140625" style="6"/>
    <col min="3280" max="3280" width="1.42578125" style="6" customWidth="1"/>
    <col min="3281" max="3281" width="59.5703125" style="6" customWidth="1"/>
    <col min="3282" max="3282" width="9.140625" style="6" customWidth="1"/>
    <col min="3283" max="3284" width="3.85546875" style="6" customWidth="1"/>
    <col min="3285" max="3285" width="10.5703125" style="6" customWidth="1"/>
    <col min="3286" max="3286" width="3.85546875" style="6" customWidth="1"/>
    <col min="3287" max="3289" width="14.42578125" style="6" customWidth="1"/>
    <col min="3290" max="3290" width="4.140625" style="6" customWidth="1"/>
    <col min="3291" max="3291" width="15" style="6" customWidth="1"/>
    <col min="3292" max="3293" width="9.140625" style="6" customWidth="1"/>
    <col min="3294" max="3294" width="11.5703125" style="6" customWidth="1"/>
    <col min="3295" max="3295" width="18.140625" style="6" customWidth="1"/>
    <col min="3296" max="3296" width="13.140625" style="6" customWidth="1"/>
    <col min="3297" max="3297" width="12.28515625" style="6" customWidth="1"/>
    <col min="3298" max="3535" width="9.140625" style="6"/>
    <col min="3536" max="3536" width="1.42578125" style="6" customWidth="1"/>
    <col min="3537" max="3537" width="59.5703125" style="6" customWidth="1"/>
    <col min="3538" max="3538" width="9.140625" style="6" customWidth="1"/>
    <col min="3539" max="3540" width="3.85546875" style="6" customWidth="1"/>
    <col min="3541" max="3541" width="10.5703125" style="6" customWidth="1"/>
    <col min="3542" max="3542" width="3.85546875" style="6" customWidth="1"/>
    <col min="3543" max="3545" width="14.42578125" style="6" customWidth="1"/>
    <col min="3546" max="3546" width="4.140625" style="6" customWidth="1"/>
    <col min="3547" max="3547" width="15" style="6" customWidth="1"/>
    <col min="3548" max="3549" width="9.140625" style="6" customWidth="1"/>
    <col min="3550" max="3550" width="11.5703125" style="6" customWidth="1"/>
    <col min="3551" max="3551" width="18.140625" style="6" customWidth="1"/>
    <col min="3552" max="3552" width="13.140625" style="6" customWidth="1"/>
    <col min="3553" max="3553" width="12.28515625" style="6" customWidth="1"/>
    <col min="3554" max="3791" width="9.140625" style="6"/>
    <col min="3792" max="3792" width="1.42578125" style="6" customWidth="1"/>
    <col min="3793" max="3793" width="59.5703125" style="6" customWidth="1"/>
    <col min="3794" max="3794" width="9.140625" style="6" customWidth="1"/>
    <col min="3795" max="3796" width="3.85546875" style="6" customWidth="1"/>
    <col min="3797" max="3797" width="10.5703125" style="6" customWidth="1"/>
    <col min="3798" max="3798" width="3.85546875" style="6" customWidth="1"/>
    <col min="3799" max="3801" width="14.42578125" style="6" customWidth="1"/>
    <col min="3802" max="3802" width="4.140625" style="6" customWidth="1"/>
    <col min="3803" max="3803" width="15" style="6" customWidth="1"/>
    <col min="3804" max="3805" width="9.140625" style="6" customWidth="1"/>
    <col min="3806" max="3806" width="11.5703125" style="6" customWidth="1"/>
    <col min="3807" max="3807" width="18.140625" style="6" customWidth="1"/>
    <col min="3808" max="3808" width="13.140625" style="6" customWidth="1"/>
    <col min="3809" max="3809" width="12.28515625" style="6" customWidth="1"/>
    <col min="3810" max="4047" width="9.140625" style="6"/>
    <col min="4048" max="4048" width="1.42578125" style="6" customWidth="1"/>
    <col min="4049" max="4049" width="59.5703125" style="6" customWidth="1"/>
    <col min="4050" max="4050" width="9.140625" style="6" customWidth="1"/>
    <col min="4051" max="4052" width="3.85546875" style="6" customWidth="1"/>
    <col min="4053" max="4053" width="10.5703125" style="6" customWidth="1"/>
    <col min="4054" max="4054" width="3.85546875" style="6" customWidth="1"/>
    <col min="4055" max="4057" width="14.42578125" style="6" customWidth="1"/>
    <col min="4058" max="4058" width="4.140625" style="6" customWidth="1"/>
    <col min="4059" max="4059" width="15" style="6" customWidth="1"/>
    <col min="4060" max="4061" width="9.140625" style="6" customWidth="1"/>
    <col min="4062" max="4062" width="11.5703125" style="6" customWidth="1"/>
    <col min="4063" max="4063" width="18.140625" style="6" customWidth="1"/>
    <col min="4064" max="4064" width="13.140625" style="6" customWidth="1"/>
    <col min="4065" max="4065" width="12.28515625" style="6" customWidth="1"/>
    <col min="4066" max="4303" width="9.140625" style="6"/>
    <col min="4304" max="4304" width="1.42578125" style="6" customWidth="1"/>
    <col min="4305" max="4305" width="59.5703125" style="6" customWidth="1"/>
    <col min="4306" max="4306" width="9.140625" style="6" customWidth="1"/>
    <col min="4307" max="4308" width="3.85546875" style="6" customWidth="1"/>
    <col min="4309" max="4309" width="10.5703125" style="6" customWidth="1"/>
    <col min="4310" max="4310" width="3.85546875" style="6" customWidth="1"/>
    <col min="4311" max="4313" width="14.42578125" style="6" customWidth="1"/>
    <col min="4314" max="4314" width="4.140625" style="6" customWidth="1"/>
    <col min="4315" max="4315" width="15" style="6" customWidth="1"/>
    <col min="4316" max="4317" width="9.140625" style="6" customWidth="1"/>
    <col min="4318" max="4318" width="11.5703125" style="6" customWidth="1"/>
    <col min="4319" max="4319" width="18.140625" style="6" customWidth="1"/>
    <col min="4320" max="4320" width="13.140625" style="6" customWidth="1"/>
    <col min="4321" max="4321" width="12.28515625" style="6" customWidth="1"/>
    <col min="4322" max="4559" width="9.140625" style="6"/>
    <col min="4560" max="4560" width="1.42578125" style="6" customWidth="1"/>
    <col min="4561" max="4561" width="59.5703125" style="6" customWidth="1"/>
    <col min="4562" max="4562" width="9.140625" style="6" customWidth="1"/>
    <col min="4563" max="4564" width="3.85546875" style="6" customWidth="1"/>
    <col min="4565" max="4565" width="10.5703125" style="6" customWidth="1"/>
    <col min="4566" max="4566" width="3.85546875" style="6" customWidth="1"/>
    <col min="4567" max="4569" width="14.42578125" style="6" customWidth="1"/>
    <col min="4570" max="4570" width="4.140625" style="6" customWidth="1"/>
    <col min="4571" max="4571" width="15" style="6" customWidth="1"/>
    <col min="4572" max="4573" width="9.140625" style="6" customWidth="1"/>
    <col min="4574" max="4574" width="11.5703125" style="6" customWidth="1"/>
    <col min="4575" max="4575" width="18.140625" style="6" customWidth="1"/>
    <col min="4576" max="4576" width="13.140625" style="6" customWidth="1"/>
    <col min="4577" max="4577" width="12.28515625" style="6" customWidth="1"/>
    <col min="4578" max="4815" width="9.140625" style="6"/>
    <col min="4816" max="4816" width="1.42578125" style="6" customWidth="1"/>
    <col min="4817" max="4817" width="59.5703125" style="6" customWidth="1"/>
    <col min="4818" max="4818" width="9.140625" style="6" customWidth="1"/>
    <col min="4819" max="4820" width="3.85546875" style="6" customWidth="1"/>
    <col min="4821" max="4821" width="10.5703125" style="6" customWidth="1"/>
    <col min="4822" max="4822" width="3.85546875" style="6" customWidth="1"/>
    <col min="4823" max="4825" width="14.42578125" style="6" customWidth="1"/>
    <col min="4826" max="4826" width="4.140625" style="6" customWidth="1"/>
    <col min="4827" max="4827" width="15" style="6" customWidth="1"/>
    <col min="4828" max="4829" width="9.140625" style="6" customWidth="1"/>
    <col min="4830" max="4830" width="11.5703125" style="6" customWidth="1"/>
    <col min="4831" max="4831" width="18.140625" style="6" customWidth="1"/>
    <col min="4832" max="4832" width="13.140625" style="6" customWidth="1"/>
    <col min="4833" max="4833" width="12.28515625" style="6" customWidth="1"/>
    <col min="4834" max="5071" width="9.140625" style="6"/>
    <col min="5072" max="5072" width="1.42578125" style="6" customWidth="1"/>
    <col min="5073" max="5073" width="59.5703125" style="6" customWidth="1"/>
    <col min="5074" max="5074" width="9.140625" style="6" customWidth="1"/>
    <col min="5075" max="5076" width="3.85546875" style="6" customWidth="1"/>
    <col min="5077" max="5077" width="10.5703125" style="6" customWidth="1"/>
    <col min="5078" max="5078" width="3.85546875" style="6" customWidth="1"/>
    <col min="5079" max="5081" width="14.42578125" style="6" customWidth="1"/>
    <col min="5082" max="5082" width="4.140625" style="6" customWidth="1"/>
    <col min="5083" max="5083" width="15" style="6" customWidth="1"/>
    <col min="5084" max="5085" width="9.140625" style="6" customWidth="1"/>
    <col min="5086" max="5086" width="11.5703125" style="6" customWidth="1"/>
    <col min="5087" max="5087" width="18.140625" style="6" customWidth="1"/>
    <col min="5088" max="5088" width="13.140625" style="6" customWidth="1"/>
    <col min="5089" max="5089" width="12.28515625" style="6" customWidth="1"/>
    <col min="5090" max="5327" width="9.140625" style="6"/>
    <col min="5328" max="5328" width="1.42578125" style="6" customWidth="1"/>
    <col min="5329" max="5329" width="59.5703125" style="6" customWidth="1"/>
    <col min="5330" max="5330" width="9.140625" style="6" customWidth="1"/>
    <col min="5331" max="5332" width="3.85546875" style="6" customWidth="1"/>
    <col min="5333" max="5333" width="10.5703125" style="6" customWidth="1"/>
    <col min="5334" max="5334" width="3.85546875" style="6" customWidth="1"/>
    <col min="5335" max="5337" width="14.42578125" style="6" customWidth="1"/>
    <col min="5338" max="5338" width="4.140625" style="6" customWidth="1"/>
    <col min="5339" max="5339" width="15" style="6" customWidth="1"/>
    <col min="5340" max="5341" width="9.140625" style="6" customWidth="1"/>
    <col min="5342" max="5342" width="11.5703125" style="6" customWidth="1"/>
    <col min="5343" max="5343" width="18.140625" style="6" customWidth="1"/>
    <col min="5344" max="5344" width="13.140625" style="6" customWidth="1"/>
    <col min="5345" max="5345" width="12.28515625" style="6" customWidth="1"/>
    <col min="5346" max="5583" width="9.140625" style="6"/>
    <col min="5584" max="5584" width="1.42578125" style="6" customWidth="1"/>
    <col min="5585" max="5585" width="59.5703125" style="6" customWidth="1"/>
    <col min="5586" max="5586" width="9.140625" style="6" customWidth="1"/>
    <col min="5587" max="5588" width="3.85546875" style="6" customWidth="1"/>
    <col min="5589" max="5589" width="10.5703125" style="6" customWidth="1"/>
    <col min="5590" max="5590" width="3.85546875" style="6" customWidth="1"/>
    <col min="5591" max="5593" width="14.42578125" style="6" customWidth="1"/>
    <col min="5594" max="5594" width="4.140625" style="6" customWidth="1"/>
    <col min="5595" max="5595" width="15" style="6" customWidth="1"/>
    <col min="5596" max="5597" width="9.140625" style="6" customWidth="1"/>
    <col min="5598" max="5598" width="11.5703125" style="6" customWidth="1"/>
    <col min="5599" max="5599" width="18.140625" style="6" customWidth="1"/>
    <col min="5600" max="5600" width="13.140625" style="6" customWidth="1"/>
    <col min="5601" max="5601" width="12.28515625" style="6" customWidth="1"/>
    <col min="5602" max="5839" width="9.140625" style="6"/>
    <col min="5840" max="5840" width="1.42578125" style="6" customWidth="1"/>
    <col min="5841" max="5841" width="59.5703125" style="6" customWidth="1"/>
    <col min="5842" max="5842" width="9.140625" style="6" customWidth="1"/>
    <col min="5843" max="5844" width="3.85546875" style="6" customWidth="1"/>
    <col min="5845" max="5845" width="10.5703125" style="6" customWidth="1"/>
    <col min="5846" max="5846" width="3.85546875" style="6" customWidth="1"/>
    <col min="5847" max="5849" width="14.42578125" style="6" customWidth="1"/>
    <col min="5850" max="5850" width="4.140625" style="6" customWidth="1"/>
    <col min="5851" max="5851" width="15" style="6" customWidth="1"/>
    <col min="5852" max="5853" width="9.140625" style="6" customWidth="1"/>
    <col min="5854" max="5854" width="11.5703125" style="6" customWidth="1"/>
    <col min="5855" max="5855" width="18.140625" style="6" customWidth="1"/>
    <col min="5856" max="5856" width="13.140625" style="6" customWidth="1"/>
    <col min="5857" max="5857" width="12.28515625" style="6" customWidth="1"/>
    <col min="5858" max="6095" width="9.140625" style="6"/>
    <col min="6096" max="6096" width="1.42578125" style="6" customWidth="1"/>
    <col min="6097" max="6097" width="59.5703125" style="6" customWidth="1"/>
    <col min="6098" max="6098" width="9.140625" style="6" customWidth="1"/>
    <col min="6099" max="6100" width="3.85546875" style="6" customWidth="1"/>
    <col min="6101" max="6101" width="10.5703125" style="6" customWidth="1"/>
    <col min="6102" max="6102" width="3.85546875" style="6" customWidth="1"/>
    <col min="6103" max="6105" width="14.42578125" style="6" customWidth="1"/>
    <col min="6106" max="6106" width="4.140625" style="6" customWidth="1"/>
    <col min="6107" max="6107" width="15" style="6" customWidth="1"/>
    <col min="6108" max="6109" width="9.140625" style="6" customWidth="1"/>
    <col min="6110" max="6110" width="11.5703125" style="6" customWidth="1"/>
    <col min="6111" max="6111" width="18.140625" style="6" customWidth="1"/>
    <col min="6112" max="6112" width="13.140625" style="6" customWidth="1"/>
    <col min="6113" max="6113" width="12.28515625" style="6" customWidth="1"/>
    <col min="6114" max="6351" width="9.140625" style="6"/>
    <col min="6352" max="6352" width="1.42578125" style="6" customWidth="1"/>
    <col min="6353" max="6353" width="59.5703125" style="6" customWidth="1"/>
    <col min="6354" max="6354" width="9.140625" style="6" customWidth="1"/>
    <col min="6355" max="6356" width="3.85546875" style="6" customWidth="1"/>
    <col min="6357" max="6357" width="10.5703125" style="6" customWidth="1"/>
    <col min="6358" max="6358" width="3.85546875" style="6" customWidth="1"/>
    <col min="6359" max="6361" width="14.42578125" style="6" customWidth="1"/>
    <col min="6362" max="6362" width="4.140625" style="6" customWidth="1"/>
    <col min="6363" max="6363" width="15" style="6" customWidth="1"/>
    <col min="6364" max="6365" width="9.140625" style="6" customWidth="1"/>
    <col min="6366" max="6366" width="11.5703125" style="6" customWidth="1"/>
    <col min="6367" max="6367" width="18.140625" style="6" customWidth="1"/>
    <col min="6368" max="6368" width="13.140625" style="6" customWidth="1"/>
    <col min="6369" max="6369" width="12.28515625" style="6" customWidth="1"/>
    <col min="6370" max="6607" width="9.140625" style="6"/>
    <col min="6608" max="6608" width="1.42578125" style="6" customWidth="1"/>
    <col min="6609" max="6609" width="59.5703125" style="6" customWidth="1"/>
    <col min="6610" max="6610" width="9.140625" style="6" customWidth="1"/>
    <col min="6611" max="6612" width="3.85546875" style="6" customWidth="1"/>
    <col min="6613" max="6613" width="10.5703125" style="6" customWidth="1"/>
    <col min="6614" max="6614" width="3.85546875" style="6" customWidth="1"/>
    <col min="6615" max="6617" width="14.42578125" style="6" customWidth="1"/>
    <col min="6618" max="6618" width="4.140625" style="6" customWidth="1"/>
    <col min="6619" max="6619" width="15" style="6" customWidth="1"/>
    <col min="6620" max="6621" width="9.140625" style="6" customWidth="1"/>
    <col min="6622" max="6622" width="11.5703125" style="6" customWidth="1"/>
    <col min="6623" max="6623" width="18.140625" style="6" customWidth="1"/>
    <col min="6624" max="6624" width="13.140625" style="6" customWidth="1"/>
    <col min="6625" max="6625" width="12.28515625" style="6" customWidth="1"/>
    <col min="6626" max="6863" width="9.140625" style="6"/>
    <col min="6864" max="6864" width="1.42578125" style="6" customWidth="1"/>
    <col min="6865" max="6865" width="59.5703125" style="6" customWidth="1"/>
    <col min="6866" max="6866" width="9.140625" style="6" customWidth="1"/>
    <col min="6867" max="6868" width="3.85546875" style="6" customWidth="1"/>
    <col min="6869" max="6869" width="10.5703125" style="6" customWidth="1"/>
    <col min="6870" max="6870" width="3.85546875" style="6" customWidth="1"/>
    <col min="6871" max="6873" width="14.42578125" style="6" customWidth="1"/>
    <col min="6874" max="6874" width="4.140625" style="6" customWidth="1"/>
    <col min="6875" max="6875" width="15" style="6" customWidth="1"/>
    <col min="6876" max="6877" width="9.140625" style="6" customWidth="1"/>
    <col min="6878" max="6878" width="11.5703125" style="6" customWidth="1"/>
    <col min="6879" max="6879" width="18.140625" style="6" customWidth="1"/>
    <col min="6880" max="6880" width="13.140625" style="6" customWidth="1"/>
    <col min="6881" max="6881" width="12.28515625" style="6" customWidth="1"/>
    <col min="6882" max="7119" width="9.140625" style="6"/>
    <col min="7120" max="7120" width="1.42578125" style="6" customWidth="1"/>
    <col min="7121" max="7121" width="59.5703125" style="6" customWidth="1"/>
    <col min="7122" max="7122" width="9.140625" style="6" customWidth="1"/>
    <col min="7123" max="7124" width="3.85546875" style="6" customWidth="1"/>
    <col min="7125" max="7125" width="10.5703125" style="6" customWidth="1"/>
    <col min="7126" max="7126" width="3.85546875" style="6" customWidth="1"/>
    <col min="7127" max="7129" width="14.42578125" style="6" customWidth="1"/>
    <col min="7130" max="7130" width="4.140625" style="6" customWidth="1"/>
    <col min="7131" max="7131" width="15" style="6" customWidth="1"/>
    <col min="7132" max="7133" width="9.140625" style="6" customWidth="1"/>
    <col min="7134" max="7134" width="11.5703125" style="6" customWidth="1"/>
    <col min="7135" max="7135" width="18.140625" style="6" customWidth="1"/>
    <col min="7136" max="7136" width="13.140625" style="6" customWidth="1"/>
    <col min="7137" max="7137" width="12.28515625" style="6" customWidth="1"/>
    <col min="7138" max="7375" width="9.140625" style="6"/>
    <col min="7376" max="7376" width="1.42578125" style="6" customWidth="1"/>
    <col min="7377" max="7377" width="59.5703125" style="6" customWidth="1"/>
    <col min="7378" max="7378" width="9.140625" style="6" customWidth="1"/>
    <col min="7379" max="7380" width="3.85546875" style="6" customWidth="1"/>
    <col min="7381" max="7381" width="10.5703125" style="6" customWidth="1"/>
    <col min="7382" max="7382" width="3.85546875" style="6" customWidth="1"/>
    <col min="7383" max="7385" width="14.42578125" style="6" customWidth="1"/>
    <col min="7386" max="7386" width="4.140625" style="6" customWidth="1"/>
    <col min="7387" max="7387" width="15" style="6" customWidth="1"/>
    <col min="7388" max="7389" width="9.140625" style="6" customWidth="1"/>
    <col min="7390" max="7390" width="11.5703125" style="6" customWidth="1"/>
    <col min="7391" max="7391" width="18.140625" style="6" customWidth="1"/>
    <col min="7392" max="7392" width="13.140625" style="6" customWidth="1"/>
    <col min="7393" max="7393" width="12.28515625" style="6" customWidth="1"/>
    <col min="7394" max="7631" width="9.140625" style="6"/>
    <col min="7632" max="7632" width="1.42578125" style="6" customWidth="1"/>
    <col min="7633" max="7633" width="59.5703125" style="6" customWidth="1"/>
    <col min="7634" max="7634" width="9.140625" style="6" customWidth="1"/>
    <col min="7635" max="7636" width="3.85546875" style="6" customWidth="1"/>
    <col min="7637" max="7637" width="10.5703125" style="6" customWidth="1"/>
    <col min="7638" max="7638" width="3.85546875" style="6" customWidth="1"/>
    <col min="7639" max="7641" width="14.42578125" style="6" customWidth="1"/>
    <col min="7642" max="7642" width="4.140625" style="6" customWidth="1"/>
    <col min="7643" max="7643" width="15" style="6" customWidth="1"/>
    <col min="7644" max="7645" width="9.140625" style="6" customWidth="1"/>
    <col min="7646" max="7646" width="11.5703125" style="6" customWidth="1"/>
    <col min="7647" max="7647" width="18.140625" style="6" customWidth="1"/>
    <col min="7648" max="7648" width="13.140625" style="6" customWidth="1"/>
    <col min="7649" max="7649" width="12.28515625" style="6" customWidth="1"/>
    <col min="7650" max="7887" width="9.140625" style="6"/>
    <col min="7888" max="7888" width="1.42578125" style="6" customWidth="1"/>
    <col min="7889" max="7889" width="59.5703125" style="6" customWidth="1"/>
    <col min="7890" max="7890" width="9.140625" style="6" customWidth="1"/>
    <col min="7891" max="7892" width="3.85546875" style="6" customWidth="1"/>
    <col min="7893" max="7893" width="10.5703125" style="6" customWidth="1"/>
    <col min="7894" max="7894" width="3.85546875" style="6" customWidth="1"/>
    <col min="7895" max="7897" width="14.42578125" style="6" customWidth="1"/>
    <col min="7898" max="7898" width="4.140625" style="6" customWidth="1"/>
    <col min="7899" max="7899" width="15" style="6" customWidth="1"/>
    <col min="7900" max="7901" width="9.140625" style="6" customWidth="1"/>
    <col min="7902" max="7902" width="11.5703125" style="6" customWidth="1"/>
    <col min="7903" max="7903" width="18.140625" style="6" customWidth="1"/>
    <col min="7904" max="7904" width="13.140625" style="6" customWidth="1"/>
    <col min="7905" max="7905" width="12.28515625" style="6" customWidth="1"/>
    <col min="7906" max="8143" width="9.140625" style="6"/>
    <col min="8144" max="8144" width="1.42578125" style="6" customWidth="1"/>
    <col min="8145" max="8145" width="59.5703125" style="6" customWidth="1"/>
    <col min="8146" max="8146" width="9.140625" style="6" customWidth="1"/>
    <col min="8147" max="8148" width="3.85546875" style="6" customWidth="1"/>
    <col min="8149" max="8149" width="10.5703125" style="6" customWidth="1"/>
    <col min="8150" max="8150" width="3.85546875" style="6" customWidth="1"/>
    <col min="8151" max="8153" width="14.42578125" style="6" customWidth="1"/>
    <col min="8154" max="8154" width="4.140625" style="6" customWidth="1"/>
    <col min="8155" max="8155" width="15" style="6" customWidth="1"/>
    <col min="8156" max="8157" width="9.140625" style="6" customWidth="1"/>
    <col min="8158" max="8158" width="11.5703125" style="6" customWidth="1"/>
    <col min="8159" max="8159" width="18.140625" style="6" customWidth="1"/>
    <col min="8160" max="8160" width="13.140625" style="6" customWidth="1"/>
    <col min="8161" max="8161" width="12.28515625" style="6" customWidth="1"/>
    <col min="8162" max="8399" width="9.140625" style="6"/>
    <col min="8400" max="8400" width="1.42578125" style="6" customWidth="1"/>
    <col min="8401" max="8401" width="59.5703125" style="6" customWidth="1"/>
    <col min="8402" max="8402" width="9.140625" style="6" customWidth="1"/>
    <col min="8403" max="8404" width="3.85546875" style="6" customWidth="1"/>
    <col min="8405" max="8405" width="10.5703125" style="6" customWidth="1"/>
    <col min="8406" max="8406" width="3.85546875" style="6" customWidth="1"/>
    <col min="8407" max="8409" width="14.42578125" style="6" customWidth="1"/>
    <col min="8410" max="8410" width="4.140625" style="6" customWidth="1"/>
    <col min="8411" max="8411" width="15" style="6" customWidth="1"/>
    <col min="8412" max="8413" width="9.140625" style="6" customWidth="1"/>
    <col min="8414" max="8414" width="11.5703125" style="6" customWidth="1"/>
    <col min="8415" max="8415" width="18.140625" style="6" customWidth="1"/>
    <col min="8416" max="8416" width="13.140625" style="6" customWidth="1"/>
    <col min="8417" max="8417" width="12.28515625" style="6" customWidth="1"/>
    <col min="8418" max="8655" width="9.140625" style="6"/>
    <col min="8656" max="8656" width="1.42578125" style="6" customWidth="1"/>
    <col min="8657" max="8657" width="59.5703125" style="6" customWidth="1"/>
    <col min="8658" max="8658" width="9.140625" style="6" customWidth="1"/>
    <col min="8659" max="8660" width="3.85546875" style="6" customWidth="1"/>
    <col min="8661" max="8661" width="10.5703125" style="6" customWidth="1"/>
    <col min="8662" max="8662" width="3.85546875" style="6" customWidth="1"/>
    <col min="8663" max="8665" width="14.42578125" style="6" customWidth="1"/>
    <col min="8666" max="8666" width="4.140625" style="6" customWidth="1"/>
    <col min="8667" max="8667" width="15" style="6" customWidth="1"/>
    <col min="8668" max="8669" width="9.140625" style="6" customWidth="1"/>
    <col min="8670" max="8670" width="11.5703125" style="6" customWidth="1"/>
    <col min="8671" max="8671" width="18.140625" style="6" customWidth="1"/>
    <col min="8672" max="8672" width="13.140625" style="6" customWidth="1"/>
    <col min="8673" max="8673" width="12.28515625" style="6" customWidth="1"/>
    <col min="8674" max="8911" width="9.140625" style="6"/>
    <col min="8912" max="8912" width="1.42578125" style="6" customWidth="1"/>
    <col min="8913" max="8913" width="59.5703125" style="6" customWidth="1"/>
    <col min="8914" max="8914" width="9.140625" style="6" customWidth="1"/>
    <col min="8915" max="8916" width="3.85546875" style="6" customWidth="1"/>
    <col min="8917" max="8917" width="10.5703125" style="6" customWidth="1"/>
    <col min="8918" max="8918" width="3.85546875" style="6" customWidth="1"/>
    <col min="8919" max="8921" width="14.42578125" style="6" customWidth="1"/>
    <col min="8922" max="8922" width="4.140625" style="6" customWidth="1"/>
    <col min="8923" max="8923" width="15" style="6" customWidth="1"/>
    <col min="8924" max="8925" width="9.140625" style="6" customWidth="1"/>
    <col min="8926" max="8926" width="11.5703125" style="6" customWidth="1"/>
    <col min="8927" max="8927" width="18.140625" style="6" customWidth="1"/>
    <col min="8928" max="8928" width="13.140625" style="6" customWidth="1"/>
    <col min="8929" max="8929" width="12.28515625" style="6" customWidth="1"/>
    <col min="8930" max="9167" width="9.140625" style="6"/>
    <col min="9168" max="9168" width="1.42578125" style="6" customWidth="1"/>
    <col min="9169" max="9169" width="59.5703125" style="6" customWidth="1"/>
    <col min="9170" max="9170" width="9.140625" style="6" customWidth="1"/>
    <col min="9171" max="9172" width="3.85546875" style="6" customWidth="1"/>
    <col min="9173" max="9173" width="10.5703125" style="6" customWidth="1"/>
    <col min="9174" max="9174" width="3.85546875" style="6" customWidth="1"/>
    <col min="9175" max="9177" width="14.42578125" style="6" customWidth="1"/>
    <col min="9178" max="9178" width="4.140625" style="6" customWidth="1"/>
    <col min="9179" max="9179" width="15" style="6" customWidth="1"/>
    <col min="9180" max="9181" width="9.140625" style="6" customWidth="1"/>
    <col min="9182" max="9182" width="11.5703125" style="6" customWidth="1"/>
    <col min="9183" max="9183" width="18.140625" style="6" customWidth="1"/>
    <col min="9184" max="9184" width="13.140625" style="6" customWidth="1"/>
    <col min="9185" max="9185" width="12.28515625" style="6" customWidth="1"/>
    <col min="9186" max="9423" width="9.140625" style="6"/>
    <col min="9424" max="9424" width="1.42578125" style="6" customWidth="1"/>
    <col min="9425" max="9425" width="59.5703125" style="6" customWidth="1"/>
    <col min="9426" max="9426" width="9.140625" style="6" customWidth="1"/>
    <col min="9427" max="9428" width="3.85546875" style="6" customWidth="1"/>
    <col min="9429" max="9429" width="10.5703125" style="6" customWidth="1"/>
    <col min="9430" max="9430" width="3.85546875" style="6" customWidth="1"/>
    <col min="9431" max="9433" width="14.42578125" style="6" customWidth="1"/>
    <col min="9434" max="9434" width="4.140625" style="6" customWidth="1"/>
    <col min="9435" max="9435" width="15" style="6" customWidth="1"/>
    <col min="9436" max="9437" width="9.140625" style="6" customWidth="1"/>
    <col min="9438" max="9438" width="11.5703125" style="6" customWidth="1"/>
    <col min="9439" max="9439" width="18.140625" style="6" customWidth="1"/>
    <col min="9440" max="9440" width="13.140625" style="6" customWidth="1"/>
    <col min="9441" max="9441" width="12.28515625" style="6" customWidth="1"/>
    <col min="9442" max="9679" width="9.140625" style="6"/>
    <col min="9680" max="9680" width="1.42578125" style="6" customWidth="1"/>
    <col min="9681" max="9681" width="59.5703125" style="6" customWidth="1"/>
    <col min="9682" max="9682" width="9.140625" style="6" customWidth="1"/>
    <col min="9683" max="9684" width="3.85546875" style="6" customWidth="1"/>
    <col min="9685" max="9685" width="10.5703125" style="6" customWidth="1"/>
    <col min="9686" max="9686" width="3.85546875" style="6" customWidth="1"/>
    <col min="9687" max="9689" width="14.42578125" style="6" customWidth="1"/>
    <col min="9690" max="9690" width="4.140625" style="6" customWidth="1"/>
    <col min="9691" max="9691" width="15" style="6" customWidth="1"/>
    <col min="9692" max="9693" width="9.140625" style="6" customWidth="1"/>
    <col min="9694" max="9694" width="11.5703125" style="6" customWidth="1"/>
    <col min="9695" max="9695" width="18.140625" style="6" customWidth="1"/>
    <col min="9696" max="9696" width="13.140625" style="6" customWidth="1"/>
    <col min="9697" max="9697" width="12.28515625" style="6" customWidth="1"/>
    <col min="9698" max="9935" width="9.140625" style="6"/>
    <col min="9936" max="9936" width="1.42578125" style="6" customWidth="1"/>
    <col min="9937" max="9937" width="59.5703125" style="6" customWidth="1"/>
    <col min="9938" max="9938" width="9.140625" style="6" customWidth="1"/>
    <col min="9939" max="9940" width="3.85546875" style="6" customWidth="1"/>
    <col min="9941" max="9941" width="10.5703125" style="6" customWidth="1"/>
    <col min="9942" max="9942" width="3.85546875" style="6" customWidth="1"/>
    <col min="9943" max="9945" width="14.42578125" style="6" customWidth="1"/>
    <col min="9946" max="9946" width="4.140625" style="6" customWidth="1"/>
    <col min="9947" max="9947" width="15" style="6" customWidth="1"/>
    <col min="9948" max="9949" width="9.140625" style="6" customWidth="1"/>
    <col min="9950" max="9950" width="11.5703125" style="6" customWidth="1"/>
    <col min="9951" max="9951" width="18.140625" style="6" customWidth="1"/>
    <col min="9952" max="9952" width="13.140625" style="6" customWidth="1"/>
    <col min="9953" max="9953" width="12.28515625" style="6" customWidth="1"/>
    <col min="9954" max="10191" width="9.140625" style="6"/>
    <col min="10192" max="10192" width="1.42578125" style="6" customWidth="1"/>
    <col min="10193" max="10193" width="59.5703125" style="6" customWidth="1"/>
    <col min="10194" max="10194" width="9.140625" style="6" customWidth="1"/>
    <col min="10195" max="10196" width="3.85546875" style="6" customWidth="1"/>
    <col min="10197" max="10197" width="10.5703125" style="6" customWidth="1"/>
    <col min="10198" max="10198" width="3.85546875" style="6" customWidth="1"/>
    <col min="10199" max="10201" width="14.42578125" style="6" customWidth="1"/>
    <col min="10202" max="10202" width="4.140625" style="6" customWidth="1"/>
    <col min="10203" max="10203" width="15" style="6" customWidth="1"/>
    <col min="10204" max="10205" width="9.140625" style="6" customWidth="1"/>
    <col min="10206" max="10206" width="11.5703125" style="6" customWidth="1"/>
    <col min="10207" max="10207" width="18.140625" style="6" customWidth="1"/>
    <col min="10208" max="10208" width="13.140625" style="6" customWidth="1"/>
    <col min="10209" max="10209" width="12.28515625" style="6" customWidth="1"/>
    <col min="10210" max="10447" width="9.140625" style="6"/>
    <col min="10448" max="10448" width="1.42578125" style="6" customWidth="1"/>
    <col min="10449" max="10449" width="59.5703125" style="6" customWidth="1"/>
    <col min="10450" max="10450" width="9.140625" style="6" customWidth="1"/>
    <col min="10451" max="10452" width="3.85546875" style="6" customWidth="1"/>
    <col min="10453" max="10453" width="10.5703125" style="6" customWidth="1"/>
    <col min="10454" max="10454" width="3.85546875" style="6" customWidth="1"/>
    <col min="10455" max="10457" width="14.42578125" style="6" customWidth="1"/>
    <col min="10458" max="10458" width="4.140625" style="6" customWidth="1"/>
    <col min="10459" max="10459" width="15" style="6" customWidth="1"/>
    <col min="10460" max="10461" width="9.140625" style="6" customWidth="1"/>
    <col min="10462" max="10462" width="11.5703125" style="6" customWidth="1"/>
    <col min="10463" max="10463" width="18.140625" style="6" customWidth="1"/>
    <col min="10464" max="10464" width="13.140625" style="6" customWidth="1"/>
    <col min="10465" max="10465" width="12.28515625" style="6" customWidth="1"/>
    <col min="10466" max="10703" width="9.140625" style="6"/>
    <col min="10704" max="10704" width="1.42578125" style="6" customWidth="1"/>
    <col min="10705" max="10705" width="59.5703125" style="6" customWidth="1"/>
    <col min="10706" max="10706" width="9.140625" style="6" customWidth="1"/>
    <col min="10707" max="10708" width="3.85546875" style="6" customWidth="1"/>
    <col min="10709" max="10709" width="10.5703125" style="6" customWidth="1"/>
    <col min="10710" max="10710" width="3.85546875" style="6" customWidth="1"/>
    <col min="10711" max="10713" width="14.42578125" style="6" customWidth="1"/>
    <col min="10714" max="10714" width="4.140625" style="6" customWidth="1"/>
    <col min="10715" max="10715" width="15" style="6" customWidth="1"/>
    <col min="10716" max="10717" width="9.140625" style="6" customWidth="1"/>
    <col min="10718" max="10718" width="11.5703125" style="6" customWidth="1"/>
    <col min="10719" max="10719" width="18.140625" style="6" customWidth="1"/>
    <col min="10720" max="10720" width="13.140625" style="6" customWidth="1"/>
    <col min="10721" max="10721" width="12.28515625" style="6" customWidth="1"/>
    <col min="10722" max="10959" width="9.140625" style="6"/>
    <col min="10960" max="10960" width="1.42578125" style="6" customWidth="1"/>
    <col min="10961" max="10961" width="59.5703125" style="6" customWidth="1"/>
    <col min="10962" max="10962" width="9.140625" style="6" customWidth="1"/>
    <col min="10963" max="10964" width="3.85546875" style="6" customWidth="1"/>
    <col min="10965" max="10965" width="10.5703125" style="6" customWidth="1"/>
    <col min="10966" max="10966" width="3.85546875" style="6" customWidth="1"/>
    <col min="10967" max="10969" width="14.42578125" style="6" customWidth="1"/>
    <col min="10970" max="10970" width="4.140625" style="6" customWidth="1"/>
    <col min="10971" max="10971" width="15" style="6" customWidth="1"/>
    <col min="10972" max="10973" width="9.140625" style="6" customWidth="1"/>
    <col min="10974" max="10974" width="11.5703125" style="6" customWidth="1"/>
    <col min="10975" max="10975" width="18.140625" style="6" customWidth="1"/>
    <col min="10976" max="10976" width="13.140625" style="6" customWidth="1"/>
    <col min="10977" max="10977" width="12.28515625" style="6" customWidth="1"/>
    <col min="10978" max="11215" width="9.140625" style="6"/>
    <col min="11216" max="11216" width="1.42578125" style="6" customWidth="1"/>
    <col min="11217" max="11217" width="59.5703125" style="6" customWidth="1"/>
    <col min="11218" max="11218" width="9.140625" style="6" customWidth="1"/>
    <col min="11219" max="11220" width="3.85546875" style="6" customWidth="1"/>
    <col min="11221" max="11221" width="10.5703125" style="6" customWidth="1"/>
    <col min="11222" max="11222" width="3.85546875" style="6" customWidth="1"/>
    <col min="11223" max="11225" width="14.42578125" style="6" customWidth="1"/>
    <col min="11226" max="11226" width="4.140625" style="6" customWidth="1"/>
    <col min="11227" max="11227" width="15" style="6" customWidth="1"/>
    <col min="11228" max="11229" width="9.140625" style="6" customWidth="1"/>
    <col min="11230" max="11230" width="11.5703125" style="6" customWidth="1"/>
    <col min="11231" max="11231" width="18.140625" style="6" customWidth="1"/>
    <col min="11232" max="11232" width="13.140625" style="6" customWidth="1"/>
    <col min="11233" max="11233" width="12.28515625" style="6" customWidth="1"/>
    <col min="11234" max="11471" width="9.140625" style="6"/>
    <col min="11472" max="11472" width="1.42578125" style="6" customWidth="1"/>
    <col min="11473" max="11473" width="59.5703125" style="6" customWidth="1"/>
    <col min="11474" max="11474" width="9.140625" style="6" customWidth="1"/>
    <col min="11475" max="11476" width="3.85546875" style="6" customWidth="1"/>
    <col min="11477" max="11477" width="10.5703125" style="6" customWidth="1"/>
    <col min="11478" max="11478" width="3.85546875" style="6" customWidth="1"/>
    <col min="11479" max="11481" width="14.42578125" style="6" customWidth="1"/>
    <col min="11482" max="11482" width="4.140625" style="6" customWidth="1"/>
    <col min="11483" max="11483" width="15" style="6" customWidth="1"/>
    <col min="11484" max="11485" width="9.140625" style="6" customWidth="1"/>
    <col min="11486" max="11486" width="11.5703125" style="6" customWidth="1"/>
    <col min="11487" max="11487" width="18.140625" style="6" customWidth="1"/>
    <col min="11488" max="11488" width="13.140625" style="6" customWidth="1"/>
    <col min="11489" max="11489" width="12.28515625" style="6" customWidth="1"/>
    <col min="11490" max="11727" width="9.140625" style="6"/>
    <col min="11728" max="11728" width="1.42578125" style="6" customWidth="1"/>
    <col min="11729" max="11729" width="59.5703125" style="6" customWidth="1"/>
    <col min="11730" max="11730" width="9.140625" style="6" customWidth="1"/>
    <col min="11731" max="11732" width="3.85546875" style="6" customWidth="1"/>
    <col min="11733" max="11733" width="10.5703125" style="6" customWidth="1"/>
    <col min="11734" max="11734" width="3.85546875" style="6" customWidth="1"/>
    <col min="11735" max="11737" width="14.42578125" style="6" customWidth="1"/>
    <col min="11738" max="11738" width="4.140625" style="6" customWidth="1"/>
    <col min="11739" max="11739" width="15" style="6" customWidth="1"/>
    <col min="11740" max="11741" width="9.140625" style="6" customWidth="1"/>
    <col min="11742" max="11742" width="11.5703125" style="6" customWidth="1"/>
    <col min="11743" max="11743" width="18.140625" style="6" customWidth="1"/>
    <col min="11744" max="11744" width="13.140625" style="6" customWidth="1"/>
    <col min="11745" max="11745" width="12.28515625" style="6" customWidth="1"/>
    <col min="11746" max="11983" width="9.140625" style="6"/>
    <col min="11984" max="11984" width="1.42578125" style="6" customWidth="1"/>
    <col min="11985" max="11985" width="59.5703125" style="6" customWidth="1"/>
    <col min="11986" max="11986" width="9.140625" style="6" customWidth="1"/>
    <col min="11987" max="11988" width="3.85546875" style="6" customWidth="1"/>
    <col min="11989" max="11989" width="10.5703125" style="6" customWidth="1"/>
    <col min="11990" max="11990" width="3.85546875" style="6" customWidth="1"/>
    <col min="11991" max="11993" width="14.42578125" style="6" customWidth="1"/>
    <col min="11994" max="11994" width="4.140625" style="6" customWidth="1"/>
    <col min="11995" max="11995" width="15" style="6" customWidth="1"/>
    <col min="11996" max="11997" width="9.140625" style="6" customWidth="1"/>
    <col min="11998" max="11998" width="11.5703125" style="6" customWidth="1"/>
    <col min="11999" max="11999" width="18.140625" style="6" customWidth="1"/>
    <col min="12000" max="12000" width="13.140625" style="6" customWidth="1"/>
    <col min="12001" max="12001" width="12.28515625" style="6" customWidth="1"/>
    <col min="12002" max="12239" width="9.140625" style="6"/>
    <col min="12240" max="12240" width="1.42578125" style="6" customWidth="1"/>
    <col min="12241" max="12241" width="59.5703125" style="6" customWidth="1"/>
    <col min="12242" max="12242" width="9.140625" style="6" customWidth="1"/>
    <col min="12243" max="12244" width="3.85546875" style="6" customWidth="1"/>
    <col min="12245" max="12245" width="10.5703125" style="6" customWidth="1"/>
    <col min="12246" max="12246" width="3.85546875" style="6" customWidth="1"/>
    <col min="12247" max="12249" width="14.42578125" style="6" customWidth="1"/>
    <col min="12250" max="12250" width="4.140625" style="6" customWidth="1"/>
    <col min="12251" max="12251" width="15" style="6" customWidth="1"/>
    <col min="12252" max="12253" width="9.140625" style="6" customWidth="1"/>
    <col min="12254" max="12254" width="11.5703125" style="6" customWidth="1"/>
    <col min="12255" max="12255" width="18.140625" style="6" customWidth="1"/>
    <col min="12256" max="12256" width="13.140625" style="6" customWidth="1"/>
    <col min="12257" max="12257" width="12.28515625" style="6" customWidth="1"/>
    <col min="12258" max="12495" width="9.140625" style="6"/>
    <col min="12496" max="12496" width="1.42578125" style="6" customWidth="1"/>
    <col min="12497" max="12497" width="59.5703125" style="6" customWidth="1"/>
    <col min="12498" max="12498" width="9.140625" style="6" customWidth="1"/>
    <col min="12499" max="12500" width="3.85546875" style="6" customWidth="1"/>
    <col min="12501" max="12501" width="10.5703125" style="6" customWidth="1"/>
    <col min="12502" max="12502" width="3.85546875" style="6" customWidth="1"/>
    <col min="12503" max="12505" width="14.42578125" style="6" customWidth="1"/>
    <col min="12506" max="12506" width="4.140625" style="6" customWidth="1"/>
    <col min="12507" max="12507" width="15" style="6" customWidth="1"/>
    <col min="12508" max="12509" width="9.140625" style="6" customWidth="1"/>
    <col min="12510" max="12510" width="11.5703125" style="6" customWidth="1"/>
    <col min="12511" max="12511" width="18.140625" style="6" customWidth="1"/>
    <col min="12512" max="12512" width="13.140625" style="6" customWidth="1"/>
    <col min="12513" max="12513" width="12.28515625" style="6" customWidth="1"/>
    <col min="12514" max="12751" width="9.140625" style="6"/>
    <col min="12752" max="12752" width="1.42578125" style="6" customWidth="1"/>
    <col min="12753" max="12753" width="59.5703125" style="6" customWidth="1"/>
    <col min="12754" max="12754" width="9.140625" style="6" customWidth="1"/>
    <col min="12755" max="12756" width="3.85546875" style="6" customWidth="1"/>
    <col min="12757" max="12757" width="10.5703125" style="6" customWidth="1"/>
    <col min="12758" max="12758" width="3.85546875" style="6" customWidth="1"/>
    <col min="12759" max="12761" width="14.42578125" style="6" customWidth="1"/>
    <col min="12762" max="12762" width="4.140625" style="6" customWidth="1"/>
    <col min="12763" max="12763" width="15" style="6" customWidth="1"/>
    <col min="12764" max="12765" width="9.140625" style="6" customWidth="1"/>
    <col min="12766" max="12766" width="11.5703125" style="6" customWidth="1"/>
    <col min="12767" max="12767" width="18.140625" style="6" customWidth="1"/>
    <col min="12768" max="12768" width="13.140625" style="6" customWidth="1"/>
    <col min="12769" max="12769" width="12.28515625" style="6" customWidth="1"/>
    <col min="12770" max="13007" width="9.140625" style="6"/>
    <col min="13008" max="13008" width="1.42578125" style="6" customWidth="1"/>
    <col min="13009" max="13009" width="59.5703125" style="6" customWidth="1"/>
    <col min="13010" max="13010" width="9.140625" style="6" customWidth="1"/>
    <col min="13011" max="13012" width="3.85546875" style="6" customWidth="1"/>
    <col min="13013" max="13013" width="10.5703125" style="6" customWidth="1"/>
    <col min="13014" max="13014" width="3.85546875" style="6" customWidth="1"/>
    <col min="13015" max="13017" width="14.42578125" style="6" customWidth="1"/>
    <col min="13018" max="13018" width="4.140625" style="6" customWidth="1"/>
    <col min="13019" max="13019" width="15" style="6" customWidth="1"/>
    <col min="13020" max="13021" width="9.140625" style="6" customWidth="1"/>
    <col min="13022" max="13022" width="11.5703125" style="6" customWidth="1"/>
    <col min="13023" max="13023" width="18.140625" style="6" customWidth="1"/>
    <col min="13024" max="13024" width="13.140625" style="6" customWidth="1"/>
    <col min="13025" max="13025" width="12.28515625" style="6" customWidth="1"/>
    <col min="13026" max="13263" width="9.140625" style="6"/>
    <col min="13264" max="13264" width="1.42578125" style="6" customWidth="1"/>
    <col min="13265" max="13265" width="59.5703125" style="6" customWidth="1"/>
    <col min="13266" max="13266" width="9.140625" style="6" customWidth="1"/>
    <col min="13267" max="13268" width="3.85546875" style="6" customWidth="1"/>
    <col min="13269" max="13269" width="10.5703125" style="6" customWidth="1"/>
    <col min="13270" max="13270" width="3.85546875" style="6" customWidth="1"/>
    <col min="13271" max="13273" width="14.42578125" style="6" customWidth="1"/>
    <col min="13274" max="13274" width="4.140625" style="6" customWidth="1"/>
    <col min="13275" max="13275" width="15" style="6" customWidth="1"/>
    <col min="13276" max="13277" width="9.140625" style="6" customWidth="1"/>
    <col min="13278" max="13278" width="11.5703125" style="6" customWidth="1"/>
    <col min="13279" max="13279" width="18.140625" style="6" customWidth="1"/>
    <col min="13280" max="13280" width="13.140625" style="6" customWidth="1"/>
    <col min="13281" max="13281" width="12.28515625" style="6" customWidth="1"/>
    <col min="13282" max="13519" width="9.140625" style="6"/>
    <col min="13520" max="13520" width="1.42578125" style="6" customWidth="1"/>
    <col min="13521" max="13521" width="59.5703125" style="6" customWidth="1"/>
    <col min="13522" max="13522" width="9.140625" style="6" customWidth="1"/>
    <col min="13523" max="13524" width="3.85546875" style="6" customWidth="1"/>
    <col min="13525" max="13525" width="10.5703125" style="6" customWidth="1"/>
    <col min="13526" max="13526" width="3.85546875" style="6" customWidth="1"/>
    <col min="13527" max="13529" width="14.42578125" style="6" customWidth="1"/>
    <col min="13530" max="13530" width="4.140625" style="6" customWidth="1"/>
    <col min="13531" max="13531" width="15" style="6" customWidth="1"/>
    <col min="13532" max="13533" width="9.140625" style="6" customWidth="1"/>
    <col min="13534" max="13534" width="11.5703125" style="6" customWidth="1"/>
    <col min="13535" max="13535" width="18.140625" style="6" customWidth="1"/>
    <col min="13536" max="13536" width="13.140625" style="6" customWidth="1"/>
    <col min="13537" max="13537" width="12.28515625" style="6" customWidth="1"/>
    <col min="13538" max="13775" width="9.140625" style="6"/>
    <col min="13776" max="13776" width="1.42578125" style="6" customWidth="1"/>
    <col min="13777" max="13777" width="59.5703125" style="6" customWidth="1"/>
    <col min="13778" max="13778" width="9.140625" style="6" customWidth="1"/>
    <col min="13779" max="13780" width="3.85546875" style="6" customWidth="1"/>
    <col min="13781" max="13781" width="10.5703125" style="6" customWidth="1"/>
    <col min="13782" max="13782" width="3.85546875" style="6" customWidth="1"/>
    <col min="13783" max="13785" width="14.42578125" style="6" customWidth="1"/>
    <col min="13786" max="13786" width="4.140625" style="6" customWidth="1"/>
    <col min="13787" max="13787" width="15" style="6" customWidth="1"/>
    <col min="13788" max="13789" width="9.140625" style="6" customWidth="1"/>
    <col min="13790" max="13790" width="11.5703125" style="6" customWidth="1"/>
    <col min="13791" max="13791" width="18.140625" style="6" customWidth="1"/>
    <col min="13792" max="13792" width="13.140625" style="6" customWidth="1"/>
    <col min="13793" max="13793" width="12.28515625" style="6" customWidth="1"/>
    <col min="13794" max="14031" width="9.140625" style="6"/>
    <col min="14032" max="14032" width="1.42578125" style="6" customWidth="1"/>
    <col min="14033" max="14033" width="59.5703125" style="6" customWidth="1"/>
    <col min="14034" max="14034" width="9.140625" style="6" customWidth="1"/>
    <col min="14035" max="14036" width="3.85546875" style="6" customWidth="1"/>
    <col min="14037" max="14037" width="10.5703125" style="6" customWidth="1"/>
    <col min="14038" max="14038" width="3.85546875" style="6" customWidth="1"/>
    <col min="14039" max="14041" width="14.42578125" style="6" customWidth="1"/>
    <col min="14042" max="14042" width="4.140625" style="6" customWidth="1"/>
    <col min="14043" max="14043" width="15" style="6" customWidth="1"/>
    <col min="14044" max="14045" width="9.140625" style="6" customWidth="1"/>
    <col min="14046" max="14046" width="11.5703125" style="6" customWidth="1"/>
    <col min="14047" max="14047" width="18.140625" style="6" customWidth="1"/>
    <col min="14048" max="14048" width="13.140625" style="6" customWidth="1"/>
    <col min="14049" max="14049" width="12.28515625" style="6" customWidth="1"/>
    <col min="14050" max="14287" width="9.140625" style="6"/>
    <col min="14288" max="14288" width="1.42578125" style="6" customWidth="1"/>
    <col min="14289" max="14289" width="59.5703125" style="6" customWidth="1"/>
    <col min="14290" max="14290" width="9.140625" style="6" customWidth="1"/>
    <col min="14291" max="14292" width="3.85546875" style="6" customWidth="1"/>
    <col min="14293" max="14293" width="10.5703125" style="6" customWidth="1"/>
    <col min="14294" max="14294" width="3.85546875" style="6" customWidth="1"/>
    <col min="14295" max="14297" width="14.42578125" style="6" customWidth="1"/>
    <col min="14298" max="14298" width="4.140625" style="6" customWidth="1"/>
    <col min="14299" max="14299" width="15" style="6" customWidth="1"/>
    <col min="14300" max="14301" width="9.140625" style="6" customWidth="1"/>
    <col min="14302" max="14302" width="11.5703125" style="6" customWidth="1"/>
    <col min="14303" max="14303" width="18.140625" style="6" customWidth="1"/>
    <col min="14304" max="14304" width="13.140625" style="6" customWidth="1"/>
    <col min="14305" max="14305" width="12.28515625" style="6" customWidth="1"/>
    <col min="14306" max="14543" width="9.140625" style="6"/>
    <col min="14544" max="14544" width="1.42578125" style="6" customWidth="1"/>
    <col min="14545" max="14545" width="59.5703125" style="6" customWidth="1"/>
    <col min="14546" max="14546" width="9.140625" style="6" customWidth="1"/>
    <col min="14547" max="14548" width="3.85546875" style="6" customWidth="1"/>
    <col min="14549" max="14549" width="10.5703125" style="6" customWidth="1"/>
    <col min="14550" max="14550" width="3.85546875" style="6" customWidth="1"/>
    <col min="14551" max="14553" width="14.42578125" style="6" customWidth="1"/>
    <col min="14554" max="14554" width="4.140625" style="6" customWidth="1"/>
    <col min="14555" max="14555" width="15" style="6" customWidth="1"/>
    <col min="14556" max="14557" width="9.140625" style="6" customWidth="1"/>
    <col min="14558" max="14558" width="11.5703125" style="6" customWidth="1"/>
    <col min="14559" max="14559" width="18.140625" style="6" customWidth="1"/>
    <col min="14560" max="14560" width="13.140625" style="6" customWidth="1"/>
    <col min="14561" max="14561" width="12.28515625" style="6" customWidth="1"/>
    <col min="14562" max="14799" width="9.140625" style="6"/>
    <col min="14800" max="14800" width="1.42578125" style="6" customWidth="1"/>
    <col min="14801" max="14801" width="59.5703125" style="6" customWidth="1"/>
    <col min="14802" max="14802" width="9.140625" style="6" customWidth="1"/>
    <col min="14803" max="14804" width="3.85546875" style="6" customWidth="1"/>
    <col min="14805" max="14805" width="10.5703125" style="6" customWidth="1"/>
    <col min="14806" max="14806" width="3.85546875" style="6" customWidth="1"/>
    <col min="14807" max="14809" width="14.42578125" style="6" customWidth="1"/>
    <col min="14810" max="14810" width="4.140625" style="6" customWidth="1"/>
    <col min="14811" max="14811" width="15" style="6" customWidth="1"/>
    <col min="14812" max="14813" width="9.140625" style="6" customWidth="1"/>
    <col min="14814" max="14814" width="11.5703125" style="6" customWidth="1"/>
    <col min="14815" max="14815" width="18.140625" style="6" customWidth="1"/>
    <col min="14816" max="14816" width="13.140625" style="6" customWidth="1"/>
    <col min="14817" max="14817" width="12.28515625" style="6" customWidth="1"/>
    <col min="14818" max="15055" width="9.140625" style="6"/>
    <col min="15056" max="15056" width="1.42578125" style="6" customWidth="1"/>
    <col min="15057" max="15057" width="59.5703125" style="6" customWidth="1"/>
    <col min="15058" max="15058" width="9.140625" style="6" customWidth="1"/>
    <col min="15059" max="15060" width="3.85546875" style="6" customWidth="1"/>
    <col min="15061" max="15061" width="10.5703125" style="6" customWidth="1"/>
    <col min="15062" max="15062" width="3.85546875" style="6" customWidth="1"/>
    <col min="15063" max="15065" width="14.42578125" style="6" customWidth="1"/>
    <col min="15066" max="15066" width="4.140625" style="6" customWidth="1"/>
    <col min="15067" max="15067" width="15" style="6" customWidth="1"/>
    <col min="15068" max="15069" width="9.140625" style="6" customWidth="1"/>
    <col min="15070" max="15070" width="11.5703125" style="6" customWidth="1"/>
    <col min="15071" max="15071" width="18.140625" style="6" customWidth="1"/>
    <col min="15072" max="15072" width="13.140625" style="6" customWidth="1"/>
    <col min="15073" max="15073" width="12.28515625" style="6" customWidth="1"/>
    <col min="15074" max="15311" width="9.140625" style="6"/>
    <col min="15312" max="15312" width="1.42578125" style="6" customWidth="1"/>
    <col min="15313" max="15313" width="59.5703125" style="6" customWidth="1"/>
    <col min="15314" max="15314" width="9.140625" style="6" customWidth="1"/>
    <col min="15315" max="15316" width="3.85546875" style="6" customWidth="1"/>
    <col min="15317" max="15317" width="10.5703125" style="6" customWidth="1"/>
    <col min="15318" max="15318" width="3.85546875" style="6" customWidth="1"/>
    <col min="15319" max="15321" width="14.42578125" style="6" customWidth="1"/>
    <col min="15322" max="15322" width="4.140625" style="6" customWidth="1"/>
    <col min="15323" max="15323" width="15" style="6" customWidth="1"/>
    <col min="15324" max="15325" width="9.140625" style="6" customWidth="1"/>
    <col min="15326" max="15326" width="11.5703125" style="6" customWidth="1"/>
    <col min="15327" max="15327" width="18.140625" style="6" customWidth="1"/>
    <col min="15328" max="15328" width="13.140625" style="6" customWidth="1"/>
    <col min="15329" max="15329" width="12.28515625" style="6" customWidth="1"/>
    <col min="15330" max="15567" width="9.140625" style="6"/>
    <col min="15568" max="15568" width="1.42578125" style="6" customWidth="1"/>
    <col min="15569" max="15569" width="59.5703125" style="6" customWidth="1"/>
    <col min="15570" max="15570" width="9.140625" style="6" customWidth="1"/>
    <col min="15571" max="15572" width="3.85546875" style="6" customWidth="1"/>
    <col min="15573" max="15573" width="10.5703125" style="6" customWidth="1"/>
    <col min="15574" max="15574" width="3.85546875" style="6" customWidth="1"/>
    <col min="15575" max="15577" width="14.42578125" style="6" customWidth="1"/>
    <col min="15578" max="15578" width="4.140625" style="6" customWidth="1"/>
    <col min="15579" max="15579" width="15" style="6" customWidth="1"/>
    <col min="15580" max="15581" width="9.140625" style="6" customWidth="1"/>
    <col min="15582" max="15582" width="11.5703125" style="6" customWidth="1"/>
    <col min="15583" max="15583" width="18.140625" style="6" customWidth="1"/>
    <col min="15584" max="15584" width="13.140625" style="6" customWidth="1"/>
    <col min="15585" max="15585" width="12.28515625" style="6" customWidth="1"/>
    <col min="15586" max="15823" width="9.140625" style="6"/>
    <col min="15824" max="15824" width="1.42578125" style="6" customWidth="1"/>
    <col min="15825" max="15825" width="59.5703125" style="6" customWidth="1"/>
    <col min="15826" max="15826" width="9.140625" style="6" customWidth="1"/>
    <col min="15827" max="15828" width="3.85546875" style="6" customWidth="1"/>
    <col min="15829" max="15829" width="10.5703125" style="6" customWidth="1"/>
    <col min="15830" max="15830" width="3.85546875" style="6" customWidth="1"/>
    <col min="15831" max="15833" width="14.42578125" style="6" customWidth="1"/>
    <col min="15834" max="15834" width="4.140625" style="6" customWidth="1"/>
    <col min="15835" max="15835" width="15" style="6" customWidth="1"/>
    <col min="15836" max="15837" width="9.140625" style="6" customWidth="1"/>
    <col min="15838" max="15838" width="11.5703125" style="6" customWidth="1"/>
    <col min="15839" max="15839" width="18.140625" style="6" customWidth="1"/>
    <col min="15840" max="15840" width="13.140625" style="6" customWidth="1"/>
    <col min="15841" max="15841" width="12.28515625" style="6" customWidth="1"/>
    <col min="15842" max="16079" width="9.140625" style="6"/>
    <col min="16080" max="16080" width="1.42578125" style="6" customWidth="1"/>
    <col min="16081" max="16081" width="59.5703125" style="6" customWidth="1"/>
    <col min="16082" max="16082" width="9.140625" style="6" customWidth="1"/>
    <col min="16083" max="16084" width="3.85546875" style="6" customWidth="1"/>
    <col min="16085" max="16085" width="10.5703125" style="6" customWidth="1"/>
    <col min="16086" max="16086" width="3.85546875" style="6" customWidth="1"/>
    <col min="16087" max="16089" width="14.42578125" style="6" customWidth="1"/>
    <col min="16090" max="16090" width="4.140625" style="6" customWidth="1"/>
    <col min="16091" max="16091" width="15" style="6" customWidth="1"/>
    <col min="16092" max="16093" width="9.140625" style="6" customWidth="1"/>
    <col min="16094" max="16094" width="11.5703125" style="6" customWidth="1"/>
    <col min="16095" max="16095" width="18.140625" style="6" customWidth="1"/>
    <col min="16096" max="16096" width="13.140625" style="6" customWidth="1"/>
    <col min="16097" max="16097" width="12.28515625" style="6" customWidth="1"/>
    <col min="16098" max="16384" width="9.140625" style="6"/>
  </cols>
  <sheetData>
    <row r="1" spans="1:22" s="220" customFormat="1" ht="15" x14ac:dyDescent="0.25">
      <c r="A1" s="216"/>
      <c r="B1" s="216"/>
      <c r="E1" s="221"/>
      <c r="F1" s="535" t="s">
        <v>693</v>
      </c>
      <c r="G1" s="535"/>
      <c r="H1" s="535"/>
      <c r="I1" s="535"/>
      <c r="K1" s="222"/>
      <c r="L1" s="222"/>
      <c r="M1" s="222"/>
      <c r="N1" s="222"/>
      <c r="O1" s="222"/>
      <c r="P1" s="222"/>
      <c r="Q1" s="222"/>
      <c r="R1" s="222"/>
      <c r="S1" s="222"/>
      <c r="T1" s="222"/>
      <c r="U1" s="222"/>
    </row>
    <row r="2" spans="1:22" s="220" customFormat="1" ht="63.75" customHeight="1" x14ac:dyDescent="0.25">
      <c r="A2" s="216"/>
      <c r="B2" s="216"/>
      <c r="E2" s="221"/>
      <c r="F2" s="536" t="s">
        <v>463</v>
      </c>
      <c r="G2" s="536"/>
      <c r="H2" s="536"/>
      <c r="I2" s="536"/>
      <c r="J2" s="536"/>
      <c r="K2" s="536"/>
      <c r="L2" s="536"/>
      <c r="M2" s="536"/>
      <c r="N2" s="536"/>
      <c r="O2" s="536"/>
      <c r="P2" s="536"/>
      <c r="Q2" s="536"/>
      <c r="R2" s="536"/>
      <c r="S2" s="536"/>
      <c r="T2" s="536"/>
      <c r="U2" s="536"/>
    </row>
    <row r="3" spans="1:22" s="94" customFormat="1" ht="34.5" customHeight="1" x14ac:dyDescent="0.25">
      <c r="A3" s="504" t="s">
        <v>696</v>
      </c>
      <c r="B3" s="504"/>
      <c r="C3" s="504"/>
      <c r="D3" s="504"/>
      <c r="E3" s="504"/>
      <c r="F3" s="504"/>
      <c r="G3" s="504"/>
      <c r="H3" s="504"/>
      <c r="I3" s="504"/>
      <c r="J3" s="504"/>
      <c r="K3" s="504"/>
      <c r="L3" s="504"/>
      <c r="M3" s="504"/>
      <c r="N3" s="504"/>
      <c r="O3" s="504"/>
      <c r="P3" s="504"/>
      <c r="Q3" s="504"/>
      <c r="R3" s="504"/>
      <c r="S3" s="504"/>
      <c r="T3" s="504"/>
      <c r="U3" s="504"/>
    </row>
    <row r="4" spans="1:22" s="68" customFormat="1" x14ac:dyDescent="0.25">
      <c r="A4" s="184"/>
      <c r="B4" s="184"/>
      <c r="C4" s="184"/>
      <c r="D4" s="184"/>
      <c r="E4" s="185"/>
      <c r="F4" s="185"/>
      <c r="G4" s="185"/>
      <c r="H4" s="184"/>
      <c r="I4" s="184"/>
      <c r="J4" s="67"/>
      <c r="K4" s="67"/>
      <c r="L4" s="67"/>
      <c r="M4" s="67"/>
      <c r="N4" s="67"/>
      <c r="O4" s="67"/>
      <c r="P4" s="67"/>
      <c r="Q4" s="67"/>
      <c r="R4" s="67"/>
      <c r="S4" s="67"/>
      <c r="T4" s="67"/>
      <c r="U4" s="67"/>
    </row>
    <row r="5" spans="1:22" s="95" customFormat="1" ht="15.75" customHeight="1" x14ac:dyDescent="0.25">
      <c r="A5" s="505" t="s">
        <v>10</v>
      </c>
      <c r="B5" s="505"/>
      <c r="C5" s="263"/>
      <c r="D5" s="263"/>
      <c r="E5" s="263"/>
      <c r="F5" s="90" t="s">
        <v>11</v>
      </c>
      <c r="G5" s="90" t="s">
        <v>12</v>
      </c>
      <c r="H5" s="90" t="s">
        <v>13</v>
      </c>
      <c r="I5" s="90" t="s">
        <v>14</v>
      </c>
      <c r="J5" s="263" t="s">
        <v>420</v>
      </c>
      <c r="K5" s="327" t="s">
        <v>605</v>
      </c>
      <c r="L5" s="327" t="s">
        <v>581</v>
      </c>
      <c r="M5" s="327" t="s">
        <v>606</v>
      </c>
      <c r="N5" s="327" t="s">
        <v>607</v>
      </c>
      <c r="O5" s="414" t="s">
        <v>653</v>
      </c>
      <c r="P5" s="414" t="s">
        <v>645</v>
      </c>
      <c r="Q5" s="423" t="s">
        <v>673</v>
      </c>
      <c r="R5" s="453" t="s">
        <v>492</v>
      </c>
      <c r="S5" s="453" t="s">
        <v>534</v>
      </c>
      <c r="T5" s="453" t="s">
        <v>687</v>
      </c>
      <c r="U5" s="423" t="s">
        <v>692</v>
      </c>
      <c r="V5" s="209"/>
    </row>
    <row r="6" spans="1:22" ht="15" customHeight="1" x14ac:dyDescent="0.25">
      <c r="A6" s="506" t="s">
        <v>15</v>
      </c>
      <c r="B6" s="507"/>
      <c r="C6" s="266"/>
      <c r="D6" s="266"/>
      <c r="E6" s="266">
        <v>851</v>
      </c>
      <c r="F6" s="1"/>
      <c r="G6" s="1"/>
      <c r="H6" s="1"/>
      <c r="I6" s="1"/>
      <c r="J6" s="97">
        <f t="shared" ref="J6:U6" si="0">J7+J64+J71+J78+J111+J135+J145+J176+J201</f>
        <v>64255337</v>
      </c>
      <c r="K6" s="97">
        <f t="shared" si="0"/>
        <v>8179526</v>
      </c>
      <c r="L6" s="97">
        <f t="shared" si="0"/>
        <v>72434863</v>
      </c>
      <c r="M6" s="97">
        <f t="shared" si="0"/>
        <v>-201418</v>
      </c>
      <c r="N6" s="97">
        <f t="shared" si="0"/>
        <v>72233445</v>
      </c>
      <c r="O6" s="97">
        <f t="shared" si="0"/>
        <v>-2761900</v>
      </c>
      <c r="P6" s="97">
        <f t="shared" si="0"/>
        <v>69471545</v>
      </c>
      <c r="Q6" s="97">
        <f t="shared" si="0"/>
        <v>12182878.25</v>
      </c>
      <c r="R6" s="97">
        <f t="shared" si="0"/>
        <v>3367141.25</v>
      </c>
      <c r="S6" s="97">
        <f t="shared" si="0"/>
        <v>-2684263</v>
      </c>
      <c r="T6" s="97">
        <f t="shared" si="0"/>
        <v>0</v>
      </c>
      <c r="U6" s="97">
        <f t="shared" si="0"/>
        <v>81654423.25</v>
      </c>
      <c r="V6" s="89"/>
    </row>
    <row r="7" spans="1:22" s="10" customFormat="1" x14ac:dyDescent="0.25">
      <c r="A7" s="503" t="s">
        <v>16</v>
      </c>
      <c r="B7" s="503"/>
      <c r="C7" s="261"/>
      <c r="D7" s="261"/>
      <c r="E7" s="219">
        <v>851</v>
      </c>
      <c r="F7" s="7" t="s">
        <v>17</v>
      </c>
      <c r="G7" s="7"/>
      <c r="H7" s="7"/>
      <c r="I7" s="7"/>
      <c r="J7" s="8">
        <f>J8+J24+J32+J36</f>
        <v>23774080</v>
      </c>
      <c r="K7" s="8">
        <f>K8+K24+K32+K36</f>
        <v>803088</v>
      </c>
      <c r="L7" s="8">
        <f>L8+L24+L32+L36</f>
        <v>24577168</v>
      </c>
      <c r="M7" s="8">
        <f>M8+M24+M32+M36</f>
        <v>-23856</v>
      </c>
      <c r="N7" s="8">
        <f>N8+N24+N28+N32+N36</f>
        <v>24553312</v>
      </c>
      <c r="O7" s="8">
        <f t="shared" ref="O7:P7" si="1">O8+O24+O28+O32+O36</f>
        <v>1166600</v>
      </c>
      <c r="P7" s="8">
        <f t="shared" si="1"/>
        <v>25719912</v>
      </c>
      <c r="Q7" s="8">
        <f t="shared" ref="Q7:U7" si="2">Q8+Q24+Q28+Q32+Q36</f>
        <v>-34484</v>
      </c>
      <c r="R7" s="8">
        <f t="shared" si="2"/>
        <v>0</v>
      </c>
      <c r="S7" s="8">
        <f t="shared" si="2"/>
        <v>-34484</v>
      </c>
      <c r="T7" s="8">
        <f t="shared" si="2"/>
        <v>0</v>
      </c>
      <c r="U7" s="8">
        <f t="shared" si="2"/>
        <v>25685428</v>
      </c>
      <c r="V7" s="435"/>
    </row>
    <row r="8" spans="1:22" s="13" customFormat="1" ht="36" customHeight="1" x14ac:dyDescent="0.25">
      <c r="A8" s="508" t="s">
        <v>18</v>
      </c>
      <c r="B8" s="508"/>
      <c r="C8" s="265"/>
      <c r="D8" s="265"/>
      <c r="E8" s="219">
        <v>851</v>
      </c>
      <c r="F8" s="11" t="s">
        <v>17</v>
      </c>
      <c r="G8" s="11" t="s">
        <v>6</v>
      </c>
      <c r="H8" s="11"/>
      <c r="I8" s="11"/>
      <c r="J8" s="12">
        <f t="shared" ref="J8:P8" si="3">J9+J12+J21</f>
        <v>17336380</v>
      </c>
      <c r="K8" s="12">
        <f t="shared" si="3"/>
        <v>0</v>
      </c>
      <c r="L8" s="12">
        <f t="shared" si="3"/>
        <v>17336380</v>
      </c>
      <c r="M8" s="12">
        <f t="shared" si="3"/>
        <v>0</v>
      </c>
      <c r="N8" s="12">
        <f t="shared" si="3"/>
        <v>17336380</v>
      </c>
      <c r="O8" s="12">
        <f t="shared" si="3"/>
        <v>0</v>
      </c>
      <c r="P8" s="12">
        <f t="shared" si="3"/>
        <v>17336380</v>
      </c>
      <c r="Q8" s="12">
        <f t="shared" ref="Q8:U8" si="4">Q9+Q12+Q21</f>
        <v>0</v>
      </c>
      <c r="R8" s="12">
        <f>SUM(R9:R23)</f>
        <v>0</v>
      </c>
      <c r="S8" s="12">
        <f t="shared" ref="S8:T8" si="5">SUM(S9:S23)</f>
        <v>0</v>
      </c>
      <c r="T8" s="12">
        <f t="shared" si="5"/>
        <v>0</v>
      </c>
      <c r="U8" s="12">
        <f t="shared" si="4"/>
        <v>17336380</v>
      </c>
      <c r="V8" s="31"/>
    </row>
    <row r="9" spans="1:22" ht="27" customHeight="1" x14ac:dyDescent="0.25">
      <c r="A9" s="509" t="s">
        <v>19</v>
      </c>
      <c r="B9" s="509"/>
      <c r="C9" s="253"/>
      <c r="D9" s="253"/>
      <c r="E9" s="219">
        <v>851</v>
      </c>
      <c r="F9" s="1" t="s">
        <v>17</v>
      </c>
      <c r="G9" s="1" t="s">
        <v>6</v>
      </c>
      <c r="H9" s="1" t="s">
        <v>20</v>
      </c>
      <c r="I9" s="1"/>
      <c r="J9" s="2">
        <f t="shared" ref="J9:U10" si="6">J10</f>
        <v>946200</v>
      </c>
      <c r="K9" s="2">
        <f t="shared" si="6"/>
        <v>0</v>
      </c>
      <c r="L9" s="2">
        <f t="shared" si="6"/>
        <v>946200</v>
      </c>
      <c r="M9" s="2">
        <f t="shared" si="6"/>
        <v>0</v>
      </c>
      <c r="N9" s="2">
        <f t="shared" si="6"/>
        <v>946200</v>
      </c>
      <c r="O9" s="2">
        <f t="shared" si="6"/>
        <v>0</v>
      </c>
      <c r="P9" s="2">
        <f t="shared" si="6"/>
        <v>946200</v>
      </c>
      <c r="Q9" s="2">
        <f t="shared" si="6"/>
        <v>0</v>
      </c>
      <c r="R9" s="2"/>
      <c r="S9" s="2"/>
      <c r="T9" s="2"/>
      <c r="U9" s="2">
        <f t="shared" si="6"/>
        <v>946200</v>
      </c>
      <c r="V9" s="89"/>
    </row>
    <row r="10" spans="1:22" ht="36" customHeight="1" x14ac:dyDescent="0.25">
      <c r="A10" s="253"/>
      <c r="B10" s="252" t="s">
        <v>21</v>
      </c>
      <c r="C10" s="253"/>
      <c r="D10" s="253"/>
      <c r="E10" s="219">
        <v>851</v>
      </c>
      <c r="F10" s="1" t="s">
        <v>22</v>
      </c>
      <c r="G10" s="1" t="s">
        <v>6</v>
      </c>
      <c r="H10" s="1" t="s">
        <v>20</v>
      </c>
      <c r="I10" s="1" t="s">
        <v>23</v>
      </c>
      <c r="J10" s="2">
        <f t="shared" si="6"/>
        <v>946200</v>
      </c>
      <c r="K10" s="2">
        <f t="shared" si="6"/>
        <v>0</v>
      </c>
      <c r="L10" s="2">
        <f t="shared" si="6"/>
        <v>946200</v>
      </c>
      <c r="M10" s="2">
        <f t="shared" si="6"/>
        <v>0</v>
      </c>
      <c r="N10" s="2">
        <f t="shared" si="6"/>
        <v>946200</v>
      </c>
      <c r="O10" s="2">
        <f t="shared" si="6"/>
        <v>0</v>
      </c>
      <c r="P10" s="2">
        <f t="shared" si="6"/>
        <v>946200</v>
      </c>
      <c r="Q10" s="2">
        <f t="shared" si="6"/>
        <v>0</v>
      </c>
      <c r="R10" s="2"/>
      <c r="S10" s="2"/>
      <c r="T10" s="2"/>
      <c r="U10" s="2">
        <f t="shared" si="6"/>
        <v>946200</v>
      </c>
      <c r="V10" s="89"/>
    </row>
    <row r="11" spans="1:22" ht="15" customHeight="1" x14ac:dyDescent="0.25">
      <c r="A11" s="15"/>
      <c r="B11" s="252" t="s">
        <v>24</v>
      </c>
      <c r="C11" s="252"/>
      <c r="D11" s="252"/>
      <c r="E11" s="219">
        <v>851</v>
      </c>
      <c r="F11" s="1" t="s">
        <v>17</v>
      </c>
      <c r="G11" s="1" t="s">
        <v>6</v>
      </c>
      <c r="H11" s="1" t="s">
        <v>20</v>
      </c>
      <c r="I11" s="1" t="s">
        <v>25</v>
      </c>
      <c r="J11" s="2">
        <v>946200</v>
      </c>
      <c r="K11" s="2"/>
      <c r="L11" s="2">
        <f t="shared" ref="L11:L85" si="7">J11+K11</f>
        <v>946200</v>
      </c>
      <c r="M11" s="2"/>
      <c r="N11" s="2">
        <f t="shared" ref="N11:N27" si="8">L11+M11</f>
        <v>946200</v>
      </c>
      <c r="O11" s="2"/>
      <c r="P11" s="2">
        <f>N11+O11</f>
        <v>946200</v>
      </c>
      <c r="Q11" s="2"/>
      <c r="R11" s="2"/>
      <c r="S11" s="2"/>
      <c r="T11" s="2"/>
      <c r="U11" s="2">
        <f t="shared" ref="U11:U27" si="9">P11+Q11</f>
        <v>946200</v>
      </c>
      <c r="V11" s="89"/>
    </row>
    <row r="12" spans="1:22" ht="26.25" customHeight="1" x14ac:dyDescent="0.25">
      <c r="A12" s="509" t="s">
        <v>26</v>
      </c>
      <c r="B12" s="509"/>
      <c r="C12" s="219"/>
      <c r="D12" s="219"/>
      <c r="E12" s="219">
        <v>851</v>
      </c>
      <c r="F12" s="1" t="s">
        <v>22</v>
      </c>
      <c r="G12" s="1" t="s">
        <v>6</v>
      </c>
      <c r="H12" s="1" t="s">
        <v>433</v>
      </c>
      <c r="I12" s="1"/>
      <c r="J12" s="2">
        <f>J13+J15+J17</f>
        <v>16387680</v>
      </c>
      <c r="K12" s="2">
        <f t="shared" ref="K12:U12" si="10">K13+K15+K17</f>
        <v>0</v>
      </c>
      <c r="L12" s="2">
        <f t="shared" si="10"/>
        <v>16387680</v>
      </c>
      <c r="M12" s="2">
        <f t="shared" si="10"/>
        <v>0</v>
      </c>
      <c r="N12" s="2">
        <f t="shared" si="10"/>
        <v>16387680</v>
      </c>
      <c r="O12" s="2">
        <f t="shared" si="10"/>
        <v>0</v>
      </c>
      <c r="P12" s="2">
        <f t="shared" si="10"/>
        <v>16387680</v>
      </c>
      <c r="Q12" s="2">
        <f t="shared" si="10"/>
        <v>0</v>
      </c>
      <c r="R12" s="2"/>
      <c r="S12" s="2"/>
      <c r="T12" s="2"/>
      <c r="U12" s="2">
        <f t="shared" si="10"/>
        <v>16387680</v>
      </c>
      <c r="V12" s="74"/>
    </row>
    <row r="13" spans="1:22" ht="36" customHeight="1" x14ac:dyDescent="0.25">
      <c r="A13" s="15"/>
      <c r="B13" s="252" t="s">
        <v>21</v>
      </c>
      <c r="C13" s="219"/>
      <c r="D13" s="219"/>
      <c r="E13" s="219">
        <v>851</v>
      </c>
      <c r="F13" s="1" t="s">
        <v>17</v>
      </c>
      <c r="G13" s="1" t="s">
        <v>6</v>
      </c>
      <c r="H13" s="1" t="s">
        <v>433</v>
      </c>
      <c r="I13" s="1" t="s">
        <v>23</v>
      </c>
      <c r="J13" s="2">
        <f t="shared" ref="J13" si="11">J14</f>
        <v>11544100</v>
      </c>
      <c r="K13" s="2">
        <f t="shared" ref="K13" si="12">K14</f>
        <v>0</v>
      </c>
      <c r="L13" s="2">
        <f t="shared" ref="L13" si="13">L14</f>
        <v>11544100</v>
      </c>
      <c r="M13" s="2">
        <f t="shared" ref="M13" si="14">M14</f>
        <v>0</v>
      </c>
      <c r="N13" s="2">
        <f t="shared" ref="N13" si="15">N14</f>
        <v>11544100</v>
      </c>
      <c r="O13" s="2">
        <f t="shared" ref="O13" si="16">O14</f>
        <v>0</v>
      </c>
      <c r="P13" s="2">
        <f t="shared" ref="P13" si="17">P14</f>
        <v>11544100</v>
      </c>
      <c r="Q13" s="2">
        <f t="shared" ref="Q13" si="18">Q14</f>
        <v>76094</v>
      </c>
      <c r="R13" s="2"/>
      <c r="S13" s="2"/>
      <c r="T13" s="2"/>
      <c r="U13" s="2">
        <f t="shared" ref="U13" si="19">U14</f>
        <v>11620194</v>
      </c>
      <c r="V13" s="74"/>
    </row>
    <row r="14" spans="1:22" ht="14.25" customHeight="1" x14ac:dyDescent="0.25">
      <c r="A14" s="15"/>
      <c r="B14" s="252" t="s">
        <v>24</v>
      </c>
      <c r="C14" s="219"/>
      <c r="D14" s="219"/>
      <c r="E14" s="219">
        <v>851</v>
      </c>
      <c r="F14" s="1" t="s">
        <v>17</v>
      </c>
      <c r="G14" s="1" t="s">
        <v>6</v>
      </c>
      <c r="H14" s="1" t="s">
        <v>433</v>
      </c>
      <c r="I14" s="1" t="s">
        <v>25</v>
      </c>
      <c r="J14" s="2">
        <f>11904900-187900-172900</f>
        <v>11544100</v>
      </c>
      <c r="K14" s="2"/>
      <c r="L14" s="2">
        <f t="shared" si="7"/>
        <v>11544100</v>
      </c>
      <c r="M14" s="2"/>
      <c r="N14" s="2">
        <f t="shared" si="8"/>
        <v>11544100</v>
      </c>
      <c r="O14" s="2"/>
      <c r="P14" s="2">
        <f>N14+O14</f>
        <v>11544100</v>
      </c>
      <c r="Q14" s="2">
        <f>39614+36480</f>
        <v>76094</v>
      </c>
      <c r="R14" s="2"/>
      <c r="S14" s="2">
        <f>Q14</f>
        <v>76094</v>
      </c>
      <c r="T14" s="2"/>
      <c r="U14" s="2">
        <f t="shared" si="9"/>
        <v>11620194</v>
      </c>
      <c r="V14" s="89"/>
    </row>
    <row r="15" spans="1:22" ht="14.25" customHeight="1" x14ac:dyDescent="0.25">
      <c r="A15" s="15"/>
      <c r="B15" s="253" t="s">
        <v>27</v>
      </c>
      <c r="C15" s="219"/>
      <c r="D15" s="219"/>
      <c r="E15" s="219">
        <v>851</v>
      </c>
      <c r="F15" s="1" t="s">
        <v>17</v>
      </c>
      <c r="G15" s="1" t="s">
        <v>6</v>
      </c>
      <c r="H15" s="1" t="s">
        <v>433</v>
      </c>
      <c r="I15" s="1" t="s">
        <v>28</v>
      </c>
      <c r="J15" s="2">
        <f t="shared" ref="J15" si="20">J16</f>
        <v>3777580</v>
      </c>
      <c r="K15" s="2">
        <f t="shared" ref="K15" si="21">K16</f>
        <v>0</v>
      </c>
      <c r="L15" s="2">
        <f t="shared" ref="L15" si="22">L16</f>
        <v>3777580</v>
      </c>
      <c r="M15" s="2">
        <f t="shared" ref="M15" si="23">M16</f>
        <v>0</v>
      </c>
      <c r="N15" s="2">
        <f t="shared" ref="N15" si="24">N16</f>
        <v>3777580</v>
      </c>
      <c r="O15" s="2">
        <f t="shared" ref="O15" si="25">O16</f>
        <v>0</v>
      </c>
      <c r="P15" s="2">
        <f t="shared" ref="P15" si="26">P16</f>
        <v>3777580</v>
      </c>
      <c r="Q15" s="2">
        <f t="shared" ref="Q15" si="27">Q16</f>
        <v>-39614</v>
      </c>
      <c r="R15" s="2"/>
      <c r="S15" s="2"/>
      <c r="T15" s="2"/>
      <c r="U15" s="2">
        <f t="shared" ref="U15" si="28">U16</f>
        <v>3737966</v>
      </c>
      <c r="V15" s="74"/>
    </row>
    <row r="16" spans="1:22" ht="24.75" customHeight="1" x14ac:dyDescent="0.25">
      <c r="A16" s="15"/>
      <c r="B16" s="253" t="s">
        <v>29</v>
      </c>
      <c r="C16" s="219"/>
      <c r="D16" s="219"/>
      <c r="E16" s="219">
        <v>851</v>
      </c>
      <c r="F16" s="1" t="s">
        <v>17</v>
      </c>
      <c r="G16" s="1" t="s">
        <v>6</v>
      </c>
      <c r="H16" s="1" t="s">
        <v>433</v>
      </c>
      <c r="I16" s="1" t="s">
        <v>30</v>
      </c>
      <c r="J16" s="2">
        <f>3816480-151600+112700</f>
        <v>3777580</v>
      </c>
      <c r="K16" s="2"/>
      <c r="L16" s="2">
        <f t="shared" si="7"/>
        <v>3777580</v>
      </c>
      <c r="M16" s="2"/>
      <c r="N16" s="2">
        <f t="shared" si="8"/>
        <v>3777580</v>
      </c>
      <c r="O16" s="2"/>
      <c r="P16" s="2">
        <f>N16+O16</f>
        <v>3777580</v>
      </c>
      <c r="Q16" s="2">
        <v>-39614</v>
      </c>
      <c r="R16" s="2"/>
      <c r="S16" s="2">
        <f>Q16</f>
        <v>-39614</v>
      </c>
      <c r="T16" s="2"/>
      <c r="U16" s="2">
        <f t="shared" si="9"/>
        <v>3737966</v>
      </c>
      <c r="V16" s="89"/>
    </row>
    <row r="17" spans="1:22" x14ac:dyDescent="0.25">
      <c r="A17" s="15"/>
      <c r="B17" s="253" t="s">
        <v>31</v>
      </c>
      <c r="C17" s="219"/>
      <c r="D17" s="219"/>
      <c r="E17" s="219">
        <v>851</v>
      </c>
      <c r="F17" s="1" t="s">
        <v>17</v>
      </c>
      <c r="G17" s="1" t="s">
        <v>6</v>
      </c>
      <c r="H17" s="1" t="s">
        <v>433</v>
      </c>
      <c r="I17" s="1" t="s">
        <v>32</v>
      </c>
      <c r="J17" s="2">
        <f t="shared" ref="J17" si="29">J18+J19+J20</f>
        <v>1066000</v>
      </c>
      <c r="K17" s="2">
        <f t="shared" ref="K17" si="30">K18+K19+K20</f>
        <v>0</v>
      </c>
      <c r="L17" s="2">
        <f t="shared" ref="L17" si="31">L18+L19+L20</f>
        <v>1066000</v>
      </c>
      <c r="M17" s="2">
        <f t="shared" ref="M17" si="32">M18+M19+M20</f>
        <v>0</v>
      </c>
      <c r="N17" s="2">
        <f t="shared" ref="N17" si="33">N18+N19+N20</f>
        <v>1066000</v>
      </c>
      <c r="O17" s="2">
        <f t="shared" ref="O17" si="34">O18+O19+O20</f>
        <v>0</v>
      </c>
      <c r="P17" s="2">
        <f t="shared" ref="P17" si="35">P18+P19+P20</f>
        <v>1066000</v>
      </c>
      <c r="Q17" s="2">
        <f t="shared" ref="Q17" si="36">Q18+Q19+Q20</f>
        <v>-36480</v>
      </c>
      <c r="R17" s="2"/>
      <c r="S17" s="2"/>
      <c r="T17" s="2"/>
      <c r="U17" s="2">
        <f t="shared" ref="U17" si="37">U18+U19+U20</f>
        <v>1029520</v>
      </c>
      <c r="V17" s="74"/>
    </row>
    <row r="18" spans="1:22" ht="14.25" customHeight="1" x14ac:dyDescent="0.25">
      <c r="A18" s="15"/>
      <c r="B18" s="253" t="s">
        <v>33</v>
      </c>
      <c r="C18" s="219"/>
      <c r="D18" s="219"/>
      <c r="E18" s="219">
        <v>851</v>
      </c>
      <c r="F18" s="1" t="s">
        <v>17</v>
      </c>
      <c r="G18" s="1" t="s">
        <v>6</v>
      </c>
      <c r="H18" s="1" t="s">
        <v>433</v>
      </c>
      <c r="I18" s="1" t="s">
        <v>34</v>
      </c>
      <c r="J18" s="2">
        <v>945200</v>
      </c>
      <c r="K18" s="2"/>
      <c r="L18" s="2">
        <f t="shared" si="7"/>
        <v>945200</v>
      </c>
      <c r="M18" s="2"/>
      <c r="N18" s="2">
        <f t="shared" si="8"/>
        <v>945200</v>
      </c>
      <c r="O18" s="2"/>
      <c r="P18" s="2">
        <f>N18+O18</f>
        <v>945200</v>
      </c>
      <c r="Q18" s="2">
        <v>-36480</v>
      </c>
      <c r="R18" s="2"/>
      <c r="S18" s="2">
        <f>Q18</f>
        <v>-36480</v>
      </c>
      <c r="T18" s="2"/>
      <c r="U18" s="2">
        <f t="shared" si="9"/>
        <v>908720</v>
      </c>
      <c r="V18" s="89"/>
    </row>
    <row r="19" spans="1:22" ht="14.25" customHeight="1" x14ac:dyDescent="0.25">
      <c r="A19" s="15"/>
      <c r="B19" s="252" t="s">
        <v>466</v>
      </c>
      <c r="C19" s="219"/>
      <c r="D19" s="219"/>
      <c r="E19" s="219">
        <v>851</v>
      </c>
      <c r="F19" s="1" t="s">
        <v>22</v>
      </c>
      <c r="G19" s="1" t="s">
        <v>6</v>
      </c>
      <c r="H19" s="1" t="s">
        <v>433</v>
      </c>
      <c r="I19" s="1" t="s">
        <v>35</v>
      </c>
      <c r="J19" s="2">
        <f>71120-320</f>
        <v>70800</v>
      </c>
      <c r="K19" s="2"/>
      <c r="L19" s="2">
        <f t="shared" si="7"/>
        <v>70800</v>
      </c>
      <c r="M19" s="2"/>
      <c r="N19" s="2">
        <f t="shared" si="8"/>
        <v>70800</v>
      </c>
      <c r="O19" s="2"/>
      <c r="P19" s="2">
        <f>N19+O19</f>
        <v>70800</v>
      </c>
      <c r="Q19" s="2"/>
      <c r="R19" s="2"/>
      <c r="S19" s="2"/>
      <c r="T19" s="2"/>
      <c r="U19" s="2">
        <f t="shared" si="9"/>
        <v>70800</v>
      </c>
      <c r="V19" s="89"/>
    </row>
    <row r="20" spans="1:22" ht="14.25" customHeight="1" x14ac:dyDescent="0.25">
      <c r="A20" s="15"/>
      <c r="B20" s="253" t="s">
        <v>465</v>
      </c>
      <c r="C20" s="219"/>
      <c r="D20" s="219"/>
      <c r="E20" s="219">
        <v>851</v>
      </c>
      <c r="F20" s="1" t="s">
        <v>22</v>
      </c>
      <c r="G20" s="1" t="s">
        <v>6</v>
      </c>
      <c r="H20" s="1" t="s">
        <v>433</v>
      </c>
      <c r="I20" s="1" t="s">
        <v>464</v>
      </c>
      <c r="J20" s="2">
        <v>50000</v>
      </c>
      <c r="K20" s="2"/>
      <c r="L20" s="2">
        <f t="shared" si="7"/>
        <v>50000</v>
      </c>
      <c r="M20" s="2"/>
      <c r="N20" s="2">
        <f t="shared" si="8"/>
        <v>50000</v>
      </c>
      <c r="O20" s="2"/>
      <c r="P20" s="2">
        <f>N20+O20</f>
        <v>50000</v>
      </c>
      <c r="Q20" s="2"/>
      <c r="R20" s="2"/>
      <c r="S20" s="2"/>
      <c r="T20" s="2"/>
      <c r="U20" s="2">
        <f t="shared" si="9"/>
        <v>50000</v>
      </c>
      <c r="V20" s="89"/>
    </row>
    <row r="21" spans="1:22" ht="38.25" customHeight="1" x14ac:dyDescent="0.25">
      <c r="A21" s="509" t="s">
        <v>479</v>
      </c>
      <c r="B21" s="509"/>
      <c r="C21" s="253"/>
      <c r="D21" s="253"/>
      <c r="E21" s="219">
        <v>851</v>
      </c>
      <c r="F21" s="1" t="s">
        <v>17</v>
      </c>
      <c r="G21" s="1" t="s">
        <v>6</v>
      </c>
      <c r="H21" s="1" t="s">
        <v>482</v>
      </c>
      <c r="I21" s="1"/>
      <c r="J21" s="2">
        <f t="shared" ref="J21:J22" si="38">J22</f>
        <v>2500</v>
      </c>
      <c r="K21" s="2">
        <f t="shared" ref="K21:K22" si="39">K22</f>
        <v>0</v>
      </c>
      <c r="L21" s="2">
        <f t="shared" ref="L21:L22" si="40">L22</f>
        <v>2500</v>
      </c>
      <c r="M21" s="2">
        <f t="shared" ref="M21:M22" si="41">M22</f>
        <v>0</v>
      </c>
      <c r="N21" s="2">
        <f t="shared" ref="N21:N22" si="42">N22</f>
        <v>2500</v>
      </c>
      <c r="O21" s="2">
        <f t="shared" ref="O21:O22" si="43">O22</f>
        <v>0</v>
      </c>
      <c r="P21" s="2">
        <f t="shared" ref="P21:P22" si="44">P22</f>
        <v>2500</v>
      </c>
      <c r="Q21" s="2">
        <f t="shared" ref="Q21:Q22" si="45">Q22</f>
        <v>0</v>
      </c>
      <c r="R21" s="2"/>
      <c r="S21" s="2"/>
      <c r="T21" s="2"/>
      <c r="U21" s="2">
        <f t="shared" ref="U21:U22" si="46">U22</f>
        <v>2500</v>
      </c>
      <c r="V21" s="74"/>
    </row>
    <row r="22" spans="1:22" ht="15.75" customHeight="1" x14ac:dyDescent="0.25">
      <c r="A22" s="15"/>
      <c r="B22" s="253" t="s">
        <v>27</v>
      </c>
      <c r="C22" s="252"/>
      <c r="D22" s="252"/>
      <c r="E22" s="219">
        <v>851</v>
      </c>
      <c r="F22" s="1" t="s">
        <v>17</v>
      </c>
      <c r="G22" s="1" t="s">
        <v>6</v>
      </c>
      <c r="H22" s="1" t="s">
        <v>482</v>
      </c>
      <c r="I22" s="1" t="s">
        <v>28</v>
      </c>
      <c r="J22" s="2">
        <f t="shared" si="38"/>
        <v>2500</v>
      </c>
      <c r="K22" s="2">
        <f t="shared" si="39"/>
        <v>0</v>
      </c>
      <c r="L22" s="2">
        <f t="shared" si="40"/>
        <v>2500</v>
      </c>
      <c r="M22" s="2">
        <f t="shared" si="41"/>
        <v>0</v>
      </c>
      <c r="N22" s="2">
        <f t="shared" si="42"/>
        <v>2500</v>
      </c>
      <c r="O22" s="2">
        <f t="shared" si="43"/>
        <v>0</v>
      </c>
      <c r="P22" s="2">
        <f t="shared" si="44"/>
        <v>2500</v>
      </c>
      <c r="Q22" s="2">
        <f t="shared" si="45"/>
        <v>0</v>
      </c>
      <c r="R22" s="2"/>
      <c r="S22" s="2"/>
      <c r="T22" s="2"/>
      <c r="U22" s="2">
        <f t="shared" si="46"/>
        <v>2500</v>
      </c>
      <c r="V22" s="74"/>
    </row>
    <row r="23" spans="1:22" ht="23.25" customHeight="1" x14ac:dyDescent="0.25">
      <c r="A23" s="15"/>
      <c r="B23" s="253" t="s">
        <v>29</v>
      </c>
      <c r="C23" s="253"/>
      <c r="D23" s="253"/>
      <c r="E23" s="219">
        <v>851</v>
      </c>
      <c r="F23" s="1" t="s">
        <v>17</v>
      </c>
      <c r="G23" s="1" t="s">
        <v>6</v>
      </c>
      <c r="H23" s="1" t="s">
        <v>482</v>
      </c>
      <c r="I23" s="1" t="s">
        <v>30</v>
      </c>
      <c r="J23" s="2">
        <f>2500</f>
        <v>2500</v>
      </c>
      <c r="K23" s="2"/>
      <c r="L23" s="2">
        <f t="shared" si="7"/>
        <v>2500</v>
      </c>
      <c r="M23" s="2"/>
      <c r="N23" s="2">
        <f t="shared" si="8"/>
        <v>2500</v>
      </c>
      <c r="O23" s="2"/>
      <c r="P23" s="2">
        <f>N23+O23</f>
        <v>2500</v>
      </c>
      <c r="Q23" s="2"/>
      <c r="R23" s="2"/>
      <c r="S23" s="2"/>
      <c r="T23" s="2"/>
      <c r="U23" s="2">
        <f t="shared" si="9"/>
        <v>2500</v>
      </c>
      <c r="V23" s="89"/>
    </row>
    <row r="24" spans="1:22" hidden="1" x14ac:dyDescent="0.25">
      <c r="A24" s="508" t="s">
        <v>495</v>
      </c>
      <c r="B24" s="508"/>
      <c r="C24" s="253"/>
      <c r="D24" s="253"/>
      <c r="E24" s="16">
        <v>851</v>
      </c>
      <c r="F24" s="11" t="s">
        <v>17</v>
      </c>
      <c r="G24" s="11" t="s">
        <v>63</v>
      </c>
      <c r="H24" s="11"/>
      <c r="I24" s="11"/>
      <c r="J24" s="12">
        <f>J25</f>
        <v>0</v>
      </c>
      <c r="K24" s="12">
        <f t="shared" ref="K24:Q26" si="47">K25</f>
        <v>0</v>
      </c>
      <c r="L24" s="2">
        <f t="shared" si="7"/>
        <v>0</v>
      </c>
      <c r="M24" s="12">
        <f t="shared" si="47"/>
        <v>0</v>
      </c>
      <c r="N24" s="2">
        <f t="shared" si="8"/>
        <v>0</v>
      </c>
      <c r="O24" s="12">
        <f t="shared" si="47"/>
        <v>0</v>
      </c>
      <c r="P24" s="2">
        <f>N24+O24</f>
        <v>0</v>
      </c>
      <c r="Q24" s="12">
        <f t="shared" si="47"/>
        <v>0</v>
      </c>
      <c r="R24" s="12"/>
      <c r="S24" s="12"/>
      <c r="T24" s="12"/>
      <c r="U24" s="2">
        <f t="shared" si="9"/>
        <v>0</v>
      </c>
      <c r="V24" s="89"/>
    </row>
    <row r="25" spans="1:22" ht="49.5" hidden="1" customHeight="1" x14ac:dyDescent="0.25">
      <c r="A25" s="509" t="s">
        <v>496</v>
      </c>
      <c r="B25" s="509"/>
      <c r="C25" s="253"/>
      <c r="D25" s="253"/>
      <c r="E25" s="219">
        <v>851</v>
      </c>
      <c r="F25" s="1" t="s">
        <v>17</v>
      </c>
      <c r="G25" s="1" t="s">
        <v>63</v>
      </c>
      <c r="H25" s="1" t="s">
        <v>497</v>
      </c>
      <c r="I25" s="1"/>
      <c r="J25" s="2">
        <f>J26</f>
        <v>0</v>
      </c>
      <c r="K25" s="2">
        <f t="shared" si="47"/>
        <v>0</v>
      </c>
      <c r="L25" s="2">
        <f t="shared" si="7"/>
        <v>0</v>
      </c>
      <c r="M25" s="2">
        <f t="shared" si="47"/>
        <v>0</v>
      </c>
      <c r="N25" s="2">
        <f t="shared" si="8"/>
        <v>0</v>
      </c>
      <c r="O25" s="2">
        <f t="shared" si="47"/>
        <v>0</v>
      </c>
      <c r="P25" s="2">
        <f>N25+O25</f>
        <v>0</v>
      </c>
      <c r="Q25" s="2">
        <f t="shared" si="47"/>
        <v>0</v>
      </c>
      <c r="R25" s="2"/>
      <c r="S25" s="2"/>
      <c r="T25" s="2"/>
      <c r="U25" s="2">
        <f t="shared" si="9"/>
        <v>0</v>
      </c>
      <c r="V25" s="89"/>
    </row>
    <row r="26" spans="1:22" hidden="1" x14ac:dyDescent="0.25">
      <c r="A26" s="15"/>
      <c r="B26" s="253" t="s">
        <v>27</v>
      </c>
      <c r="C26" s="252"/>
      <c r="D26" s="252"/>
      <c r="E26" s="219">
        <v>851</v>
      </c>
      <c r="F26" s="1" t="s">
        <v>17</v>
      </c>
      <c r="G26" s="1" t="s">
        <v>63</v>
      </c>
      <c r="H26" s="1" t="s">
        <v>497</v>
      </c>
      <c r="I26" s="1" t="s">
        <v>28</v>
      </c>
      <c r="J26" s="2">
        <f>J27</f>
        <v>0</v>
      </c>
      <c r="K26" s="2">
        <f t="shared" si="47"/>
        <v>0</v>
      </c>
      <c r="L26" s="2">
        <f t="shared" si="7"/>
        <v>0</v>
      </c>
      <c r="M26" s="2">
        <f t="shared" si="47"/>
        <v>0</v>
      </c>
      <c r="N26" s="2">
        <f t="shared" si="8"/>
        <v>0</v>
      </c>
      <c r="O26" s="2">
        <f t="shared" si="47"/>
        <v>0</v>
      </c>
      <c r="P26" s="2">
        <f>N26+O26</f>
        <v>0</v>
      </c>
      <c r="Q26" s="2">
        <f t="shared" si="47"/>
        <v>0</v>
      </c>
      <c r="R26" s="2"/>
      <c r="S26" s="2"/>
      <c r="T26" s="2"/>
      <c r="U26" s="2">
        <f t="shared" si="9"/>
        <v>0</v>
      </c>
      <c r="V26" s="89"/>
    </row>
    <row r="27" spans="1:22" ht="24" hidden="1" x14ac:dyDescent="0.25">
      <c r="A27" s="15"/>
      <c r="B27" s="253" t="s">
        <v>29</v>
      </c>
      <c r="C27" s="253"/>
      <c r="D27" s="253"/>
      <c r="E27" s="219">
        <v>851</v>
      </c>
      <c r="F27" s="1" t="s">
        <v>17</v>
      </c>
      <c r="G27" s="1" t="s">
        <v>63</v>
      </c>
      <c r="H27" s="1" t="s">
        <v>497</v>
      </c>
      <c r="I27" s="1" t="s">
        <v>30</v>
      </c>
      <c r="J27" s="2">
        <v>0</v>
      </c>
      <c r="K27" s="2">
        <v>0</v>
      </c>
      <c r="L27" s="2">
        <f t="shared" si="7"/>
        <v>0</v>
      </c>
      <c r="M27" s="2">
        <v>0</v>
      </c>
      <c r="N27" s="2">
        <f t="shared" si="8"/>
        <v>0</v>
      </c>
      <c r="O27" s="2">
        <v>0</v>
      </c>
      <c r="P27" s="2">
        <f>N27+O27</f>
        <v>0</v>
      </c>
      <c r="Q27" s="2">
        <v>0</v>
      </c>
      <c r="R27" s="2"/>
      <c r="S27" s="2"/>
      <c r="T27" s="2"/>
      <c r="U27" s="2">
        <f t="shared" si="9"/>
        <v>0</v>
      </c>
      <c r="V27" s="89"/>
    </row>
    <row r="28" spans="1:22" x14ac:dyDescent="0.25">
      <c r="A28" s="512" t="s">
        <v>646</v>
      </c>
      <c r="B28" s="512"/>
      <c r="C28" s="417"/>
      <c r="D28" s="417"/>
      <c r="E28" s="16">
        <v>851</v>
      </c>
      <c r="F28" s="11" t="s">
        <v>17</v>
      </c>
      <c r="G28" s="11" t="s">
        <v>36</v>
      </c>
      <c r="H28" s="11"/>
      <c r="I28" s="11"/>
      <c r="J28" s="2"/>
      <c r="K28" s="2"/>
      <c r="L28" s="2"/>
      <c r="M28" s="2"/>
      <c r="N28" s="12">
        <f>N29</f>
        <v>0</v>
      </c>
      <c r="O28" s="12">
        <f t="shared" ref="O28:U30" si="48">O29</f>
        <v>25600</v>
      </c>
      <c r="P28" s="12">
        <f t="shared" si="48"/>
        <v>25600</v>
      </c>
      <c r="Q28" s="12">
        <f t="shared" si="48"/>
        <v>0</v>
      </c>
      <c r="R28" s="12"/>
      <c r="S28" s="12"/>
      <c r="T28" s="12"/>
      <c r="U28" s="12">
        <f t="shared" si="48"/>
        <v>25600</v>
      </c>
      <c r="V28" s="89"/>
    </row>
    <row r="29" spans="1:22" x14ac:dyDescent="0.25">
      <c r="A29" s="513" t="s">
        <v>647</v>
      </c>
      <c r="B29" s="513"/>
      <c r="C29" s="416"/>
      <c r="D29" s="416"/>
      <c r="E29" s="219">
        <v>851</v>
      </c>
      <c r="F29" s="1" t="s">
        <v>17</v>
      </c>
      <c r="G29" s="1" t="s">
        <v>36</v>
      </c>
      <c r="H29" s="1" t="s">
        <v>648</v>
      </c>
      <c r="I29" s="1"/>
      <c r="J29" s="2"/>
      <c r="K29" s="2"/>
      <c r="L29" s="2"/>
      <c r="M29" s="2"/>
      <c r="N29" s="2">
        <f>N30</f>
        <v>0</v>
      </c>
      <c r="O29" s="2">
        <f t="shared" si="48"/>
        <v>25600</v>
      </c>
      <c r="P29" s="2">
        <f t="shared" si="48"/>
        <v>25600</v>
      </c>
      <c r="Q29" s="2">
        <f t="shared" si="48"/>
        <v>0</v>
      </c>
      <c r="R29" s="2"/>
      <c r="S29" s="2"/>
      <c r="T29" s="2"/>
      <c r="U29" s="2">
        <f t="shared" si="48"/>
        <v>25600</v>
      </c>
      <c r="V29" s="89"/>
    </row>
    <row r="30" spans="1:22" x14ac:dyDescent="0.25">
      <c r="A30" s="15"/>
      <c r="B30" s="416" t="s">
        <v>31</v>
      </c>
      <c r="C30" s="416"/>
      <c r="D30" s="416"/>
      <c r="E30" s="219">
        <v>851</v>
      </c>
      <c r="F30" s="1" t="s">
        <v>17</v>
      </c>
      <c r="G30" s="1" t="s">
        <v>36</v>
      </c>
      <c r="H30" s="1" t="s">
        <v>648</v>
      </c>
      <c r="I30" s="1" t="s">
        <v>32</v>
      </c>
      <c r="J30" s="2"/>
      <c r="K30" s="2"/>
      <c r="L30" s="2"/>
      <c r="M30" s="2"/>
      <c r="N30" s="2">
        <f>N31</f>
        <v>0</v>
      </c>
      <c r="O30" s="2">
        <f t="shared" si="48"/>
        <v>25600</v>
      </c>
      <c r="P30" s="2">
        <f t="shared" si="48"/>
        <v>25600</v>
      </c>
      <c r="Q30" s="2">
        <f t="shared" si="48"/>
        <v>0</v>
      </c>
      <c r="R30" s="2"/>
      <c r="S30" s="2"/>
      <c r="T30" s="2"/>
      <c r="U30" s="2">
        <f t="shared" si="48"/>
        <v>25600</v>
      </c>
      <c r="V30" s="89"/>
    </row>
    <row r="31" spans="1:22" x14ac:dyDescent="0.25">
      <c r="A31" s="15"/>
      <c r="B31" s="416" t="s">
        <v>649</v>
      </c>
      <c r="C31" s="416"/>
      <c r="D31" s="416"/>
      <c r="E31" s="219">
        <v>851</v>
      </c>
      <c r="F31" s="1" t="s">
        <v>17</v>
      </c>
      <c r="G31" s="1" t="s">
        <v>36</v>
      </c>
      <c r="H31" s="1" t="s">
        <v>648</v>
      </c>
      <c r="I31" s="1" t="s">
        <v>650</v>
      </c>
      <c r="J31" s="2"/>
      <c r="K31" s="2"/>
      <c r="L31" s="2"/>
      <c r="M31" s="2"/>
      <c r="N31" s="2"/>
      <c r="O31" s="2">
        <v>25600</v>
      </c>
      <c r="P31" s="2">
        <f>N31+O31</f>
        <v>25600</v>
      </c>
      <c r="Q31" s="2"/>
      <c r="R31" s="2"/>
      <c r="S31" s="2"/>
      <c r="T31" s="2"/>
      <c r="U31" s="2">
        <f>P31+Q31</f>
        <v>25600</v>
      </c>
      <c r="V31" s="89"/>
    </row>
    <row r="32" spans="1:22" s="13" customFormat="1" ht="13.5" customHeight="1" x14ac:dyDescent="0.25">
      <c r="A32" s="508" t="s">
        <v>37</v>
      </c>
      <c r="B32" s="508"/>
      <c r="C32" s="298"/>
      <c r="D32" s="298"/>
      <c r="E32" s="219">
        <v>851</v>
      </c>
      <c r="F32" s="11" t="s">
        <v>17</v>
      </c>
      <c r="G32" s="11" t="s">
        <v>38</v>
      </c>
      <c r="H32" s="11"/>
      <c r="I32" s="11"/>
      <c r="J32" s="12">
        <f t="shared" ref="J32:U34" si="49">J33</f>
        <v>200000</v>
      </c>
      <c r="K32" s="12">
        <f t="shared" si="49"/>
        <v>0</v>
      </c>
      <c r="L32" s="12">
        <f t="shared" si="49"/>
        <v>200000</v>
      </c>
      <c r="M32" s="12">
        <f t="shared" si="49"/>
        <v>0</v>
      </c>
      <c r="N32" s="12">
        <f t="shared" si="49"/>
        <v>200000</v>
      </c>
      <c r="O32" s="12">
        <f t="shared" si="49"/>
        <v>-59000</v>
      </c>
      <c r="P32" s="12">
        <f t="shared" si="49"/>
        <v>141000</v>
      </c>
      <c r="Q32" s="12">
        <f t="shared" si="49"/>
        <v>-20000</v>
      </c>
      <c r="R32" s="12">
        <f>SUM(R33:R35)</f>
        <v>0</v>
      </c>
      <c r="S32" s="12">
        <f t="shared" ref="S32:T32" si="50">SUM(S33:S35)</f>
        <v>-20000</v>
      </c>
      <c r="T32" s="12">
        <f t="shared" si="50"/>
        <v>0</v>
      </c>
      <c r="U32" s="12">
        <f t="shared" si="49"/>
        <v>121000</v>
      </c>
      <c r="V32" s="415"/>
    </row>
    <row r="33" spans="1:22" ht="13.5" customHeight="1" x14ac:dyDescent="0.25">
      <c r="A33" s="509" t="s">
        <v>40</v>
      </c>
      <c r="B33" s="509"/>
      <c r="C33" s="296"/>
      <c r="D33" s="296"/>
      <c r="E33" s="219">
        <v>851</v>
      </c>
      <c r="F33" s="1" t="s">
        <v>17</v>
      </c>
      <c r="G33" s="1" t="s">
        <v>38</v>
      </c>
      <c r="H33" s="1" t="s">
        <v>39</v>
      </c>
      <c r="I33" s="1"/>
      <c r="J33" s="2">
        <f t="shared" si="49"/>
        <v>200000</v>
      </c>
      <c r="K33" s="2">
        <f t="shared" si="49"/>
        <v>0</v>
      </c>
      <c r="L33" s="2">
        <f t="shared" si="49"/>
        <v>200000</v>
      </c>
      <c r="M33" s="2">
        <f t="shared" si="49"/>
        <v>0</v>
      </c>
      <c r="N33" s="2">
        <f t="shared" si="49"/>
        <v>200000</v>
      </c>
      <c r="O33" s="2">
        <f t="shared" si="49"/>
        <v>-59000</v>
      </c>
      <c r="P33" s="2">
        <f t="shared" si="49"/>
        <v>141000</v>
      </c>
      <c r="Q33" s="2">
        <f t="shared" si="49"/>
        <v>-20000</v>
      </c>
      <c r="R33" s="2"/>
      <c r="S33" s="2"/>
      <c r="T33" s="2"/>
      <c r="U33" s="2">
        <f t="shared" si="49"/>
        <v>121000</v>
      </c>
      <c r="V33" s="74"/>
    </row>
    <row r="34" spans="1:22" ht="13.5" customHeight="1" x14ac:dyDescent="0.25">
      <c r="A34" s="15"/>
      <c r="B34" s="296" t="s">
        <v>31</v>
      </c>
      <c r="C34" s="296"/>
      <c r="D34" s="296"/>
      <c r="E34" s="219">
        <v>851</v>
      </c>
      <c r="F34" s="1" t="s">
        <v>17</v>
      </c>
      <c r="G34" s="1" t="s">
        <v>38</v>
      </c>
      <c r="H34" s="1" t="s">
        <v>39</v>
      </c>
      <c r="I34" s="1" t="s">
        <v>32</v>
      </c>
      <c r="J34" s="2">
        <f t="shared" si="49"/>
        <v>200000</v>
      </c>
      <c r="K34" s="2">
        <f t="shared" si="49"/>
        <v>0</v>
      </c>
      <c r="L34" s="2">
        <f t="shared" si="49"/>
        <v>200000</v>
      </c>
      <c r="M34" s="2">
        <f t="shared" si="49"/>
        <v>0</v>
      </c>
      <c r="N34" s="2">
        <f t="shared" si="49"/>
        <v>200000</v>
      </c>
      <c r="O34" s="2">
        <f t="shared" si="49"/>
        <v>-59000</v>
      </c>
      <c r="P34" s="2">
        <f t="shared" si="49"/>
        <v>141000</v>
      </c>
      <c r="Q34" s="2">
        <f t="shared" si="49"/>
        <v>-20000</v>
      </c>
      <c r="R34" s="2"/>
      <c r="S34" s="2"/>
      <c r="T34" s="2"/>
      <c r="U34" s="2">
        <f t="shared" si="49"/>
        <v>121000</v>
      </c>
      <c r="V34" s="74"/>
    </row>
    <row r="35" spans="1:22" ht="13.5" customHeight="1" x14ac:dyDescent="0.25">
      <c r="A35" s="15"/>
      <c r="B35" s="295" t="s">
        <v>41</v>
      </c>
      <c r="C35" s="295"/>
      <c r="D35" s="295"/>
      <c r="E35" s="219">
        <v>851</v>
      </c>
      <c r="F35" s="1" t="s">
        <v>17</v>
      </c>
      <c r="G35" s="1" t="s">
        <v>38</v>
      </c>
      <c r="H35" s="1" t="s">
        <v>39</v>
      </c>
      <c r="I35" s="1" t="s">
        <v>42</v>
      </c>
      <c r="J35" s="2">
        <v>200000</v>
      </c>
      <c r="K35" s="2"/>
      <c r="L35" s="2">
        <f t="shared" si="7"/>
        <v>200000</v>
      </c>
      <c r="M35" s="2"/>
      <c r="N35" s="2">
        <f t="shared" ref="N35" si="51">L35+M35</f>
        <v>200000</v>
      </c>
      <c r="O35" s="2">
        <v>-59000</v>
      </c>
      <c r="P35" s="2">
        <f>N35+O35</f>
        <v>141000</v>
      </c>
      <c r="Q35" s="2">
        <v>-20000</v>
      </c>
      <c r="R35" s="2"/>
      <c r="S35" s="2">
        <f>Q35</f>
        <v>-20000</v>
      </c>
      <c r="T35" s="2"/>
      <c r="U35" s="2">
        <f t="shared" ref="U35" si="52">P35+Q35</f>
        <v>121000</v>
      </c>
      <c r="V35" s="89"/>
    </row>
    <row r="36" spans="1:22" s="13" customFormat="1" ht="13.5" customHeight="1" x14ac:dyDescent="0.25">
      <c r="A36" s="508" t="s">
        <v>43</v>
      </c>
      <c r="B36" s="508"/>
      <c r="C36" s="298"/>
      <c r="D36" s="298"/>
      <c r="E36" s="219">
        <v>851</v>
      </c>
      <c r="F36" s="11" t="s">
        <v>17</v>
      </c>
      <c r="G36" s="11" t="s">
        <v>44</v>
      </c>
      <c r="H36" s="11"/>
      <c r="I36" s="11"/>
      <c r="J36" s="12">
        <f>J37+J42+J45+J48+J53+J56</f>
        <v>6237700</v>
      </c>
      <c r="K36" s="12">
        <f>K37+K42+K45+K48+K53+K56</f>
        <v>803088</v>
      </c>
      <c r="L36" s="12">
        <f>L37+L42+L45+L48+L53+L56+L59</f>
        <v>7040788</v>
      </c>
      <c r="M36" s="12">
        <f t="shared" ref="M36:N36" si="53">M37+M42+M45+M48+M53+M56+M59</f>
        <v>-23856</v>
      </c>
      <c r="N36" s="12">
        <f t="shared" si="53"/>
        <v>7016932</v>
      </c>
      <c r="O36" s="12">
        <f t="shared" ref="O36:Q36" si="54">O37+O42+O45+O48+O53+O56+O59</f>
        <v>1200000</v>
      </c>
      <c r="P36" s="12">
        <f t="shared" ref="P36:U36" si="55">P37+P42+P45+P48+P53+P56+P59</f>
        <v>8216932</v>
      </c>
      <c r="Q36" s="12">
        <f t="shared" si="54"/>
        <v>-14484</v>
      </c>
      <c r="R36" s="12">
        <f>SUM(R37:R63)</f>
        <v>0</v>
      </c>
      <c r="S36" s="12">
        <f t="shared" ref="S36:T36" si="56">SUM(S37:S63)</f>
        <v>-14484</v>
      </c>
      <c r="T36" s="12">
        <f t="shared" si="56"/>
        <v>0</v>
      </c>
      <c r="U36" s="12">
        <f t="shared" si="55"/>
        <v>8202448</v>
      </c>
      <c r="V36" s="31"/>
    </row>
    <row r="37" spans="1:22" ht="52.5" customHeight="1" x14ac:dyDescent="0.25">
      <c r="A37" s="509" t="s">
        <v>45</v>
      </c>
      <c r="B37" s="509"/>
      <c r="C37" s="219"/>
      <c r="D37" s="219"/>
      <c r="E37" s="219">
        <v>851</v>
      </c>
      <c r="F37" s="1" t="s">
        <v>17</v>
      </c>
      <c r="G37" s="1" t="s">
        <v>44</v>
      </c>
      <c r="H37" s="1" t="s">
        <v>46</v>
      </c>
      <c r="I37" s="1"/>
      <c r="J37" s="2">
        <f>J38+J40</f>
        <v>340700</v>
      </c>
      <c r="K37" s="2">
        <f t="shared" ref="K37:U37" si="57">K38+K40</f>
        <v>0</v>
      </c>
      <c r="L37" s="2">
        <f t="shared" si="57"/>
        <v>340700</v>
      </c>
      <c r="M37" s="2">
        <f t="shared" si="57"/>
        <v>-23856</v>
      </c>
      <c r="N37" s="2">
        <f t="shared" si="57"/>
        <v>316844</v>
      </c>
      <c r="O37" s="2">
        <f t="shared" si="57"/>
        <v>0</v>
      </c>
      <c r="P37" s="2">
        <f t="shared" si="57"/>
        <v>316844</v>
      </c>
      <c r="Q37" s="2">
        <f t="shared" si="57"/>
        <v>0</v>
      </c>
      <c r="R37" s="2"/>
      <c r="S37" s="2"/>
      <c r="T37" s="2"/>
      <c r="U37" s="2">
        <f t="shared" si="57"/>
        <v>316844</v>
      </c>
      <c r="V37" s="74"/>
    </row>
    <row r="38" spans="1:22" ht="36.75" customHeight="1" x14ac:dyDescent="0.25">
      <c r="A38" s="15"/>
      <c r="B38" s="252" t="s">
        <v>21</v>
      </c>
      <c r="C38" s="219"/>
      <c r="D38" s="219"/>
      <c r="E38" s="219">
        <v>851</v>
      </c>
      <c r="F38" s="1" t="s">
        <v>17</v>
      </c>
      <c r="G38" s="1" t="s">
        <v>44</v>
      </c>
      <c r="H38" s="1" t="s">
        <v>46</v>
      </c>
      <c r="I38" s="1" t="s">
        <v>23</v>
      </c>
      <c r="J38" s="2">
        <f t="shared" ref="J38" si="58">J39</f>
        <v>216840</v>
      </c>
      <c r="K38" s="2">
        <f t="shared" ref="K38" si="59">K39</f>
        <v>0</v>
      </c>
      <c r="L38" s="2">
        <f t="shared" ref="L38" si="60">L39</f>
        <v>216840</v>
      </c>
      <c r="M38" s="2">
        <f t="shared" ref="M38" si="61">M39</f>
        <v>0</v>
      </c>
      <c r="N38" s="2">
        <f t="shared" ref="N38" si="62">N39</f>
        <v>216840</v>
      </c>
      <c r="O38" s="2">
        <f t="shared" ref="O38" si="63">O39</f>
        <v>0</v>
      </c>
      <c r="P38" s="2">
        <f t="shared" ref="P38" si="64">P39</f>
        <v>216840</v>
      </c>
      <c r="Q38" s="2">
        <f t="shared" ref="Q38" si="65">Q39</f>
        <v>0</v>
      </c>
      <c r="R38" s="2"/>
      <c r="S38" s="2"/>
      <c r="T38" s="2"/>
      <c r="U38" s="2">
        <f t="shared" ref="U38" si="66">U39</f>
        <v>216840</v>
      </c>
      <c r="V38" s="74"/>
    </row>
    <row r="39" spans="1:22" ht="13.5" customHeight="1" x14ac:dyDescent="0.25">
      <c r="A39" s="15"/>
      <c r="B39" s="252" t="s">
        <v>24</v>
      </c>
      <c r="C39" s="219"/>
      <c r="D39" s="219"/>
      <c r="E39" s="219">
        <v>851</v>
      </c>
      <c r="F39" s="1" t="s">
        <v>17</v>
      </c>
      <c r="G39" s="1" t="s">
        <v>44</v>
      </c>
      <c r="H39" s="1" t="s">
        <v>46</v>
      </c>
      <c r="I39" s="1" t="s">
        <v>25</v>
      </c>
      <c r="J39" s="2">
        <v>216840</v>
      </c>
      <c r="K39" s="2"/>
      <c r="L39" s="2">
        <f t="shared" si="7"/>
        <v>216840</v>
      </c>
      <c r="M39" s="313"/>
      <c r="N39" s="2">
        <f t="shared" ref="N39:N58" si="67">L39+M39</f>
        <v>216840</v>
      </c>
      <c r="O39" s="2"/>
      <c r="P39" s="2">
        <f>N39+O39</f>
        <v>216840</v>
      </c>
      <c r="Q39" s="2"/>
      <c r="R39" s="2"/>
      <c r="S39" s="2"/>
      <c r="T39" s="2"/>
      <c r="U39" s="2">
        <f t="shared" ref="U39:U58" si="68">P39+Q39</f>
        <v>216840</v>
      </c>
      <c r="V39" s="89"/>
    </row>
    <row r="40" spans="1:22" ht="14.25" customHeight="1" x14ac:dyDescent="0.25">
      <c r="A40" s="15"/>
      <c r="B40" s="253" t="s">
        <v>27</v>
      </c>
      <c r="C40" s="219"/>
      <c r="D40" s="219"/>
      <c r="E40" s="219">
        <v>851</v>
      </c>
      <c r="F40" s="1" t="s">
        <v>17</v>
      </c>
      <c r="G40" s="1" t="s">
        <v>44</v>
      </c>
      <c r="H40" s="1" t="s">
        <v>46</v>
      </c>
      <c r="I40" s="1" t="s">
        <v>28</v>
      </c>
      <c r="J40" s="2">
        <f t="shared" ref="J40" si="69">J41</f>
        <v>123860</v>
      </c>
      <c r="K40" s="2">
        <f t="shared" ref="K40" si="70">K41</f>
        <v>0</v>
      </c>
      <c r="L40" s="2">
        <f t="shared" ref="L40" si="71">L41</f>
        <v>123860</v>
      </c>
      <c r="M40" s="2">
        <f t="shared" ref="M40" si="72">M41</f>
        <v>-23856</v>
      </c>
      <c r="N40" s="2">
        <f t="shared" ref="N40" si="73">N41</f>
        <v>100004</v>
      </c>
      <c r="O40" s="2">
        <f t="shared" ref="O40" si="74">O41</f>
        <v>0</v>
      </c>
      <c r="P40" s="2">
        <f t="shared" ref="P40" si="75">P41</f>
        <v>100004</v>
      </c>
      <c r="Q40" s="2">
        <f t="shared" ref="Q40" si="76">Q41</f>
        <v>0</v>
      </c>
      <c r="R40" s="2"/>
      <c r="S40" s="2"/>
      <c r="T40" s="2"/>
      <c r="U40" s="2">
        <f t="shared" ref="U40" si="77">U41</f>
        <v>100004</v>
      </c>
      <c r="V40" s="74"/>
    </row>
    <row r="41" spans="1:22" ht="25.5" customHeight="1" x14ac:dyDescent="0.25">
      <c r="A41" s="15"/>
      <c r="B41" s="253" t="s">
        <v>29</v>
      </c>
      <c r="C41" s="219"/>
      <c r="D41" s="219"/>
      <c r="E41" s="219">
        <v>851</v>
      </c>
      <c r="F41" s="1" t="s">
        <v>17</v>
      </c>
      <c r="G41" s="1" t="s">
        <v>44</v>
      </c>
      <c r="H41" s="1" t="s">
        <v>46</v>
      </c>
      <c r="I41" s="1" t="s">
        <v>30</v>
      </c>
      <c r="J41" s="2">
        <f>123860</f>
        <v>123860</v>
      </c>
      <c r="K41" s="2"/>
      <c r="L41" s="2">
        <f t="shared" si="7"/>
        <v>123860</v>
      </c>
      <c r="M41" s="313">
        <f>-23849-7</f>
        <v>-23856</v>
      </c>
      <c r="N41" s="2">
        <f t="shared" si="67"/>
        <v>100004</v>
      </c>
      <c r="O41" s="313"/>
      <c r="P41" s="2">
        <f>N41+O41</f>
        <v>100004</v>
      </c>
      <c r="Q41" s="313"/>
      <c r="R41" s="313"/>
      <c r="S41" s="313"/>
      <c r="T41" s="313"/>
      <c r="U41" s="2">
        <f t="shared" si="68"/>
        <v>100004</v>
      </c>
      <c r="V41" s="89"/>
    </row>
    <row r="42" spans="1:22" ht="26.25" customHeight="1" x14ac:dyDescent="0.25">
      <c r="A42" s="509" t="s">
        <v>51</v>
      </c>
      <c r="B42" s="509"/>
      <c r="C42" s="253"/>
      <c r="D42" s="253"/>
      <c r="E42" s="219">
        <v>851</v>
      </c>
      <c r="F42" s="1" t="s">
        <v>22</v>
      </c>
      <c r="G42" s="18" t="s">
        <v>44</v>
      </c>
      <c r="H42" s="1" t="s">
        <v>52</v>
      </c>
      <c r="I42" s="1"/>
      <c r="J42" s="2">
        <f t="shared" ref="J42:J43" si="78">J43</f>
        <v>450000</v>
      </c>
      <c r="K42" s="2">
        <f t="shared" ref="K42:K43" si="79">K43</f>
        <v>0</v>
      </c>
      <c r="L42" s="2">
        <f t="shared" ref="L42:L43" si="80">L43</f>
        <v>450000</v>
      </c>
      <c r="M42" s="2">
        <f t="shared" ref="M42:M43" si="81">M43</f>
        <v>0</v>
      </c>
      <c r="N42" s="2">
        <f t="shared" ref="N42:N43" si="82">N43</f>
        <v>450000</v>
      </c>
      <c r="O42" s="2">
        <f t="shared" ref="O42:O43" si="83">O43</f>
        <v>0</v>
      </c>
      <c r="P42" s="2">
        <f t="shared" ref="P42:P43" si="84">P43</f>
        <v>450000</v>
      </c>
      <c r="Q42" s="2">
        <f t="shared" ref="Q42:Q43" si="85">Q43</f>
        <v>0</v>
      </c>
      <c r="R42" s="2"/>
      <c r="S42" s="2"/>
      <c r="T42" s="2"/>
      <c r="U42" s="2">
        <f t="shared" ref="U42:U43" si="86">U43</f>
        <v>450000</v>
      </c>
      <c r="V42" s="74"/>
    </row>
    <row r="43" spans="1:22" ht="15" customHeight="1" x14ac:dyDescent="0.25">
      <c r="A43" s="15"/>
      <c r="B43" s="253" t="s">
        <v>27</v>
      </c>
      <c r="C43" s="252"/>
      <c r="D43" s="252"/>
      <c r="E43" s="219">
        <v>851</v>
      </c>
      <c r="F43" s="1" t="s">
        <v>17</v>
      </c>
      <c r="G43" s="1" t="s">
        <v>44</v>
      </c>
      <c r="H43" s="1" t="s">
        <v>52</v>
      </c>
      <c r="I43" s="1" t="s">
        <v>28</v>
      </c>
      <c r="J43" s="2">
        <f t="shared" si="78"/>
        <v>450000</v>
      </c>
      <c r="K43" s="2">
        <f t="shared" si="79"/>
        <v>0</v>
      </c>
      <c r="L43" s="2">
        <f t="shared" si="80"/>
        <v>450000</v>
      </c>
      <c r="M43" s="2">
        <f t="shared" si="81"/>
        <v>0</v>
      </c>
      <c r="N43" s="2">
        <f t="shared" si="82"/>
        <v>450000</v>
      </c>
      <c r="O43" s="2">
        <f t="shared" si="83"/>
        <v>0</v>
      </c>
      <c r="P43" s="2">
        <f t="shared" si="84"/>
        <v>450000</v>
      </c>
      <c r="Q43" s="2">
        <f t="shared" si="85"/>
        <v>0</v>
      </c>
      <c r="R43" s="2"/>
      <c r="S43" s="2"/>
      <c r="T43" s="2"/>
      <c r="U43" s="2">
        <f t="shared" si="86"/>
        <v>450000</v>
      </c>
      <c r="V43" s="74"/>
    </row>
    <row r="44" spans="1:22" ht="24.75" customHeight="1" x14ac:dyDescent="0.25">
      <c r="A44" s="15"/>
      <c r="B44" s="253" t="s">
        <v>29</v>
      </c>
      <c r="C44" s="253"/>
      <c r="D44" s="253"/>
      <c r="E44" s="219">
        <v>851</v>
      </c>
      <c r="F44" s="1" t="s">
        <v>17</v>
      </c>
      <c r="G44" s="1" t="s">
        <v>44</v>
      </c>
      <c r="H44" s="1" t="s">
        <v>52</v>
      </c>
      <c r="I44" s="1" t="s">
        <v>30</v>
      </c>
      <c r="J44" s="2">
        <v>450000</v>
      </c>
      <c r="K44" s="2"/>
      <c r="L44" s="2">
        <f t="shared" si="7"/>
        <v>450000</v>
      </c>
      <c r="M44" s="2"/>
      <c r="N44" s="2">
        <f t="shared" si="67"/>
        <v>450000</v>
      </c>
      <c r="O44" s="2"/>
      <c r="P44" s="2">
        <f>N44+O44</f>
        <v>450000</v>
      </c>
      <c r="Q44" s="2"/>
      <c r="R44" s="2"/>
      <c r="S44" s="2"/>
      <c r="T44" s="2"/>
      <c r="U44" s="2">
        <f t="shared" si="68"/>
        <v>450000</v>
      </c>
      <c r="V44" s="89"/>
    </row>
    <row r="45" spans="1:22" ht="16.5" customHeight="1" x14ac:dyDescent="0.25">
      <c r="A45" s="509" t="s">
        <v>53</v>
      </c>
      <c r="B45" s="509"/>
      <c r="C45" s="257"/>
      <c r="D45" s="257"/>
      <c r="E45" s="219">
        <v>851</v>
      </c>
      <c r="F45" s="1" t="s">
        <v>17</v>
      </c>
      <c r="G45" s="1" t="s">
        <v>44</v>
      </c>
      <c r="H45" s="1" t="s">
        <v>54</v>
      </c>
      <c r="I45" s="1"/>
      <c r="J45" s="2">
        <f t="shared" ref="J45:J46" si="87">J46</f>
        <v>1575000</v>
      </c>
      <c r="K45" s="2">
        <f t="shared" ref="K45:K46" si="88">K46</f>
        <v>0</v>
      </c>
      <c r="L45" s="2">
        <f t="shared" ref="L45:L46" si="89">L46</f>
        <v>1575000</v>
      </c>
      <c r="M45" s="2">
        <f t="shared" ref="M45:M46" si="90">M46</f>
        <v>0</v>
      </c>
      <c r="N45" s="2">
        <f t="shared" ref="N45:N46" si="91">N46</f>
        <v>1575000</v>
      </c>
      <c r="O45" s="2">
        <f t="shared" ref="O45:O46" si="92">O46</f>
        <v>0</v>
      </c>
      <c r="P45" s="2">
        <f t="shared" ref="P45:P46" si="93">P46</f>
        <v>1575000</v>
      </c>
      <c r="Q45" s="2">
        <f t="shared" ref="Q45:Q46" si="94">Q46</f>
        <v>0</v>
      </c>
      <c r="R45" s="2"/>
      <c r="S45" s="2"/>
      <c r="T45" s="2"/>
      <c r="U45" s="2">
        <f t="shared" ref="U45:U46" si="95">U46</f>
        <v>1575000</v>
      </c>
      <c r="V45" s="74"/>
    </row>
    <row r="46" spans="1:22" ht="15" customHeight="1" x14ac:dyDescent="0.25">
      <c r="A46" s="15"/>
      <c r="B46" s="253" t="s">
        <v>27</v>
      </c>
      <c r="C46" s="252"/>
      <c r="D46" s="252"/>
      <c r="E46" s="219">
        <v>851</v>
      </c>
      <c r="F46" s="1" t="s">
        <v>17</v>
      </c>
      <c r="G46" s="1" t="s">
        <v>44</v>
      </c>
      <c r="H46" s="1" t="s">
        <v>54</v>
      </c>
      <c r="I46" s="1" t="s">
        <v>28</v>
      </c>
      <c r="J46" s="2">
        <f t="shared" si="87"/>
        <v>1575000</v>
      </c>
      <c r="K46" s="2">
        <f t="shared" si="88"/>
        <v>0</v>
      </c>
      <c r="L46" s="2">
        <f t="shared" si="89"/>
        <v>1575000</v>
      </c>
      <c r="M46" s="2">
        <f t="shared" si="90"/>
        <v>0</v>
      </c>
      <c r="N46" s="2">
        <f t="shared" si="91"/>
        <v>1575000</v>
      </c>
      <c r="O46" s="2">
        <f t="shared" si="92"/>
        <v>0</v>
      </c>
      <c r="P46" s="2">
        <f t="shared" si="93"/>
        <v>1575000</v>
      </c>
      <c r="Q46" s="2">
        <f t="shared" si="94"/>
        <v>0</v>
      </c>
      <c r="R46" s="2"/>
      <c r="S46" s="2"/>
      <c r="T46" s="2"/>
      <c r="U46" s="2">
        <f t="shared" si="95"/>
        <v>1575000</v>
      </c>
      <c r="V46" s="74"/>
    </row>
    <row r="47" spans="1:22" ht="23.25" customHeight="1" x14ac:dyDescent="0.25">
      <c r="A47" s="15"/>
      <c r="B47" s="253" t="s">
        <v>29</v>
      </c>
      <c r="C47" s="253"/>
      <c r="D47" s="253"/>
      <c r="E47" s="219">
        <v>851</v>
      </c>
      <c r="F47" s="1" t="s">
        <v>17</v>
      </c>
      <c r="G47" s="1" t="s">
        <v>44</v>
      </c>
      <c r="H47" s="1" t="s">
        <v>54</v>
      </c>
      <c r="I47" s="1" t="s">
        <v>30</v>
      </c>
      <c r="J47" s="2">
        <v>1575000</v>
      </c>
      <c r="K47" s="2"/>
      <c r="L47" s="2">
        <f t="shared" si="7"/>
        <v>1575000</v>
      </c>
      <c r="M47" s="2"/>
      <c r="N47" s="2">
        <f t="shared" si="67"/>
        <v>1575000</v>
      </c>
      <c r="O47" s="2"/>
      <c r="P47" s="2">
        <f>N47+O47</f>
        <v>1575000</v>
      </c>
      <c r="Q47" s="2"/>
      <c r="R47" s="2"/>
      <c r="S47" s="2"/>
      <c r="T47" s="2"/>
      <c r="U47" s="2">
        <f t="shared" si="68"/>
        <v>1575000</v>
      </c>
      <c r="V47" s="89"/>
    </row>
    <row r="48" spans="1:22" s="182" customFormat="1" ht="24" customHeight="1" x14ac:dyDescent="0.2">
      <c r="A48" s="510" t="s">
        <v>440</v>
      </c>
      <c r="B48" s="511"/>
      <c r="C48" s="181"/>
      <c r="D48" s="181"/>
      <c r="E48" s="219">
        <v>851</v>
      </c>
      <c r="F48" s="18" t="s">
        <v>17</v>
      </c>
      <c r="G48" s="18" t="s">
        <v>44</v>
      </c>
      <c r="H48" s="18" t="s">
        <v>441</v>
      </c>
      <c r="I48" s="18"/>
      <c r="J48" s="2">
        <f t="shared" ref="J48" si="96">J49+J51</f>
        <v>1572000</v>
      </c>
      <c r="K48" s="2">
        <f t="shared" ref="K48" si="97">K49+K51</f>
        <v>763089</v>
      </c>
      <c r="L48" s="2">
        <f t="shared" ref="L48" si="98">L49+L51</f>
        <v>2335089</v>
      </c>
      <c r="M48" s="2">
        <f t="shared" ref="M48" si="99">M49+M51</f>
        <v>0</v>
      </c>
      <c r="N48" s="2">
        <f t="shared" ref="N48" si="100">N49+N51</f>
        <v>2335089</v>
      </c>
      <c r="O48" s="2">
        <f t="shared" ref="O48" si="101">O49+O51</f>
        <v>0</v>
      </c>
      <c r="P48" s="2">
        <f t="shared" ref="P48" si="102">P49+P51</f>
        <v>2335089</v>
      </c>
      <c r="Q48" s="2">
        <f t="shared" ref="Q48" si="103">Q49+Q51</f>
        <v>0</v>
      </c>
      <c r="R48" s="2"/>
      <c r="S48" s="2"/>
      <c r="T48" s="2"/>
      <c r="U48" s="2">
        <f t="shared" ref="U48" si="104">U49+U51</f>
        <v>2335089</v>
      </c>
      <c r="V48" s="74"/>
    </row>
    <row r="49" spans="1:22" ht="15" customHeight="1" x14ac:dyDescent="0.25">
      <c r="A49" s="15"/>
      <c r="B49" s="253" t="s">
        <v>27</v>
      </c>
      <c r="C49" s="252"/>
      <c r="D49" s="252"/>
      <c r="E49" s="219">
        <v>851</v>
      </c>
      <c r="F49" s="1" t="s">
        <v>17</v>
      </c>
      <c r="G49" s="1" t="s">
        <v>44</v>
      </c>
      <c r="H49" s="18" t="s">
        <v>441</v>
      </c>
      <c r="I49" s="1" t="s">
        <v>28</v>
      </c>
      <c r="J49" s="2">
        <f t="shared" ref="J49" si="105">J50</f>
        <v>172000</v>
      </c>
      <c r="K49" s="2">
        <f t="shared" ref="K49" si="106">K50</f>
        <v>0</v>
      </c>
      <c r="L49" s="2">
        <f t="shared" ref="L49" si="107">L50</f>
        <v>172000</v>
      </c>
      <c r="M49" s="2">
        <f t="shared" ref="M49" si="108">M50</f>
        <v>0</v>
      </c>
      <c r="N49" s="2">
        <f t="shared" ref="N49" si="109">N50</f>
        <v>172000</v>
      </c>
      <c r="O49" s="2">
        <f t="shared" ref="O49" si="110">O50</f>
        <v>0</v>
      </c>
      <c r="P49" s="2">
        <f t="shared" ref="P49" si="111">P50</f>
        <v>172000</v>
      </c>
      <c r="Q49" s="2">
        <f t="shared" ref="Q49" si="112">Q50</f>
        <v>2150404</v>
      </c>
      <c r="R49" s="2"/>
      <c r="S49" s="2"/>
      <c r="T49" s="2"/>
      <c r="U49" s="2">
        <f t="shared" ref="U49" si="113">U50</f>
        <v>2322404</v>
      </c>
      <c r="V49" s="74"/>
    </row>
    <row r="50" spans="1:22" ht="25.5" customHeight="1" x14ac:dyDescent="0.25">
      <c r="A50" s="15"/>
      <c r="B50" s="253" t="s">
        <v>29</v>
      </c>
      <c r="C50" s="253"/>
      <c r="D50" s="253"/>
      <c r="E50" s="219">
        <v>851</v>
      </c>
      <c r="F50" s="1" t="s">
        <v>17</v>
      </c>
      <c r="G50" s="1" t="s">
        <v>44</v>
      </c>
      <c r="H50" s="18" t="s">
        <v>441</v>
      </c>
      <c r="I50" s="1" t="s">
        <v>30</v>
      </c>
      <c r="J50" s="2">
        <v>172000</v>
      </c>
      <c r="K50" s="2"/>
      <c r="L50" s="2">
        <f t="shared" si="7"/>
        <v>172000</v>
      </c>
      <c r="M50" s="2"/>
      <c r="N50" s="2">
        <f t="shared" si="67"/>
        <v>172000</v>
      </c>
      <c r="O50" s="2"/>
      <c r="P50" s="2">
        <f>N50+O50</f>
        <v>172000</v>
      </c>
      <c r="Q50" s="2">
        <v>2150404</v>
      </c>
      <c r="R50" s="2"/>
      <c r="S50" s="2">
        <f>Q50</f>
        <v>2150404</v>
      </c>
      <c r="T50" s="2"/>
      <c r="U50" s="2">
        <f t="shared" si="68"/>
        <v>2322404</v>
      </c>
      <c r="V50" s="89"/>
    </row>
    <row r="51" spans="1:22" s="182" customFormat="1" ht="15.75" customHeight="1" x14ac:dyDescent="0.2">
      <c r="A51" s="252"/>
      <c r="B51" s="253" t="s">
        <v>467</v>
      </c>
      <c r="C51" s="181"/>
      <c r="D51" s="181"/>
      <c r="E51" s="219">
        <v>851</v>
      </c>
      <c r="F51" s="18" t="s">
        <v>17</v>
      </c>
      <c r="G51" s="18" t="s">
        <v>44</v>
      </c>
      <c r="H51" s="18" t="s">
        <v>441</v>
      </c>
      <c r="I51" s="18" t="s">
        <v>75</v>
      </c>
      <c r="J51" s="2">
        <f t="shared" ref="J51" si="114">J52</f>
        <v>1400000</v>
      </c>
      <c r="K51" s="2">
        <f t="shared" ref="K51" si="115">K52</f>
        <v>763089</v>
      </c>
      <c r="L51" s="2">
        <f t="shared" ref="L51" si="116">L52</f>
        <v>2163089</v>
      </c>
      <c r="M51" s="2">
        <f t="shared" ref="M51" si="117">M52</f>
        <v>0</v>
      </c>
      <c r="N51" s="2">
        <f t="shared" ref="N51" si="118">N52</f>
        <v>2163089</v>
      </c>
      <c r="O51" s="2">
        <f t="shared" ref="O51" si="119">O52</f>
        <v>0</v>
      </c>
      <c r="P51" s="2">
        <f t="shared" ref="P51" si="120">P52</f>
        <v>2163089</v>
      </c>
      <c r="Q51" s="2">
        <f t="shared" ref="Q51" si="121">Q52</f>
        <v>-2150404</v>
      </c>
      <c r="R51" s="2"/>
      <c r="S51" s="2"/>
      <c r="T51" s="2"/>
      <c r="U51" s="2">
        <f t="shared" ref="U51" si="122">U52</f>
        <v>12685</v>
      </c>
      <c r="V51" s="74"/>
    </row>
    <row r="52" spans="1:22" s="182" customFormat="1" ht="27" customHeight="1" x14ac:dyDescent="0.2">
      <c r="A52" s="252"/>
      <c r="B52" s="253" t="s">
        <v>76</v>
      </c>
      <c r="C52" s="181"/>
      <c r="D52" s="181"/>
      <c r="E52" s="219">
        <v>851</v>
      </c>
      <c r="F52" s="18" t="s">
        <v>17</v>
      </c>
      <c r="G52" s="18" t="s">
        <v>44</v>
      </c>
      <c r="H52" s="18" t="s">
        <v>441</v>
      </c>
      <c r="I52" s="18" t="s">
        <v>77</v>
      </c>
      <c r="J52" s="21">
        <v>1400000</v>
      </c>
      <c r="K52" s="21">
        <f>12865+750224</f>
        <v>763089</v>
      </c>
      <c r="L52" s="2">
        <f t="shared" si="7"/>
        <v>2163089</v>
      </c>
      <c r="M52" s="21"/>
      <c r="N52" s="2">
        <f t="shared" si="67"/>
        <v>2163089</v>
      </c>
      <c r="O52" s="21"/>
      <c r="P52" s="2">
        <f>N52+O52</f>
        <v>2163089</v>
      </c>
      <c r="Q52" s="21">
        <v>-2150404</v>
      </c>
      <c r="R52" s="21"/>
      <c r="S52" s="21">
        <f>Q52</f>
        <v>-2150404</v>
      </c>
      <c r="T52" s="21"/>
      <c r="U52" s="2">
        <f t="shared" si="68"/>
        <v>12685</v>
      </c>
      <c r="V52" s="436"/>
    </row>
    <row r="53" spans="1:22" ht="24.75" customHeight="1" x14ac:dyDescent="0.25">
      <c r="A53" s="509" t="s">
        <v>47</v>
      </c>
      <c r="B53" s="509"/>
      <c r="C53" s="253"/>
      <c r="D53" s="253"/>
      <c r="E53" s="219">
        <v>851</v>
      </c>
      <c r="F53" s="1" t="s">
        <v>17</v>
      </c>
      <c r="G53" s="1" t="s">
        <v>44</v>
      </c>
      <c r="H53" s="63" t="s">
        <v>48</v>
      </c>
      <c r="I53" s="1"/>
      <c r="J53" s="2">
        <f t="shared" ref="J53:J54" si="123">J54</f>
        <v>2000000</v>
      </c>
      <c r="K53" s="2">
        <f t="shared" ref="K53:K54" si="124">K54</f>
        <v>39999</v>
      </c>
      <c r="L53" s="2">
        <f t="shared" ref="L53:L54" si="125">L54</f>
        <v>2039999</v>
      </c>
      <c r="M53" s="2">
        <f t="shared" ref="M53:M54" si="126">M54</f>
        <v>0</v>
      </c>
      <c r="N53" s="2">
        <f t="shared" ref="N53:N54" si="127">N54</f>
        <v>2039999</v>
      </c>
      <c r="O53" s="2">
        <f t="shared" ref="O53:O54" si="128">O54</f>
        <v>0</v>
      </c>
      <c r="P53" s="2">
        <f t="shared" ref="P53:P54" si="129">P54</f>
        <v>2039999</v>
      </c>
      <c r="Q53" s="2">
        <f t="shared" ref="Q53:Q54" si="130">Q54</f>
        <v>243839</v>
      </c>
      <c r="R53" s="2"/>
      <c r="S53" s="2"/>
      <c r="T53" s="2"/>
      <c r="U53" s="2">
        <f t="shared" ref="U53:U54" si="131">U54</f>
        <v>2283838</v>
      </c>
      <c r="V53" s="74"/>
    </row>
    <row r="54" spans="1:22" ht="15" customHeight="1" x14ac:dyDescent="0.25">
      <c r="A54" s="15"/>
      <c r="B54" s="253" t="s">
        <v>27</v>
      </c>
      <c r="C54" s="252"/>
      <c r="D54" s="252"/>
      <c r="E54" s="219">
        <v>851</v>
      </c>
      <c r="F54" s="1" t="s">
        <v>17</v>
      </c>
      <c r="G54" s="18" t="s">
        <v>44</v>
      </c>
      <c r="H54" s="63" t="s">
        <v>48</v>
      </c>
      <c r="I54" s="1" t="s">
        <v>28</v>
      </c>
      <c r="J54" s="2">
        <f t="shared" si="123"/>
        <v>2000000</v>
      </c>
      <c r="K54" s="2">
        <f t="shared" si="124"/>
        <v>39999</v>
      </c>
      <c r="L54" s="2">
        <f t="shared" si="125"/>
        <v>2039999</v>
      </c>
      <c r="M54" s="2">
        <f t="shared" si="126"/>
        <v>0</v>
      </c>
      <c r="N54" s="2">
        <f t="shared" si="127"/>
        <v>2039999</v>
      </c>
      <c r="O54" s="2">
        <f t="shared" si="128"/>
        <v>0</v>
      </c>
      <c r="P54" s="2">
        <f t="shared" si="129"/>
        <v>2039999</v>
      </c>
      <c r="Q54" s="2">
        <f t="shared" si="130"/>
        <v>243839</v>
      </c>
      <c r="R54" s="2"/>
      <c r="S54" s="2"/>
      <c r="T54" s="2"/>
      <c r="U54" s="2">
        <f t="shared" si="131"/>
        <v>2283838</v>
      </c>
      <c r="V54" s="74"/>
    </row>
    <row r="55" spans="1:22" ht="27.75" customHeight="1" x14ac:dyDescent="0.25">
      <c r="A55" s="15"/>
      <c r="B55" s="253" t="s">
        <v>29</v>
      </c>
      <c r="C55" s="253"/>
      <c r="D55" s="253"/>
      <c r="E55" s="219">
        <v>851</v>
      </c>
      <c r="F55" s="1" t="s">
        <v>17</v>
      </c>
      <c r="G55" s="18" t="s">
        <v>44</v>
      </c>
      <c r="H55" s="63" t="s">
        <v>48</v>
      </c>
      <c r="I55" s="1" t="s">
        <v>30</v>
      </c>
      <c r="J55" s="2">
        <v>2000000</v>
      </c>
      <c r="K55" s="313">
        <v>39999</v>
      </c>
      <c r="L55" s="2">
        <f t="shared" si="7"/>
        <v>2039999</v>
      </c>
      <c r="M55" s="313"/>
      <c r="N55" s="2">
        <f t="shared" si="67"/>
        <v>2039999</v>
      </c>
      <c r="O55" s="313"/>
      <c r="P55" s="2">
        <f>N55+O55</f>
        <v>2039999</v>
      </c>
      <c r="Q55" s="313">
        <f>107000+136839</f>
        <v>243839</v>
      </c>
      <c r="R55" s="313"/>
      <c r="S55" s="2">
        <f>Q55</f>
        <v>243839</v>
      </c>
      <c r="T55" s="313"/>
      <c r="U55" s="2">
        <f t="shared" si="68"/>
        <v>2283838</v>
      </c>
      <c r="V55" s="89"/>
    </row>
    <row r="56" spans="1:22" ht="15" customHeight="1" x14ac:dyDescent="0.25">
      <c r="A56" s="509" t="s">
        <v>49</v>
      </c>
      <c r="B56" s="509"/>
      <c r="C56" s="253"/>
      <c r="D56" s="253"/>
      <c r="E56" s="219">
        <v>851</v>
      </c>
      <c r="F56" s="1" t="s">
        <v>17</v>
      </c>
      <c r="G56" s="18" t="s">
        <v>44</v>
      </c>
      <c r="H56" s="63" t="s">
        <v>50</v>
      </c>
      <c r="I56" s="1"/>
      <c r="J56" s="2">
        <f t="shared" ref="J56:J57" si="132">J57</f>
        <v>300000</v>
      </c>
      <c r="K56" s="2">
        <f t="shared" ref="K56:K57" si="133">K57</f>
        <v>0</v>
      </c>
      <c r="L56" s="2">
        <f t="shared" ref="L56:L57" si="134">L57</f>
        <v>300000</v>
      </c>
      <c r="M56" s="2">
        <f t="shared" ref="M56:M57" si="135">M57</f>
        <v>0</v>
      </c>
      <c r="N56" s="2">
        <f t="shared" ref="N56:N57" si="136">N57</f>
        <v>300000</v>
      </c>
      <c r="O56" s="2">
        <f t="shared" ref="O56:O57" si="137">O57</f>
        <v>0</v>
      </c>
      <c r="P56" s="2">
        <f t="shared" ref="P56:P57" si="138">P57</f>
        <v>300000</v>
      </c>
      <c r="Q56" s="2">
        <f t="shared" ref="Q56:Q57" si="139">Q57</f>
        <v>-258323</v>
      </c>
      <c r="R56" s="2"/>
      <c r="S56" s="2"/>
      <c r="T56" s="2"/>
      <c r="U56" s="2">
        <f t="shared" ref="U56:U57" si="140">U57</f>
        <v>41677</v>
      </c>
      <c r="V56" s="74"/>
    </row>
    <row r="57" spans="1:22" ht="13.5" customHeight="1" x14ac:dyDescent="0.25">
      <c r="A57" s="15"/>
      <c r="B57" s="253" t="s">
        <v>27</v>
      </c>
      <c r="C57" s="252"/>
      <c r="D57" s="252"/>
      <c r="E57" s="219">
        <v>851</v>
      </c>
      <c r="F57" s="1" t="s">
        <v>17</v>
      </c>
      <c r="G57" s="18" t="s">
        <v>44</v>
      </c>
      <c r="H57" s="63" t="s">
        <v>50</v>
      </c>
      <c r="I57" s="1" t="s">
        <v>28</v>
      </c>
      <c r="J57" s="2">
        <f t="shared" si="132"/>
        <v>300000</v>
      </c>
      <c r="K57" s="2">
        <f t="shared" si="133"/>
        <v>0</v>
      </c>
      <c r="L57" s="2">
        <f t="shared" si="134"/>
        <v>300000</v>
      </c>
      <c r="M57" s="2">
        <f t="shared" si="135"/>
        <v>0</v>
      </c>
      <c r="N57" s="2">
        <f t="shared" si="136"/>
        <v>300000</v>
      </c>
      <c r="O57" s="2">
        <f t="shared" si="137"/>
        <v>0</v>
      </c>
      <c r="P57" s="2">
        <f t="shared" si="138"/>
        <v>300000</v>
      </c>
      <c r="Q57" s="2">
        <f t="shared" si="139"/>
        <v>-258323</v>
      </c>
      <c r="R57" s="2"/>
      <c r="S57" s="2"/>
      <c r="T57" s="2"/>
      <c r="U57" s="2">
        <f t="shared" si="140"/>
        <v>41677</v>
      </c>
      <c r="V57" s="74"/>
    </row>
    <row r="58" spans="1:22" ht="24.75" customHeight="1" x14ac:dyDescent="0.25">
      <c r="A58" s="15"/>
      <c r="B58" s="253" t="s">
        <v>29</v>
      </c>
      <c r="C58" s="253"/>
      <c r="D58" s="253"/>
      <c r="E58" s="219">
        <v>851</v>
      </c>
      <c r="F58" s="1" t="s">
        <v>17</v>
      </c>
      <c r="G58" s="18" t="s">
        <v>44</v>
      </c>
      <c r="H58" s="63" t="s">
        <v>50</v>
      </c>
      <c r="I58" s="1" t="s">
        <v>30</v>
      </c>
      <c r="J58" s="2">
        <v>300000</v>
      </c>
      <c r="K58" s="2"/>
      <c r="L58" s="2">
        <f t="shared" si="7"/>
        <v>300000</v>
      </c>
      <c r="M58" s="2"/>
      <c r="N58" s="2">
        <f t="shared" si="67"/>
        <v>300000</v>
      </c>
      <c r="O58" s="2"/>
      <c r="P58" s="2">
        <f>N58+O58</f>
        <v>300000</v>
      </c>
      <c r="Q58" s="2">
        <v>-258323</v>
      </c>
      <c r="R58" s="2"/>
      <c r="S58" s="2">
        <f>Q58</f>
        <v>-258323</v>
      </c>
      <c r="T58" s="2"/>
      <c r="U58" s="2">
        <f t="shared" si="68"/>
        <v>41677</v>
      </c>
      <c r="V58" s="89"/>
    </row>
    <row r="59" spans="1:22" ht="24.75" customHeight="1" x14ac:dyDescent="0.25">
      <c r="A59" s="516" t="s">
        <v>642</v>
      </c>
      <c r="B59" s="517"/>
      <c r="C59" s="412"/>
      <c r="D59" s="40"/>
      <c r="E59" s="219">
        <v>851</v>
      </c>
      <c r="F59" s="18" t="s">
        <v>17</v>
      </c>
      <c r="G59" s="100" t="s">
        <v>44</v>
      </c>
      <c r="H59" s="76" t="s">
        <v>643</v>
      </c>
      <c r="I59" s="18"/>
      <c r="J59" s="2"/>
      <c r="K59" s="2"/>
      <c r="L59" s="2">
        <f>L62</f>
        <v>0</v>
      </c>
      <c r="M59" s="2">
        <f>M62</f>
        <v>0</v>
      </c>
      <c r="N59" s="2">
        <f>N62</f>
        <v>0</v>
      </c>
      <c r="O59" s="2">
        <f>O62</f>
        <v>1200000</v>
      </c>
      <c r="P59" s="2">
        <f>P62+P60</f>
        <v>1200000</v>
      </c>
      <c r="Q59" s="2">
        <f t="shared" ref="Q59:U59" si="141">Q62+Q60</f>
        <v>0</v>
      </c>
      <c r="R59" s="2"/>
      <c r="S59" s="2"/>
      <c r="T59" s="2"/>
      <c r="U59" s="2">
        <f t="shared" si="141"/>
        <v>1200000</v>
      </c>
      <c r="V59" s="89"/>
    </row>
    <row r="60" spans="1:22" ht="24.75" customHeight="1" x14ac:dyDescent="0.25">
      <c r="A60" s="425"/>
      <c r="B60" s="422" t="s">
        <v>27</v>
      </c>
      <c r="C60" s="422"/>
      <c r="D60" s="40"/>
      <c r="E60" s="219">
        <v>851</v>
      </c>
      <c r="F60" s="18" t="s">
        <v>17</v>
      </c>
      <c r="G60" s="18" t="s">
        <v>44</v>
      </c>
      <c r="H60" s="76" t="s">
        <v>643</v>
      </c>
      <c r="I60" s="18" t="s">
        <v>28</v>
      </c>
      <c r="J60" s="2"/>
      <c r="K60" s="2"/>
      <c r="L60" s="2"/>
      <c r="M60" s="2"/>
      <c r="N60" s="2"/>
      <c r="O60" s="2"/>
      <c r="P60" s="2">
        <f t="shared" ref="P60:U62" si="142">P61</f>
        <v>0</v>
      </c>
      <c r="Q60" s="2">
        <f t="shared" ref="O60:Q62" si="143">Q61</f>
        <v>1200000</v>
      </c>
      <c r="R60" s="2"/>
      <c r="S60" s="2"/>
      <c r="T60" s="2"/>
      <c r="U60" s="2">
        <f t="shared" si="142"/>
        <v>1200000</v>
      </c>
      <c r="V60" s="89"/>
    </row>
    <row r="61" spans="1:22" ht="24.75" customHeight="1" x14ac:dyDescent="0.25">
      <c r="A61" s="425"/>
      <c r="B61" s="422" t="s">
        <v>29</v>
      </c>
      <c r="C61" s="422"/>
      <c r="D61" s="40"/>
      <c r="E61" s="219">
        <v>851</v>
      </c>
      <c r="F61" s="18" t="s">
        <v>17</v>
      </c>
      <c r="G61" s="18" t="s">
        <v>44</v>
      </c>
      <c r="H61" s="76" t="s">
        <v>643</v>
      </c>
      <c r="I61" s="18" t="s">
        <v>30</v>
      </c>
      <c r="J61" s="2"/>
      <c r="K61" s="2"/>
      <c r="L61" s="2"/>
      <c r="M61" s="2"/>
      <c r="N61" s="2"/>
      <c r="O61" s="2"/>
      <c r="P61" s="2">
        <f>N61+O61</f>
        <v>0</v>
      </c>
      <c r="Q61" s="2">
        <v>1200000</v>
      </c>
      <c r="R61" s="2">
        <v>1200000</v>
      </c>
      <c r="S61" s="2"/>
      <c r="T61" s="2"/>
      <c r="U61" s="2">
        <f>P61+Q61</f>
        <v>1200000</v>
      </c>
      <c r="V61" s="89"/>
    </row>
    <row r="62" spans="1:22" ht="24.75" customHeight="1" x14ac:dyDescent="0.2">
      <c r="A62" s="413"/>
      <c r="B62" s="412" t="s">
        <v>467</v>
      </c>
      <c r="C62" s="181"/>
      <c r="D62" s="181"/>
      <c r="E62" s="219">
        <v>851</v>
      </c>
      <c r="F62" s="18" t="s">
        <v>17</v>
      </c>
      <c r="G62" s="18" t="s">
        <v>44</v>
      </c>
      <c r="H62" s="76" t="s">
        <v>643</v>
      </c>
      <c r="I62" s="18" t="s">
        <v>75</v>
      </c>
      <c r="J62" s="2"/>
      <c r="K62" s="2"/>
      <c r="L62" s="2">
        <f>L63</f>
        <v>0</v>
      </c>
      <c r="M62" s="2">
        <f t="shared" ref="M62:N62" si="144">M63</f>
        <v>0</v>
      </c>
      <c r="N62" s="2">
        <f t="shared" si="144"/>
        <v>0</v>
      </c>
      <c r="O62" s="2">
        <f t="shared" si="143"/>
        <v>1200000</v>
      </c>
      <c r="P62" s="2">
        <f t="shared" si="142"/>
        <v>1200000</v>
      </c>
      <c r="Q62" s="2">
        <f t="shared" si="143"/>
        <v>-1200000</v>
      </c>
      <c r="R62" s="2"/>
      <c r="S62" s="2"/>
      <c r="T62" s="2"/>
      <c r="U62" s="2">
        <f t="shared" si="142"/>
        <v>0</v>
      </c>
      <c r="V62" s="89"/>
    </row>
    <row r="63" spans="1:22" ht="24.75" customHeight="1" x14ac:dyDescent="0.2">
      <c r="A63" s="413"/>
      <c r="B63" s="412" t="s">
        <v>76</v>
      </c>
      <c r="C63" s="181"/>
      <c r="D63" s="181"/>
      <c r="E63" s="219">
        <v>851</v>
      </c>
      <c r="F63" s="18" t="s">
        <v>17</v>
      </c>
      <c r="G63" s="18" t="s">
        <v>44</v>
      </c>
      <c r="H63" s="76" t="s">
        <v>643</v>
      </c>
      <c r="I63" s="18" t="s">
        <v>77</v>
      </c>
      <c r="J63" s="2"/>
      <c r="K63" s="2"/>
      <c r="L63" s="2"/>
      <c r="M63" s="2"/>
      <c r="N63" s="2">
        <f>L63+M63</f>
        <v>0</v>
      </c>
      <c r="O63" s="2">
        <v>1200000</v>
      </c>
      <c r="P63" s="2">
        <f>N63+O63</f>
        <v>1200000</v>
      </c>
      <c r="Q63" s="2">
        <v>-1200000</v>
      </c>
      <c r="R63" s="2">
        <v>-1200000</v>
      </c>
      <c r="S63" s="2"/>
      <c r="T63" s="2"/>
      <c r="U63" s="2">
        <f>P63+Q63</f>
        <v>0</v>
      </c>
      <c r="V63" s="89"/>
    </row>
    <row r="64" spans="1:22" s="10" customFormat="1" x14ac:dyDescent="0.25">
      <c r="A64" s="503" t="s">
        <v>149</v>
      </c>
      <c r="B64" s="503"/>
      <c r="C64" s="261"/>
      <c r="D64" s="29"/>
      <c r="E64" s="28">
        <v>851</v>
      </c>
      <c r="F64" s="7" t="s">
        <v>72</v>
      </c>
      <c r="G64" s="7"/>
      <c r="H64" s="7"/>
      <c r="I64" s="7"/>
      <c r="J64" s="8">
        <f t="shared" ref="J64:U65" si="145">J65</f>
        <v>428902</v>
      </c>
      <c r="K64" s="8">
        <f t="shared" si="145"/>
        <v>0</v>
      </c>
      <c r="L64" s="8">
        <f t="shared" si="145"/>
        <v>428902</v>
      </c>
      <c r="M64" s="8">
        <f t="shared" si="145"/>
        <v>-39699</v>
      </c>
      <c r="N64" s="8">
        <f t="shared" si="145"/>
        <v>389203</v>
      </c>
      <c r="O64" s="8">
        <f t="shared" si="145"/>
        <v>0</v>
      </c>
      <c r="P64" s="8">
        <f t="shared" si="145"/>
        <v>389203</v>
      </c>
      <c r="Q64" s="8">
        <f t="shared" si="145"/>
        <v>0</v>
      </c>
      <c r="R64" s="8"/>
      <c r="S64" s="8"/>
      <c r="T64" s="8"/>
      <c r="U64" s="8">
        <f t="shared" si="145"/>
        <v>389203</v>
      </c>
      <c r="V64" s="435"/>
    </row>
    <row r="65" spans="1:22" s="31" customFormat="1" x14ac:dyDescent="0.25">
      <c r="A65" s="532" t="s">
        <v>150</v>
      </c>
      <c r="B65" s="532"/>
      <c r="C65" s="262"/>
      <c r="D65" s="30"/>
      <c r="E65" s="28">
        <v>851</v>
      </c>
      <c r="F65" s="11" t="s">
        <v>72</v>
      </c>
      <c r="G65" s="11" t="s">
        <v>3</v>
      </c>
      <c r="H65" s="11"/>
      <c r="I65" s="11"/>
      <c r="J65" s="12">
        <f t="shared" si="145"/>
        <v>428902</v>
      </c>
      <c r="K65" s="12">
        <f t="shared" si="145"/>
        <v>0</v>
      </c>
      <c r="L65" s="12">
        <f t="shared" si="145"/>
        <v>428902</v>
      </c>
      <c r="M65" s="12">
        <f t="shared" si="145"/>
        <v>-39699</v>
      </c>
      <c r="N65" s="12">
        <f t="shared" si="145"/>
        <v>389203</v>
      </c>
      <c r="O65" s="12">
        <f t="shared" si="145"/>
        <v>0</v>
      </c>
      <c r="P65" s="12">
        <f t="shared" si="145"/>
        <v>389203</v>
      </c>
      <c r="Q65" s="12">
        <f t="shared" si="145"/>
        <v>0</v>
      </c>
      <c r="R65" s="12"/>
      <c r="S65" s="12"/>
      <c r="T65" s="12"/>
      <c r="U65" s="12">
        <f t="shared" si="145"/>
        <v>389203</v>
      </c>
      <c r="V65" s="415"/>
    </row>
    <row r="66" spans="1:22" s="23" customFormat="1" ht="46.5" customHeight="1" x14ac:dyDescent="0.25">
      <c r="A66" s="509" t="s">
        <v>499</v>
      </c>
      <c r="B66" s="509"/>
      <c r="C66" s="252"/>
      <c r="E66" s="28">
        <v>851</v>
      </c>
      <c r="F66" s="111" t="s">
        <v>72</v>
      </c>
      <c r="G66" s="111" t="s">
        <v>3</v>
      </c>
      <c r="H66" s="111" t="s">
        <v>460</v>
      </c>
      <c r="I66" s="178" t="s">
        <v>151</v>
      </c>
      <c r="J66" s="2">
        <f t="shared" ref="J66" si="146">J67+J70</f>
        <v>428902</v>
      </c>
      <c r="K66" s="2">
        <f t="shared" ref="K66" si="147">K67+K70</f>
        <v>0</v>
      </c>
      <c r="L66" s="2">
        <f t="shared" ref="L66" si="148">L67+L70</f>
        <v>428902</v>
      </c>
      <c r="M66" s="2">
        <f t="shared" ref="M66" si="149">M67+M70</f>
        <v>-39699</v>
      </c>
      <c r="N66" s="2">
        <f t="shared" ref="N66" si="150">N67+N70</f>
        <v>389203</v>
      </c>
      <c r="O66" s="2">
        <f t="shared" ref="O66" si="151">O67+O70</f>
        <v>0</v>
      </c>
      <c r="P66" s="2">
        <f t="shared" ref="P66" si="152">P67+P70</f>
        <v>389203</v>
      </c>
      <c r="Q66" s="2">
        <f t="shared" ref="Q66" si="153">Q67+Q70</f>
        <v>0</v>
      </c>
      <c r="R66" s="2"/>
      <c r="S66" s="2"/>
      <c r="T66" s="2"/>
      <c r="U66" s="2">
        <f t="shared" ref="U66" si="154">U67+U70</f>
        <v>389203</v>
      </c>
      <c r="V66" s="74"/>
    </row>
    <row r="67" spans="1:22" ht="36" customHeight="1" x14ac:dyDescent="0.25">
      <c r="A67" s="15"/>
      <c r="B67" s="252" t="s">
        <v>21</v>
      </c>
      <c r="C67" s="219"/>
      <c r="D67" s="219"/>
      <c r="E67" s="219">
        <v>851</v>
      </c>
      <c r="F67" s="1" t="s">
        <v>72</v>
      </c>
      <c r="G67" s="1" t="s">
        <v>3</v>
      </c>
      <c r="H67" s="111" t="s">
        <v>460</v>
      </c>
      <c r="I67" s="1" t="s">
        <v>23</v>
      </c>
      <c r="J67" s="2">
        <f t="shared" ref="J67" si="155">J68</f>
        <v>379160</v>
      </c>
      <c r="K67" s="2">
        <f t="shared" ref="K67" si="156">K68</f>
        <v>0</v>
      </c>
      <c r="L67" s="2">
        <f t="shared" ref="L67" si="157">L68</f>
        <v>379160</v>
      </c>
      <c r="M67" s="2">
        <f t="shared" ref="M67" si="158">M68</f>
        <v>0</v>
      </c>
      <c r="N67" s="2">
        <f t="shared" ref="N67" si="159">N68</f>
        <v>379160</v>
      </c>
      <c r="O67" s="2">
        <f t="shared" ref="O67" si="160">O68</f>
        <v>0</v>
      </c>
      <c r="P67" s="2">
        <f t="shared" ref="P67" si="161">P68</f>
        <v>379160</v>
      </c>
      <c r="Q67" s="2">
        <f t="shared" ref="Q67" si="162">Q68</f>
        <v>0</v>
      </c>
      <c r="R67" s="2"/>
      <c r="S67" s="2"/>
      <c r="T67" s="2"/>
      <c r="U67" s="2">
        <f t="shared" ref="U67" si="163">U68</f>
        <v>379160</v>
      </c>
      <c r="V67" s="74"/>
    </row>
    <row r="68" spans="1:22" ht="14.25" customHeight="1" x14ac:dyDescent="0.25">
      <c r="A68" s="15"/>
      <c r="B68" s="252" t="s">
        <v>24</v>
      </c>
      <c r="C68" s="219"/>
      <c r="D68" s="219"/>
      <c r="E68" s="219">
        <v>851</v>
      </c>
      <c r="F68" s="1" t="s">
        <v>72</v>
      </c>
      <c r="G68" s="1" t="s">
        <v>3</v>
      </c>
      <c r="H68" s="111" t="s">
        <v>460</v>
      </c>
      <c r="I68" s="1" t="s">
        <v>25</v>
      </c>
      <c r="J68" s="2">
        <v>379160</v>
      </c>
      <c r="K68" s="2"/>
      <c r="L68" s="2">
        <f t="shared" si="7"/>
        <v>379160</v>
      </c>
      <c r="M68" s="2"/>
      <c r="N68" s="2">
        <f t="shared" ref="N68:N70" si="164">L68+M68</f>
        <v>379160</v>
      </c>
      <c r="O68" s="2"/>
      <c r="P68" s="2">
        <f>N68+O68</f>
        <v>379160</v>
      </c>
      <c r="Q68" s="2"/>
      <c r="R68" s="2"/>
      <c r="S68" s="2"/>
      <c r="T68" s="2"/>
      <c r="U68" s="2">
        <f t="shared" ref="U68:U70" si="165">P68+Q68</f>
        <v>379160</v>
      </c>
      <c r="V68" s="89"/>
    </row>
    <row r="69" spans="1:22" ht="14.25" customHeight="1" x14ac:dyDescent="0.25">
      <c r="A69" s="15"/>
      <c r="B69" s="253" t="s">
        <v>27</v>
      </c>
      <c r="C69" s="219"/>
      <c r="D69" s="219"/>
      <c r="E69" s="219">
        <v>851</v>
      </c>
      <c r="F69" s="1" t="s">
        <v>72</v>
      </c>
      <c r="G69" s="1" t="s">
        <v>3</v>
      </c>
      <c r="H69" s="111" t="s">
        <v>460</v>
      </c>
      <c r="I69" s="1" t="s">
        <v>28</v>
      </c>
      <c r="J69" s="2">
        <f t="shared" ref="J69" si="166">J70</f>
        <v>49742</v>
      </c>
      <c r="K69" s="2">
        <f t="shared" ref="K69" si="167">K70</f>
        <v>0</v>
      </c>
      <c r="L69" s="2">
        <f t="shared" ref="L69" si="168">L70</f>
        <v>49742</v>
      </c>
      <c r="M69" s="2">
        <f t="shared" ref="M69" si="169">M70</f>
        <v>-39699</v>
      </c>
      <c r="N69" s="2">
        <f t="shared" ref="N69" si="170">N70</f>
        <v>10043</v>
      </c>
      <c r="O69" s="2">
        <f t="shared" ref="O69" si="171">O70</f>
        <v>0</v>
      </c>
      <c r="P69" s="2">
        <f t="shared" ref="P69" si="172">P70</f>
        <v>10043</v>
      </c>
      <c r="Q69" s="2">
        <f t="shared" ref="Q69" si="173">Q70</f>
        <v>0</v>
      </c>
      <c r="R69" s="2"/>
      <c r="S69" s="2"/>
      <c r="T69" s="2"/>
      <c r="U69" s="2">
        <f t="shared" ref="U69" si="174">U70</f>
        <v>10043</v>
      </c>
      <c r="V69" s="74"/>
    </row>
    <row r="70" spans="1:22" ht="27" customHeight="1" x14ac:dyDescent="0.25">
      <c r="A70" s="15"/>
      <c r="B70" s="253" t="s">
        <v>29</v>
      </c>
      <c r="C70" s="219"/>
      <c r="D70" s="219"/>
      <c r="E70" s="219">
        <v>851</v>
      </c>
      <c r="F70" s="1" t="s">
        <v>72</v>
      </c>
      <c r="G70" s="1" t="s">
        <v>3</v>
      </c>
      <c r="H70" s="111" t="s">
        <v>460</v>
      </c>
      <c r="I70" s="1" t="s">
        <v>30</v>
      </c>
      <c r="J70" s="2">
        <v>49742</v>
      </c>
      <c r="K70" s="2"/>
      <c r="L70" s="2">
        <f t="shared" si="7"/>
        <v>49742</v>
      </c>
      <c r="M70" s="2">
        <v>-39699</v>
      </c>
      <c r="N70" s="2">
        <f t="shared" si="164"/>
        <v>10043</v>
      </c>
      <c r="O70" s="2"/>
      <c r="P70" s="2">
        <f>N70+O70</f>
        <v>10043</v>
      </c>
      <c r="Q70" s="2"/>
      <c r="R70" s="2"/>
      <c r="S70" s="2"/>
      <c r="T70" s="2"/>
      <c r="U70" s="2">
        <f t="shared" si="165"/>
        <v>10043</v>
      </c>
      <c r="V70" s="89"/>
    </row>
    <row r="71" spans="1:22" s="10" customFormat="1" ht="14.25" customHeight="1" x14ac:dyDescent="0.25">
      <c r="A71" s="503" t="s">
        <v>55</v>
      </c>
      <c r="B71" s="503"/>
      <c r="C71" s="297"/>
      <c r="D71" s="297"/>
      <c r="E71" s="219">
        <v>851</v>
      </c>
      <c r="F71" s="7" t="s">
        <v>3</v>
      </c>
      <c r="G71" s="7"/>
      <c r="H71" s="7"/>
      <c r="I71" s="7"/>
      <c r="J71" s="8">
        <f t="shared" ref="J71:U72" si="175">J72</f>
        <v>1332400</v>
      </c>
      <c r="K71" s="8">
        <f t="shared" si="175"/>
        <v>10900</v>
      </c>
      <c r="L71" s="8">
        <f t="shared" si="175"/>
        <v>1343300</v>
      </c>
      <c r="M71" s="8">
        <f t="shared" si="175"/>
        <v>0</v>
      </c>
      <c r="N71" s="8">
        <f t="shared" si="175"/>
        <v>1343300</v>
      </c>
      <c r="O71" s="8">
        <f t="shared" si="175"/>
        <v>0</v>
      </c>
      <c r="P71" s="8">
        <f t="shared" si="175"/>
        <v>1343300</v>
      </c>
      <c r="Q71" s="8">
        <f t="shared" si="175"/>
        <v>0</v>
      </c>
      <c r="R71" s="8"/>
      <c r="S71" s="8"/>
      <c r="T71" s="8"/>
      <c r="U71" s="8">
        <f t="shared" si="175"/>
        <v>1343300</v>
      </c>
      <c r="V71" s="435"/>
    </row>
    <row r="72" spans="1:22" s="13" customFormat="1" ht="30" customHeight="1" x14ac:dyDescent="0.25">
      <c r="A72" s="508" t="s">
        <v>56</v>
      </c>
      <c r="B72" s="508"/>
      <c r="C72" s="298"/>
      <c r="D72" s="298"/>
      <c r="E72" s="219">
        <v>851</v>
      </c>
      <c r="F72" s="11" t="s">
        <v>3</v>
      </c>
      <c r="G72" s="11" t="s">
        <v>57</v>
      </c>
      <c r="H72" s="11"/>
      <c r="I72" s="11"/>
      <c r="J72" s="12">
        <f>J73</f>
        <v>1332400</v>
      </c>
      <c r="K72" s="12">
        <f t="shared" si="175"/>
        <v>10900</v>
      </c>
      <c r="L72" s="12">
        <f t="shared" si="175"/>
        <v>1343300</v>
      </c>
      <c r="M72" s="12">
        <f t="shared" si="175"/>
        <v>0</v>
      </c>
      <c r="N72" s="12">
        <f t="shared" si="175"/>
        <v>1343300</v>
      </c>
      <c r="O72" s="12">
        <f t="shared" si="175"/>
        <v>0</v>
      </c>
      <c r="P72" s="12">
        <f t="shared" si="175"/>
        <v>1343300</v>
      </c>
      <c r="Q72" s="12">
        <f t="shared" si="175"/>
        <v>0</v>
      </c>
      <c r="R72" s="12"/>
      <c r="S72" s="12"/>
      <c r="T72" s="12"/>
      <c r="U72" s="12">
        <f t="shared" si="175"/>
        <v>1343300</v>
      </c>
      <c r="V72" s="31"/>
    </row>
    <row r="73" spans="1:22" ht="15" customHeight="1" x14ac:dyDescent="0.25">
      <c r="A73" s="509" t="s">
        <v>442</v>
      </c>
      <c r="B73" s="509"/>
      <c r="C73" s="296"/>
      <c r="D73" s="296"/>
      <c r="E73" s="219">
        <v>851</v>
      </c>
      <c r="F73" s="1" t="s">
        <v>3</v>
      </c>
      <c r="G73" s="99" t="s">
        <v>57</v>
      </c>
      <c r="H73" s="1" t="s">
        <v>58</v>
      </c>
      <c r="I73" s="1"/>
      <c r="J73" s="2">
        <f t="shared" ref="J73" si="176">J74+J76</f>
        <v>1332400</v>
      </c>
      <c r="K73" s="2">
        <f t="shared" ref="K73" si="177">K74+K76</f>
        <v>10900</v>
      </c>
      <c r="L73" s="2">
        <f t="shared" ref="L73" si="178">L74+L76</f>
        <v>1343300</v>
      </c>
      <c r="M73" s="2">
        <f t="shared" ref="M73" si="179">M74+M76</f>
        <v>0</v>
      </c>
      <c r="N73" s="2">
        <f t="shared" ref="N73" si="180">N74+N76</f>
        <v>1343300</v>
      </c>
      <c r="O73" s="2">
        <f t="shared" ref="O73" si="181">O74+O76</f>
        <v>0</v>
      </c>
      <c r="P73" s="2">
        <f t="shared" ref="P73" si="182">P74+P76</f>
        <v>1343300</v>
      </c>
      <c r="Q73" s="2">
        <f t="shared" ref="Q73" si="183">Q74+Q76</f>
        <v>0</v>
      </c>
      <c r="R73" s="2"/>
      <c r="S73" s="2"/>
      <c r="T73" s="2"/>
      <c r="U73" s="2">
        <f t="shared" ref="U73" si="184">U74+U76</f>
        <v>1343300</v>
      </c>
      <c r="V73" s="74"/>
    </row>
    <row r="74" spans="1:22" ht="39" customHeight="1" x14ac:dyDescent="0.25">
      <c r="A74" s="296"/>
      <c r="B74" s="295" t="s">
        <v>21</v>
      </c>
      <c r="C74" s="296"/>
      <c r="D74" s="296"/>
      <c r="E74" s="219">
        <v>851</v>
      </c>
      <c r="F74" s="1" t="s">
        <v>3</v>
      </c>
      <c r="G74" s="18" t="s">
        <v>57</v>
      </c>
      <c r="H74" s="1" t="s">
        <v>58</v>
      </c>
      <c r="I74" s="1" t="s">
        <v>23</v>
      </c>
      <c r="J74" s="2">
        <f t="shared" ref="J74" si="185">J75</f>
        <v>1246000</v>
      </c>
      <c r="K74" s="2">
        <f t="shared" ref="K74" si="186">K75</f>
        <v>0</v>
      </c>
      <c r="L74" s="2">
        <f t="shared" ref="L74" si="187">L75</f>
        <v>1246000</v>
      </c>
      <c r="M74" s="2">
        <f t="shared" ref="M74" si="188">M75</f>
        <v>0</v>
      </c>
      <c r="N74" s="2">
        <f t="shared" ref="N74" si="189">N75</f>
        <v>1246000</v>
      </c>
      <c r="O74" s="2">
        <f t="shared" ref="O74" si="190">O75</f>
        <v>0</v>
      </c>
      <c r="P74" s="2">
        <f t="shared" ref="P74" si="191">P75</f>
        <v>1246000</v>
      </c>
      <c r="Q74" s="2">
        <f t="shared" ref="Q74" si="192">Q75</f>
        <v>0</v>
      </c>
      <c r="R74" s="2"/>
      <c r="S74" s="2"/>
      <c r="T74" s="2"/>
      <c r="U74" s="2">
        <f t="shared" ref="U74" si="193">U75</f>
        <v>1246000</v>
      </c>
      <c r="V74" s="74"/>
    </row>
    <row r="75" spans="1:22" ht="13.5" customHeight="1" x14ac:dyDescent="0.25">
      <c r="A75" s="296"/>
      <c r="B75" s="296" t="s">
        <v>59</v>
      </c>
      <c r="C75" s="296"/>
      <c r="D75" s="296"/>
      <c r="E75" s="219">
        <v>851</v>
      </c>
      <c r="F75" s="1" t="s">
        <v>3</v>
      </c>
      <c r="G75" s="18" t="s">
        <v>57</v>
      </c>
      <c r="H75" s="1" t="s">
        <v>58</v>
      </c>
      <c r="I75" s="1" t="s">
        <v>60</v>
      </c>
      <c r="J75" s="2">
        <v>1246000</v>
      </c>
      <c r="K75" s="2"/>
      <c r="L75" s="2">
        <f t="shared" si="7"/>
        <v>1246000</v>
      </c>
      <c r="M75" s="2"/>
      <c r="N75" s="2">
        <f t="shared" ref="N75:N77" si="194">L75+M75</f>
        <v>1246000</v>
      </c>
      <c r="O75" s="2"/>
      <c r="P75" s="2">
        <f>N75+O75</f>
        <v>1246000</v>
      </c>
      <c r="Q75" s="2"/>
      <c r="R75" s="2"/>
      <c r="S75" s="2"/>
      <c r="T75" s="2"/>
      <c r="U75" s="2">
        <f t="shared" ref="U75:U77" si="195">P75+Q75</f>
        <v>1246000</v>
      </c>
      <c r="V75" s="89"/>
    </row>
    <row r="76" spans="1:22" ht="13.5" customHeight="1" x14ac:dyDescent="0.25">
      <c r="A76" s="15"/>
      <c r="B76" s="296" t="s">
        <v>27</v>
      </c>
      <c r="C76" s="295"/>
      <c r="D76" s="295"/>
      <c r="E76" s="219">
        <v>851</v>
      </c>
      <c r="F76" s="1" t="s">
        <v>3</v>
      </c>
      <c r="G76" s="18" t="s">
        <v>57</v>
      </c>
      <c r="H76" s="1" t="s">
        <v>58</v>
      </c>
      <c r="I76" s="1" t="s">
        <v>28</v>
      </c>
      <c r="J76" s="2">
        <f t="shared" ref="J76" si="196">J77</f>
        <v>86400</v>
      </c>
      <c r="K76" s="2">
        <f t="shared" ref="K76" si="197">K77</f>
        <v>10900</v>
      </c>
      <c r="L76" s="2">
        <f t="shared" ref="L76" si="198">L77</f>
        <v>97300</v>
      </c>
      <c r="M76" s="2">
        <f t="shared" ref="M76" si="199">M77</f>
        <v>0</v>
      </c>
      <c r="N76" s="2">
        <f t="shared" ref="N76" si="200">N77</f>
        <v>97300</v>
      </c>
      <c r="O76" s="2">
        <f t="shared" ref="O76" si="201">O77</f>
        <v>0</v>
      </c>
      <c r="P76" s="2">
        <f t="shared" ref="P76" si="202">P77</f>
        <v>97300</v>
      </c>
      <c r="Q76" s="2">
        <f t="shared" ref="Q76" si="203">Q77</f>
        <v>0</v>
      </c>
      <c r="R76" s="2"/>
      <c r="S76" s="2"/>
      <c r="T76" s="2"/>
      <c r="U76" s="2">
        <f t="shared" ref="U76" si="204">U77</f>
        <v>97300</v>
      </c>
      <c r="V76" s="74"/>
    </row>
    <row r="77" spans="1:22" ht="25.5" customHeight="1" x14ac:dyDescent="0.25">
      <c r="A77" s="15"/>
      <c r="B77" s="296" t="s">
        <v>29</v>
      </c>
      <c r="C77" s="296"/>
      <c r="D77" s="296"/>
      <c r="E77" s="219">
        <v>851</v>
      </c>
      <c r="F77" s="1" t="s">
        <v>3</v>
      </c>
      <c r="G77" s="18" t="s">
        <v>57</v>
      </c>
      <c r="H77" s="1" t="s">
        <v>58</v>
      </c>
      <c r="I77" s="1" t="s">
        <v>30</v>
      </c>
      <c r="J77" s="2">
        <v>86400</v>
      </c>
      <c r="K77" s="2">
        <v>10900</v>
      </c>
      <c r="L77" s="2">
        <f t="shared" si="7"/>
        <v>97300</v>
      </c>
      <c r="M77" s="2"/>
      <c r="N77" s="2">
        <f t="shared" si="194"/>
        <v>97300</v>
      </c>
      <c r="O77" s="2"/>
      <c r="P77" s="2">
        <f>N77+O77</f>
        <v>97300</v>
      </c>
      <c r="Q77" s="2"/>
      <c r="R77" s="2"/>
      <c r="S77" s="2"/>
      <c r="T77" s="2"/>
      <c r="U77" s="2">
        <f t="shared" si="195"/>
        <v>97300</v>
      </c>
      <c r="V77" s="89"/>
    </row>
    <row r="78" spans="1:22" s="10" customFormat="1" x14ac:dyDescent="0.25">
      <c r="A78" s="503" t="s">
        <v>61</v>
      </c>
      <c r="B78" s="503"/>
      <c r="C78" s="261"/>
      <c r="D78" s="261"/>
      <c r="E78" s="219">
        <v>851</v>
      </c>
      <c r="F78" s="7" t="s">
        <v>6</v>
      </c>
      <c r="G78" s="7"/>
      <c r="H78" s="7"/>
      <c r="I78" s="7"/>
      <c r="J78" s="8">
        <f t="shared" ref="J78:P78" si="205">J79+J92+J102</f>
        <v>2897640</v>
      </c>
      <c r="K78" s="8">
        <f t="shared" si="205"/>
        <v>1300000</v>
      </c>
      <c r="L78" s="8">
        <f t="shared" si="205"/>
        <v>4197640</v>
      </c>
      <c r="M78" s="8">
        <f t="shared" si="205"/>
        <v>687855</v>
      </c>
      <c r="N78" s="8">
        <f t="shared" si="205"/>
        <v>4885495</v>
      </c>
      <c r="O78" s="8">
        <f t="shared" si="205"/>
        <v>0</v>
      </c>
      <c r="P78" s="8">
        <f t="shared" si="205"/>
        <v>4885495</v>
      </c>
      <c r="Q78" s="8">
        <f t="shared" ref="Q78:U78" si="206">Q79+Q92+Q102</f>
        <v>-2478000</v>
      </c>
      <c r="R78" s="8">
        <f>SUM(R79:R110)</f>
        <v>0</v>
      </c>
      <c r="S78" s="8">
        <f t="shared" ref="S78:T78" si="207">SUM(S79:S110)</f>
        <v>-2478000</v>
      </c>
      <c r="T78" s="8">
        <f t="shared" si="207"/>
        <v>0</v>
      </c>
      <c r="U78" s="8">
        <f t="shared" si="206"/>
        <v>2407495</v>
      </c>
      <c r="V78" s="435"/>
    </row>
    <row r="79" spans="1:22" s="13" customFormat="1" x14ac:dyDescent="0.25">
      <c r="A79" s="508" t="s">
        <v>62</v>
      </c>
      <c r="B79" s="508"/>
      <c r="C79" s="265"/>
      <c r="D79" s="265"/>
      <c r="E79" s="219">
        <v>851</v>
      </c>
      <c r="F79" s="11" t="s">
        <v>6</v>
      </c>
      <c r="G79" s="11" t="s">
        <v>63</v>
      </c>
      <c r="H79" s="11"/>
      <c r="I79" s="11"/>
      <c r="J79" s="12">
        <f>J83+J86+J89</f>
        <v>66140</v>
      </c>
      <c r="K79" s="12">
        <f t="shared" ref="K79" si="208">K83+K86+K89</f>
        <v>1300000</v>
      </c>
      <c r="L79" s="12">
        <f>L80+L83+L86+L89</f>
        <v>1366140</v>
      </c>
      <c r="M79" s="12">
        <f t="shared" ref="M79:N79" si="209">M80+M83+M86+M89</f>
        <v>700000</v>
      </c>
      <c r="N79" s="12">
        <f t="shared" si="209"/>
        <v>2066140</v>
      </c>
      <c r="O79" s="12">
        <f t="shared" ref="O79:P79" si="210">O80+O83+O86+O89</f>
        <v>0</v>
      </c>
      <c r="P79" s="12">
        <f t="shared" si="210"/>
        <v>2066140</v>
      </c>
      <c r="Q79" s="12">
        <f t="shared" ref="Q79:U79" si="211">Q80+Q83+Q86+Q89</f>
        <v>0</v>
      </c>
      <c r="R79" s="12"/>
      <c r="S79" s="12"/>
      <c r="T79" s="12"/>
      <c r="U79" s="12">
        <f t="shared" si="211"/>
        <v>2066140</v>
      </c>
      <c r="V79" s="31"/>
    </row>
    <row r="80" spans="1:22" s="23" customFormat="1" ht="25.5" customHeight="1" x14ac:dyDescent="0.25">
      <c r="A80" s="516" t="s">
        <v>621</v>
      </c>
      <c r="B80" s="517"/>
      <c r="C80" s="359"/>
      <c r="D80" s="359"/>
      <c r="E80" s="219">
        <v>851</v>
      </c>
      <c r="F80" s="18" t="s">
        <v>6</v>
      </c>
      <c r="G80" s="100" t="s">
        <v>63</v>
      </c>
      <c r="H80" s="18" t="s">
        <v>620</v>
      </c>
      <c r="I80" s="18"/>
      <c r="J80" s="2">
        <f t="shared" ref="J80:J81" si="212">J81</f>
        <v>0</v>
      </c>
      <c r="K80" s="2">
        <f t="shared" ref="K80:K81" si="213">K81</f>
        <v>0</v>
      </c>
      <c r="L80" s="2">
        <f t="shared" ref="L80:L81" si="214">L81</f>
        <v>0</v>
      </c>
      <c r="M80" s="2">
        <f t="shared" ref="M80:M81" si="215">M81</f>
        <v>700000</v>
      </c>
      <c r="N80" s="2">
        <f t="shared" ref="N80:N81" si="216">N81</f>
        <v>700000</v>
      </c>
      <c r="O80" s="2">
        <f t="shared" ref="O80:O81" si="217">O81</f>
        <v>0</v>
      </c>
      <c r="P80" s="2">
        <f t="shared" ref="P80:P81" si="218">P81</f>
        <v>700000</v>
      </c>
      <c r="Q80" s="2">
        <f t="shared" ref="Q80:Q81" si="219">Q81</f>
        <v>0</v>
      </c>
      <c r="R80" s="2"/>
      <c r="S80" s="2"/>
      <c r="T80" s="2"/>
      <c r="U80" s="2">
        <f t="shared" ref="U80:U81" si="220">U81</f>
        <v>700000</v>
      </c>
      <c r="V80" s="74"/>
    </row>
    <row r="81" spans="1:22" s="23" customFormat="1" x14ac:dyDescent="0.25">
      <c r="A81" s="360"/>
      <c r="B81" s="359" t="s">
        <v>31</v>
      </c>
      <c r="C81" s="359"/>
      <c r="D81" s="359"/>
      <c r="E81" s="219">
        <v>851</v>
      </c>
      <c r="F81" s="18" t="s">
        <v>6</v>
      </c>
      <c r="G81" s="100" t="s">
        <v>63</v>
      </c>
      <c r="H81" s="18" t="s">
        <v>620</v>
      </c>
      <c r="I81" s="18" t="s">
        <v>32</v>
      </c>
      <c r="J81" s="2">
        <f t="shared" si="212"/>
        <v>0</v>
      </c>
      <c r="K81" s="2">
        <f t="shared" si="213"/>
        <v>0</v>
      </c>
      <c r="L81" s="2">
        <f t="shared" si="214"/>
        <v>0</v>
      </c>
      <c r="M81" s="2">
        <f t="shared" si="215"/>
        <v>700000</v>
      </c>
      <c r="N81" s="2">
        <f t="shared" si="216"/>
        <v>700000</v>
      </c>
      <c r="O81" s="2">
        <f t="shared" si="217"/>
        <v>0</v>
      </c>
      <c r="P81" s="2">
        <f t="shared" si="218"/>
        <v>700000</v>
      </c>
      <c r="Q81" s="2">
        <f t="shared" si="219"/>
        <v>0</v>
      </c>
      <c r="R81" s="2"/>
      <c r="S81" s="2"/>
      <c r="T81" s="2"/>
      <c r="U81" s="2">
        <f t="shared" si="220"/>
        <v>700000</v>
      </c>
      <c r="V81" s="74"/>
    </row>
    <row r="82" spans="1:22" s="23" customFormat="1" ht="24" x14ac:dyDescent="0.25">
      <c r="A82" s="360"/>
      <c r="B82" s="359" t="s">
        <v>250</v>
      </c>
      <c r="C82" s="359"/>
      <c r="D82" s="359"/>
      <c r="E82" s="219">
        <v>851</v>
      </c>
      <c r="F82" s="18" t="s">
        <v>6</v>
      </c>
      <c r="G82" s="100" t="s">
        <v>63</v>
      </c>
      <c r="H82" s="18" t="s">
        <v>620</v>
      </c>
      <c r="I82" s="18" t="s">
        <v>65</v>
      </c>
      <c r="J82" s="21"/>
      <c r="K82" s="21"/>
      <c r="L82" s="21">
        <v>0</v>
      </c>
      <c r="M82" s="21">
        <v>700000</v>
      </c>
      <c r="N82" s="21">
        <f>L82+M82</f>
        <v>700000</v>
      </c>
      <c r="O82" s="21"/>
      <c r="P82" s="21">
        <f>N82+O82</f>
        <v>700000</v>
      </c>
      <c r="Q82" s="21"/>
      <c r="R82" s="21"/>
      <c r="S82" s="21"/>
      <c r="T82" s="21"/>
      <c r="U82" s="21">
        <f>P82+Q82</f>
        <v>700000</v>
      </c>
      <c r="V82" s="437"/>
    </row>
    <row r="83" spans="1:22" s="13" customFormat="1" ht="63.75" customHeight="1" x14ac:dyDescent="0.25">
      <c r="A83" s="516" t="s">
        <v>473</v>
      </c>
      <c r="B83" s="517"/>
      <c r="C83" s="265"/>
      <c r="D83" s="265"/>
      <c r="E83" s="219">
        <v>851</v>
      </c>
      <c r="F83" s="1" t="s">
        <v>6</v>
      </c>
      <c r="G83" s="99" t="s">
        <v>63</v>
      </c>
      <c r="H83" s="1" t="s">
        <v>474</v>
      </c>
      <c r="I83" s="1"/>
      <c r="J83" s="2">
        <f t="shared" ref="J83:J84" si="221">J84</f>
        <v>11140</v>
      </c>
      <c r="K83" s="2">
        <f t="shared" ref="K83:K84" si="222">K84</f>
        <v>0</v>
      </c>
      <c r="L83" s="2">
        <f t="shared" ref="L83:L84" si="223">L84</f>
        <v>11140</v>
      </c>
      <c r="M83" s="2">
        <f t="shared" ref="M83:M84" si="224">M84</f>
        <v>0</v>
      </c>
      <c r="N83" s="2">
        <f t="shared" ref="N83:N84" si="225">N84</f>
        <v>11140</v>
      </c>
      <c r="O83" s="2">
        <f t="shared" ref="O83:O84" si="226">O84</f>
        <v>0</v>
      </c>
      <c r="P83" s="2">
        <f t="shared" ref="P83:P84" si="227">P84</f>
        <v>11140</v>
      </c>
      <c r="Q83" s="2">
        <f t="shared" ref="Q83:Q84" si="228">Q84</f>
        <v>0</v>
      </c>
      <c r="R83" s="2"/>
      <c r="S83" s="2"/>
      <c r="T83" s="2"/>
      <c r="U83" s="2">
        <f t="shared" ref="U83:U84" si="229">U84</f>
        <v>11140</v>
      </c>
      <c r="V83" s="74"/>
    </row>
    <row r="84" spans="1:22" s="13" customFormat="1" ht="12" customHeight="1" x14ac:dyDescent="0.25">
      <c r="A84" s="265"/>
      <c r="B84" s="267" t="s">
        <v>27</v>
      </c>
      <c r="C84" s="252"/>
      <c r="D84" s="252"/>
      <c r="E84" s="219">
        <v>851</v>
      </c>
      <c r="F84" s="1" t="s">
        <v>6</v>
      </c>
      <c r="G84" s="99" t="s">
        <v>63</v>
      </c>
      <c r="H84" s="1" t="s">
        <v>474</v>
      </c>
      <c r="I84" s="1" t="s">
        <v>28</v>
      </c>
      <c r="J84" s="2">
        <f t="shared" si="221"/>
        <v>11140</v>
      </c>
      <c r="K84" s="2">
        <f t="shared" si="222"/>
        <v>0</v>
      </c>
      <c r="L84" s="2">
        <f t="shared" si="223"/>
        <v>11140</v>
      </c>
      <c r="M84" s="2">
        <f t="shared" si="224"/>
        <v>0</v>
      </c>
      <c r="N84" s="2">
        <f t="shared" si="225"/>
        <v>11140</v>
      </c>
      <c r="O84" s="2">
        <f t="shared" si="226"/>
        <v>0</v>
      </c>
      <c r="P84" s="2">
        <f t="shared" si="227"/>
        <v>11140</v>
      </c>
      <c r="Q84" s="2">
        <f t="shared" si="228"/>
        <v>0</v>
      </c>
      <c r="R84" s="2"/>
      <c r="S84" s="2"/>
      <c r="T84" s="2"/>
      <c r="U84" s="2">
        <f t="shared" si="229"/>
        <v>11140</v>
      </c>
      <c r="V84" s="74"/>
    </row>
    <row r="85" spans="1:22" s="13" customFormat="1" ht="25.5" customHeight="1" x14ac:dyDescent="0.25">
      <c r="A85" s="265"/>
      <c r="B85" s="267" t="s">
        <v>29</v>
      </c>
      <c r="C85" s="253"/>
      <c r="D85" s="253"/>
      <c r="E85" s="219">
        <v>851</v>
      </c>
      <c r="F85" s="1" t="s">
        <v>6</v>
      </c>
      <c r="G85" s="99" t="s">
        <v>63</v>
      </c>
      <c r="H85" s="1" t="s">
        <v>474</v>
      </c>
      <c r="I85" s="1" t="s">
        <v>30</v>
      </c>
      <c r="J85" s="2">
        <v>11140</v>
      </c>
      <c r="K85" s="2"/>
      <c r="L85" s="2">
        <f t="shared" si="7"/>
        <v>11140</v>
      </c>
      <c r="M85" s="2"/>
      <c r="N85" s="2">
        <f t="shared" ref="N85:N88" si="230">L85+M85</f>
        <v>11140</v>
      </c>
      <c r="O85" s="2"/>
      <c r="P85" s="2">
        <f>N85+O85</f>
        <v>11140</v>
      </c>
      <c r="Q85" s="2"/>
      <c r="R85" s="2"/>
      <c r="S85" s="2"/>
      <c r="T85" s="2"/>
      <c r="U85" s="2">
        <f t="shared" ref="U85:U88" si="231">P85+Q85</f>
        <v>11140</v>
      </c>
      <c r="V85" s="31"/>
    </row>
    <row r="86" spans="1:22" ht="24.75" customHeight="1" x14ac:dyDescent="0.25">
      <c r="A86" s="516" t="s">
        <v>64</v>
      </c>
      <c r="B86" s="517"/>
      <c r="C86" s="253"/>
      <c r="D86" s="253"/>
      <c r="E86" s="219">
        <v>851</v>
      </c>
      <c r="F86" s="1" t="s">
        <v>6</v>
      </c>
      <c r="G86" s="1" t="s">
        <v>63</v>
      </c>
      <c r="H86" s="1" t="s">
        <v>556</v>
      </c>
      <c r="I86" s="1"/>
      <c r="J86" s="2">
        <f t="shared" ref="J86:J87" si="232">J87</f>
        <v>55000</v>
      </c>
      <c r="K86" s="2">
        <f t="shared" ref="K86:K87" si="233">K87</f>
        <v>0</v>
      </c>
      <c r="L86" s="2">
        <f t="shared" ref="L86:L87" si="234">L87</f>
        <v>55000</v>
      </c>
      <c r="M86" s="2">
        <f t="shared" ref="M86:M87" si="235">M87</f>
        <v>0</v>
      </c>
      <c r="N86" s="2">
        <f t="shared" ref="N86:N87" si="236">N87</f>
        <v>55000</v>
      </c>
      <c r="O86" s="2">
        <f t="shared" ref="O86:O87" si="237">O87</f>
        <v>0</v>
      </c>
      <c r="P86" s="2">
        <f t="shared" ref="P86:P87" si="238">P87</f>
        <v>55000</v>
      </c>
      <c r="Q86" s="2">
        <f t="shared" ref="Q86:Q87" si="239">Q87</f>
        <v>0</v>
      </c>
      <c r="R86" s="2"/>
      <c r="S86" s="2"/>
      <c r="T86" s="2"/>
      <c r="U86" s="2">
        <f t="shared" ref="U86:U87" si="240">U87</f>
        <v>55000</v>
      </c>
      <c r="V86" s="74"/>
    </row>
    <row r="87" spans="1:22" ht="15.75" customHeight="1" x14ac:dyDescent="0.25">
      <c r="A87" s="15"/>
      <c r="B87" s="253" t="s">
        <v>27</v>
      </c>
      <c r="C87" s="252"/>
      <c r="D87" s="252"/>
      <c r="E87" s="219">
        <v>851</v>
      </c>
      <c r="F87" s="1" t="s">
        <v>6</v>
      </c>
      <c r="G87" s="1" t="s">
        <v>63</v>
      </c>
      <c r="H87" s="1" t="s">
        <v>556</v>
      </c>
      <c r="I87" s="1" t="s">
        <v>28</v>
      </c>
      <c r="J87" s="2">
        <f t="shared" si="232"/>
        <v>55000</v>
      </c>
      <c r="K87" s="2">
        <f t="shared" si="233"/>
        <v>0</v>
      </c>
      <c r="L87" s="2">
        <f t="shared" si="234"/>
        <v>55000</v>
      </c>
      <c r="M87" s="2">
        <f t="shared" si="235"/>
        <v>0</v>
      </c>
      <c r="N87" s="2">
        <f t="shared" si="236"/>
        <v>55000</v>
      </c>
      <c r="O87" s="2">
        <f t="shared" si="237"/>
        <v>0</v>
      </c>
      <c r="P87" s="2">
        <f t="shared" si="238"/>
        <v>55000</v>
      </c>
      <c r="Q87" s="2">
        <f t="shared" si="239"/>
        <v>0</v>
      </c>
      <c r="R87" s="2"/>
      <c r="S87" s="2"/>
      <c r="T87" s="2"/>
      <c r="U87" s="2">
        <f t="shared" si="240"/>
        <v>55000</v>
      </c>
      <c r="V87" s="74"/>
    </row>
    <row r="88" spans="1:22" ht="27" customHeight="1" x14ac:dyDescent="0.25">
      <c r="A88" s="15"/>
      <c r="B88" s="253" t="s">
        <v>29</v>
      </c>
      <c r="C88" s="253"/>
      <c r="D88" s="253"/>
      <c r="E88" s="219">
        <v>851</v>
      </c>
      <c r="F88" s="1" t="s">
        <v>6</v>
      </c>
      <c r="G88" s="1" t="s">
        <v>63</v>
      </c>
      <c r="H88" s="1" t="s">
        <v>556</v>
      </c>
      <c r="I88" s="1" t="s">
        <v>30</v>
      </c>
      <c r="J88" s="2">
        <v>55000</v>
      </c>
      <c r="K88" s="2"/>
      <c r="L88" s="2">
        <f t="shared" ref="L88:L180" si="241">J88+K88</f>
        <v>55000</v>
      </c>
      <c r="M88" s="2"/>
      <c r="N88" s="2">
        <f t="shared" si="230"/>
        <v>55000</v>
      </c>
      <c r="O88" s="2"/>
      <c r="P88" s="2">
        <f>N88+O88</f>
        <v>55000</v>
      </c>
      <c r="Q88" s="2"/>
      <c r="R88" s="2"/>
      <c r="S88" s="2"/>
      <c r="T88" s="2"/>
      <c r="U88" s="2">
        <f t="shared" si="231"/>
        <v>55000</v>
      </c>
      <c r="V88" s="89"/>
    </row>
    <row r="89" spans="1:22" ht="27" customHeight="1" x14ac:dyDescent="0.25">
      <c r="A89" s="524" t="s">
        <v>577</v>
      </c>
      <c r="B89" s="524"/>
      <c r="C89" s="300"/>
      <c r="D89" s="300"/>
      <c r="E89" s="219">
        <v>851</v>
      </c>
      <c r="F89" s="1" t="s">
        <v>6</v>
      </c>
      <c r="G89" s="1" t="s">
        <v>63</v>
      </c>
      <c r="H89" s="1" t="s">
        <v>587</v>
      </c>
      <c r="I89" s="299"/>
      <c r="J89" s="2">
        <f>J90</f>
        <v>0</v>
      </c>
      <c r="K89" s="2">
        <f t="shared" ref="K89:U90" si="242">K90</f>
        <v>1300000</v>
      </c>
      <c r="L89" s="2">
        <f t="shared" si="242"/>
        <v>1300000</v>
      </c>
      <c r="M89" s="2">
        <f t="shared" si="242"/>
        <v>0</v>
      </c>
      <c r="N89" s="2">
        <f t="shared" si="242"/>
        <v>1300000</v>
      </c>
      <c r="O89" s="2">
        <f t="shared" si="242"/>
        <v>0</v>
      </c>
      <c r="P89" s="2">
        <f t="shared" si="242"/>
        <v>1300000</v>
      </c>
      <c r="Q89" s="2">
        <f t="shared" si="242"/>
        <v>0</v>
      </c>
      <c r="R89" s="2"/>
      <c r="S89" s="2"/>
      <c r="T89" s="2"/>
      <c r="U89" s="2">
        <f t="shared" si="242"/>
        <v>1300000</v>
      </c>
      <c r="V89" s="89"/>
    </row>
    <row r="90" spans="1:22" ht="13.5" customHeight="1" x14ac:dyDescent="0.25">
      <c r="A90" s="300"/>
      <c r="B90" s="300" t="s">
        <v>31</v>
      </c>
      <c r="C90" s="300"/>
      <c r="D90" s="300"/>
      <c r="E90" s="219">
        <v>851</v>
      </c>
      <c r="F90" s="1" t="s">
        <v>6</v>
      </c>
      <c r="G90" s="1" t="s">
        <v>63</v>
      </c>
      <c r="H90" s="1" t="s">
        <v>587</v>
      </c>
      <c r="I90" s="1" t="s">
        <v>32</v>
      </c>
      <c r="J90" s="2">
        <f>J91</f>
        <v>0</v>
      </c>
      <c r="K90" s="2">
        <f t="shared" si="242"/>
        <v>1300000</v>
      </c>
      <c r="L90" s="2">
        <f t="shared" si="242"/>
        <v>1300000</v>
      </c>
      <c r="M90" s="2">
        <f t="shared" si="242"/>
        <v>0</v>
      </c>
      <c r="N90" s="2">
        <f t="shared" si="242"/>
        <v>1300000</v>
      </c>
      <c r="O90" s="2">
        <f t="shared" si="242"/>
        <v>0</v>
      </c>
      <c r="P90" s="2">
        <f>P91</f>
        <v>1300000</v>
      </c>
      <c r="Q90" s="2">
        <f t="shared" si="242"/>
        <v>0</v>
      </c>
      <c r="R90" s="2"/>
      <c r="S90" s="2"/>
      <c r="T90" s="2"/>
      <c r="U90" s="2">
        <f t="shared" si="242"/>
        <v>1300000</v>
      </c>
      <c r="V90" s="89"/>
    </row>
    <row r="91" spans="1:22" ht="27" customHeight="1" x14ac:dyDescent="0.25">
      <c r="A91" s="300"/>
      <c r="B91" s="300" t="s">
        <v>250</v>
      </c>
      <c r="C91" s="300"/>
      <c r="D91" s="300"/>
      <c r="E91" s="219">
        <v>851</v>
      </c>
      <c r="F91" s="1" t="s">
        <v>6</v>
      </c>
      <c r="G91" s="1" t="s">
        <v>63</v>
      </c>
      <c r="H91" s="1" t="s">
        <v>587</v>
      </c>
      <c r="I91" s="1" t="s">
        <v>65</v>
      </c>
      <c r="J91" s="2"/>
      <c r="K91" s="2">
        <v>1300000</v>
      </c>
      <c r="L91" s="2">
        <f>J91+K91</f>
        <v>1300000</v>
      </c>
      <c r="M91" s="2"/>
      <c r="N91" s="2">
        <f>L91+M91</f>
        <v>1300000</v>
      </c>
      <c r="O91" s="2"/>
      <c r="P91" s="2">
        <f>N91+O91</f>
        <v>1300000</v>
      </c>
      <c r="Q91" s="2"/>
      <c r="R91" s="2"/>
      <c r="S91" s="2"/>
      <c r="T91" s="2"/>
      <c r="U91" s="2">
        <f>P91+Q91</f>
        <v>1300000</v>
      </c>
      <c r="V91" s="89"/>
    </row>
    <row r="92" spans="1:22" s="13" customFormat="1" x14ac:dyDescent="0.25">
      <c r="A92" s="508" t="s">
        <v>248</v>
      </c>
      <c r="B92" s="508"/>
      <c r="C92" s="265"/>
      <c r="D92" s="265"/>
      <c r="E92" s="219">
        <v>851</v>
      </c>
      <c r="F92" s="11" t="s">
        <v>6</v>
      </c>
      <c r="G92" s="11" t="s">
        <v>57</v>
      </c>
      <c r="H92" s="11"/>
      <c r="I92" s="11"/>
      <c r="J92" s="12">
        <f t="shared" ref="J92:O92" si="243">J99</f>
        <v>2558000</v>
      </c>
      <c r="K92" s="12">
        <f t="shared" si="243"/>
        <v>0</v>
      </c>
      <c r="L92" s="12">
        <f t="shared" si="243"/>
        <v>2558000</v>
      </c>
      <c r="M92" s="12">
        <f t="shared" si="243"/>
        <v>0</v>
      </c>
      <c r="N92" s="12">
        <f t="shared" si="243"/>
        <v>2558000</v>
      </c>
      <c r="O92" s="12">
        <f t="shared" si="243"/>
        <v>0</v>
      </c>
      <c r="P92" s="12">
        <f>P93+P96+P99</f>
        <v>2558000</v>
      </c>
      <c r="Q92" s="12">
        <f t="shared" ref="Q92:U92" si="244">Q93+Q96+Q99</f>
        <v>-2478000</v>
      </c>
      <c r="R92" s="12"/>
      <c r="S92" s="12"/>
      <c r="T92" s="12"/>
      <c r="U92" s="12">
        <f t="shared" si="244"/>
        <v>80000</v>
      </c>
      <c r="V92" s="31"/>
    </row>
    <row r="93" spans="1:22" ht="37.5" customHeight="1" x14ac:dyDescent="0.25">
      <c r="A93" s="516" t="s">
        <v>661</v>
      </c>
      <c r="B93" s="517"/>
      <c r="C93" s="422"/>
      <c r="D93" s="422"/>
      <c r="E93" s="219">
        <v>851</v>
      </c>
      <c r="F93" s="1" t="s">
        <v>6</v>
      </c>
      <c r="G93" s="1" t="s">
        <v>57</v>
      </c>
      <c r="H93" s="1" t="s">
        <v>662</v>
      </c>
      <c r="I93" s="1"/>
      <c r="J93" s="2"/>
      <c r="K93" s="2"/>
      <c r="L93" s="2"/>
      <c r="M93" s="2"/>
      <c r="N93" s="2"/>
      <c r="O93" s="2"/>
      <c r="P93" s="2">
        <f>P94</f>
        <v>0</v>
      </c>
      <c r="Q93" s="2">
        <f t="shared" ref="Q93:U94" si="245">Q94</f>
        <v>0</v>
      </c>
      <c r="R93" s="2"/>
      <c r="S93" s="2"/>
      <c r="T93" s="2"/>
      <c r="U93" s="2">
        <f t="shared" si="245"/>
        <v>0</v>
      </c>
      <c r="V93" s="89"/>
    </row>
    <row r="94" spans="1:22" ht="24" x14ac:dyDescent="0.25">
      <c r="A94" s="425"/>
      <c r="B94" s="422" t="s">
        <v>467</v>
      </c>
      <c r="C94" s="422"/>
      <c r="D94" s="422"/>
      <c r="E94" s="219">
        <v>851</v>
      </c>
      <c r="F94" s="1" t="s">
        <v>6</v>
      </c>
      <c r="G94" s="1" t="s">
        <v>57</v>
      </c>
      <c r="H94" s="1" t="s">
        <v>662</v>
      </c>
      <c r="I94" s="1" t="s">
        <v>75</v>
      </c>
      <c r="J94" s="2"/>
      <c r="K94" s="2"/>
      <c r="L94" s="2"/>
      <c r="M94" s="2"/>
      <c r="N94" s="2"/>
      <c r="O94" s="2"/>
      <c r="P94" s="2">
        <f>P95</f>
        <v>0</v>
      </c>
      <c r="Q94" s="2">
        <f t="shared" si="245"/>
        <v>0</v>
      </c>
      <c r="R94" s="2"/>
      <c r="S94" s="2"/>
      <c r="T94" s="2"/>
      <c r="U94" s="2">
        <f t="shared" si="245"/>
        <v>0</v>
      </c>
      <c r="V94" s="89"/>
    </row>
    <row r="95" spans="1:22" ht="24" x14ac:dyDescent="0.25">
      <c r="A95" s="425"/>
      <c r="B95" s="422" t="s">
        <v>76</v>
      </c>
      <c r="C95" s="422"/>
      <c r="D95" s="422"/>
      <c r="E95" s="219">
        <v>851</v>
      </c>
      <c r="F95" s="1" t="s">
        <v>6</v>
      </c>
      <c r="G95" s="1" t="s">
        <v>57</v>
      </c>
      <c r="H95" s="1" t="s">
        <v>662</v>
      </c>
      <c r="I95" s="1" t="s">
        <v>77</v>
      </c>
      <c r="J95" s="2"/>
      <c r="K95" s="2"/>
      <c r="L95" s="2"/>
      <c r="M95" s="2"/>
      <c r="N95" s="2"/>
      <c r="O95" s="2"/>
      <c r="P95" s="2"/>
      <c r="Q95" s="2"/>
      <c r="R95" s="2"/>
      <c r="S95" s="2"/>
      <c r="T95" s="2"/>
      <c r="U95" s="2">
        <f>P95+Q95</f>
        <v>0</v>
      </c>
      <c r="V95" s="89"/>
    </row>
    <row r="96" spans="1:22" ht="13.5" customHeight="1" x14ac:dyDescent="0.25">
      <c r="A96" s="516" t="s">
        <v>659</v>
      </c>
      <c r="B96" s="517"/>
      <c r="C96" s="422"/>
      <c r="D96" s="422"/>
      <c r="E96" s="219">
        <v>851</v>
      </c>
      <c r="F96" s="1" t="s">
        <v>6</v>
      </c>
      <c r="G96" s="1" t="s">
        <v>57</v>
      </c>
      <c r="H96" s="1" t="s">
        <v>660</v>
      </c>
      <c r="I96" s="1"/>
      <c r="J96" s="2"/>
      <c r="K96" s="2"/>
      <c r="L96" s="2"/>
      <c r="M96" s="2"/>
      <c r="N96" s="2"/>
      <c r="O96" s="2"/>
      <c r="P96" s="2">
        <f>P97</f>
        <v>0</v>
      </c>
      <c r="Q96" s="2">
        <f t="shared" ref="Q96:Q97" si="246">Q97</f>
        <v>80000</v>
      </c>
      <c r="R96" s="2"/>
      <c r="S96" s="2"/>
      <c r="T96" s="2"/>
      <c r="U96" s="2">
        <f t="shared" ref="U96:U97" si="247">U97</f>
        <v>80000</v>
      </c>
      <c r="V96" s="89"/>
    </row>
    <row r="97" spans="1:22" s="13" customFormat="1" ht="24" x14ac:dyDescent="0.25">
      <c r="A97" s="424"/>
      <c r="B97" s="422" t="s">
        <v>467</v>
      </c>
      <c r="C97" s="424"/>
      <c r="D97" s="424"/>
      <c r="E97" s="219">
        <v>851</v>
      </c>
      <c r="F97" s="1" t="s">
        <v>6</v>
      </c>
      <c r="G97" s="1" t="s">
        <v>57</v>
      </c>
      <c r="H97" s="1" t="s">
        <v>660</v>
      </c>
      <c r="I97" s="1" t="s">
        <v>75</v>
      </c>
      <c r="J97" s="2"/>
      <c r="K97" s="2"/>
      <c r="L97" s="2"/>
      <c r="M97" s="2"/>
      <c r="N97" s="2"/>
      <c r="O97" s="2"/>
      <c r="P97" s="2">
        <f>P98</f>
        <v>0</v>
      </c>
      <c r="Q97" s="2">
        <f t="shared" si="246"/>
        <v>80000</v>
      </c>
      <c r="R97" s="2"/>
      <c r="S97" s="2"/>
      <c r="T97" s="2"/>
      <c r="U97" s="2">
        <f t="shared" si="247"/>
        <v>80000</v>
      </c>
      <c r="V97" s="31"/>
    </row>
    <row r="98" spans="1:22" s="13" customFormat="1" ht="24" x14ac:dyDescent="0.25">
      <c r="A98" s="424"/>
      <c r="B98" s="422" t="s">
        <v>76</v>
      </c>
      <c r="C98" s="424"/>
      <c r="D98" s="424"/>
      <c r="E98" s="219">
        <v>851</v>
      </c>
      <c r="F98" s="1" t="s">
        <v>6</v>
      </c>
      <c r="G98" s="1" t="s">
        <v>57</v>
      </c>
      <c r="H98" s="1" t="s">
        <v>660</v>
      </c>
      <c r="I98" s="1" t="s">
        <v>77</v>
      </c>
      <c r="J98" s="2"/>
      <c r="K98" s="2"/>
      <c r="L98" s="2"/>
      <c r="M98" s="2"/>
      <c r="N98" s="2"/>
      <c r="O98" s="2"/>
      <c r="P98" s="2"/>
      <c r="Q98" s="2">
        <v>80000</v>
      </c>
      <c r="R98" s="2"/>
      <c r="S98" s="2">
        <v>80000</v>
      </c>
      <c r="T98" s="2"/>
      <c r="U98" s="2">
        <f>P98+Q98</f>
        <v>80000</v>
      </c>
      <c r="V98" s="31"/>
    </row>
    <row r="99" spans="1:22" ht="24.75" customHeight="1" x14ac:dyDescent="0.25">
      <c r="A99" s="509" t="s">
        <v>481</v>
      </c>
      <c r="B99" s="509"/>
      <c r="C99" s="253"/>
      <c r="D99" s="253"/>
      <c r="E99" s="219">
        <v>851</v>
      </c>
      <c r="F99" s="18" t="s">
        <v>6</v>
      </c>
      <c r="G99" s="18" t="s">
        <v>57</v>
      </c>
      <c r="H99" s="18" t="s">
        <v>480</v>
      </c>
      <c r="I99" s="18"/>
      <c r="J99" s="2">
        <f t="shared" ref="J99:J100" si="248">J100</f>
        <v>2558000</v>
      </c>
      <c r="K99" s="2">
        <f t="shared" ref="K99:K100" si="249">K100</f>
        <v>0</v>
      </c>
      <c r="L99" s="2">
        <f t="shared" ref="L99:L100" si="250">L100</f>
        <v>2558000</v>
      </c>
      <c r="M99" s="2">
        <f t="shared" ref="M99:M100" si="251">M100</f>
        <v>0</v>
      </c>
      <c r="N99" s="2">
        <f t="shared" ref="N99:N100" si="252">N100</f>
        <v>2558000</v>
      </c>
      <c r="O99" s="2">
        <f t="shared" ref="O99:O100" si="253">O100</f>
        <v>0</v>
      </c>
      <c r="P99" s="2">
        <f t="shared" ref="P99:P100" si="254">P100</f>
        <v>2558000</v>
      </c>
      <c r="Q99" s="2">
        <f t="shared" ref="Q99:Q100" si="255">Q100</f>
        <v>-2558000</v>
      </c>
      <c r="R99" s="2"/>
      <c r="S99" s="2"/>
      <c r="T99" s="2"/>
      <c r="U99" s="2">
        <f t="shared" ref="U99:U100" si="256">U100</f>
        <v>0</v>
      </c>
      <c r="V99" s="74"/>
    </row>
    <row r="100" spans="1:22" ht="15.75" customHeight="1" x14ac:dyDescent="0.25">
      <c r="A100" s="253"/>
      <c r="B100" s="253" t="s">
        <v>27</v>
      </c>
      <c r="C100" s="253"/>
      <c r="D100" s="253"/>
      <c r="E100" s="219">
        <v>851</v>
      </c>
      <c r="F100" s="18" t="s">
        <v>6</v>
      </c>
      <c r="G100" s="18" t="s">
        <v>57</v>
      </c>
      <c r="H100" s="18" t="s">
        <v>480</v>
      </c>
      <c r="I100" s="1" t="s">
        <v>28</v>
      </c>
      <c r="J100" s="2">
        <f t="shared" si="248"/>
        <v>2558000</v>
      </c>
      <c r="K100" s="2">
        <f t="shared" si="249"/>
        <v>0</v>
      </c>
      <c r="L100" s="2">
        <f t="shared" si="250"/>
        <v>2558000</v>
      </c>
      <c r="M100" s="2">
        <f t="shared" si="251"/>
        <v>0</v>
      </c>
      <c r="N100" s="2">
        <f t="shared" si="252"/>
        <v>2558000</v>
      </c>
      <c r="O100" s="2">
        <f t="shared" si="253"/>
        <v>0</v>
      </c>
      <c r="P100" s="2">
        <f t="shared" si="254"/>
        <v>2558000</v>
      </c>
      <c r="Q100" s="2">
        <f t="shared" si="255"/>
        <v>-2558000</v>
      </c>
      <c r="R100" s="2"/>
      <c r="S100" s="2"/>
      <c r="T100" s="2"/>
      <c r="U100" s="2">
        <f t="shared" si="256"/>
        <v>0</v>
      </c>
      <c r="V100" s="74"/>
    </row>
    <row r="101" spans="1:22" ht="24.75" customHeight="1" x14ac:dyDescent="0.25">
      <c r="A101" s="253"/>
      <c r="B101" s="253" t="s">
        <v>29</v>
      </c>
      <c r="C101" s="253"/>
      <c r="D101" s="253"/>
      <c r="E101" s="219">
        <v>851</v>
      </c>
      <c r="F101" s="18" t="s">
        <v>6</v>
      </c>
      <c r="G101" s="18" t="s">
        <v>57</v>
      </c>
      <c r="H101" s="18" t="s">
        <v>480</v>
      </c>
      <c r="I101" s="1" t="s">
        <v>30</v>
      </c>
      <c r="J101" s="2">
        <v>2558000</v>
      </c>
      <c r="K101" s="2">
        <v>0</v>
      </c>
      <c r="L101" s="2">
        <f t="shared" si="241"/>
        <v>2558000</v>
      </c>
      <c r="M101" s="2">
        <v>0</v>
      </c>
      <c r="N101" s="2">
        <f t="shared" ref="N101" si="257">L101+M101</f>
        <v>2558000</v>
      </c>
      <c r="O101" s="2">
        <v>0</v>
      </c>
      <c r="P101" s="2">
        <f>N101+O101</f>
        <v>2558000</v>
      </c>
      <c r="Q101" s="2">
        <f>-80000-2478000</f>
        <v>-2558000</v>
      </c>
      <c r="R101" s="2"/>
      <c r="S101" s="2">
        <v>-2558000</v>
      </c>
      <c r="T101" s="2"/>
      <c r="U101" s="2">
        <f t="shared" ref="U101" si="258">P101+Q101</f>
        <v>0</v>
      </c>
      <c r="V101" s="89"/>
    </row>
    <row r="102" spans="1:22" s="13" customFormat="1" x14ac:dyDescent="0.25">
      <c r="A102" s="508" t="s">
        <v>66</v>
      </c>
      <c r="B102" s="508"/>
      <c r="C102" s="265"/>
      <c r="D102" s="265"/>
      <c r="E102" s="219">
        <v>851</v>
      </c>
      <c r="F102" s="11" t="s">
        <v>6</v>
      </c>
      <c r="G102" s="11" t="s">
        <v>67</v>
      </c>
      <c r="H102" s="11"/>
      <c r="I102" s="11"/>
      <c r="J102" s="12">
        <f t="shared" ref="J102:L102" si="259">J103+J108</f>
        <v>273500</v>
      </c>
      <c r="K102" s="12">
        <f t="shared" si="259"/>
        <v>0</v>
      </c>
      <c r="L102" s="12">
        <f t="shared" si="259"/>
        <v>273500</v>
      </c>
      <c r="M102" s="12">
        <f t="shared" ref="M102:N102" si="260">M103+M108</f>
        <v>-12145</v>
      </c>
      <c r="N102" s="12">
        <f t="shared" si="260"/>
        <v>261355</v>
      </c>
      <c r="O102" s="12">
        <f t="shared" ref="O102:P102" si="261">O103+O108</f>
        <v>0</v>
      </c>
      <c r="P102" s="12">
        <f t="shared" si="261"/>
        <v>261355</v>
      </c>
      <c r="Q102" s="12">
        <f t="shared" ref="Q102:U102" si="262">Q103+Q108</f>
        <v>0</v>
      </c>
      <c r="R102" s="12"/>
      <c r="S102" s="12"/>
      <c r="T102" s="12"/>
      <c r="U102" s="12">
        <f t="shared" si="262"/>
        <v>261355</v>
      </c>
      <c r="V102" s="31"/>
    </row>
    <row r="103" spans="1:22" ht="26.25" customHeight="1" x14ac:dyDescent="0.25">
      <c r="A103" s="509" t="s">
        <v>68</v>
      </c>
      <c r="B103" s="509"/>
      <c r="C103" s="253"/>
      <c r="D103" s="253"/>
      <c r="E103" s="219">
        <v>851</v>
      </c>
      <c r="F103" s="18" t="s">
        <v>6</v>
      </c>
      <c r="G103" s="18" t="s">
        <v>67</v>
      </c>
      <c r="H103" s="18" t="s">
        <v>69</v>
      </c>
      <c r="I103" s="18"/>
      <c r="J103" s="2">
        <f>J104+J106</f>
        <v>173500</v>
      </c>
      <c r="K103" s="2">
        <f t="shared" ref="K103:U103" si="263">K104+K106</f>
        <v>0</v>
      </c>
      <c r="L103" s="2">
        <f t="shared" si="263"/>
        <v>173500</v>
      </c>
      <c r="M103" s="2">
        <f t="shared" si="263"/>
        <v>-12145</v>
      </c>
      <c r="N103" s="2">
        <f t="shared" si="263"/>
        <v>161355</v>
      </c>
      <c r="O103" s="2">
        <f t="shared" si="263"/>
        <v>0</v>
      </c>
      <c r="P103" s="2">
        <f t="shared" si="263"/>
        <v>161355</v>
      </c>
      <c r="Q103" s="2">
        <f t="shared" si="263"/>
        <v>0</v>
      </c>
      <c r="R103" s="2"/>
      <c r="S103" s="2"/>
      <c r="T103" s="2"/>
      <c r="U103" s="2">
        <f t="shared" si="263"/>
        <v>161355</v>
      </c>
      <c r="V103" s="74"/>
    </row>
    <row r="104" spans="1:22" ht="40.5" customHeight="1" x14ac:dyDescent="0.25">
      <c r="A104" s="253"/>
      <c r="B104" s="252" t="s">
        <v>21</v>
      </c>
      <c r="C104" s="253"/>
      <c r="D104" s="253"/>
      <c r="E104" s="219">
        <v>851</v>
      </c>
      <c r="F104" s="18" t="s">
        <v>6</v>
      </c>
      <c r="G104" s="18" t="s">
        <v>67</v>
      </c>
      <c r="H104" s="18" t="s">
        <v>69</v>
      </c>
      <c r="I104" s="1" t="s">
        <v>23</v>
      </c>
      <c r="J104" s="2">
        <f t="shared" ref="J104:O104" si="264">J105</f>
        <v>97615</v>
      </c>
      <c r="K104" s="2">
        <f t="shared" si="264"/>
        <v>0</v>
      </c>
      <c r="L104" s="2">
        <f t="shared" si="241"/>
        <v>97615</v>
      </c>
      <c r="M104" s="2">
        <f t="shared" si="264"/>
        <v>0</v>
      </c>
      <c r="N104" s="2">
        <f t="shared" ref="N104:N110" si="265">L104+M104</f>
        <v>97615</v>
      </c>
      <c r="O104" s="2">
        <f t="shared" si="264"/>
        <v>0</v>
      </c>
      <c r="P104" s="2">
        <f>P105</f>
        <v>97615</v>
      </c>
      <c r="Q104" s="2">
        <f t="shared" ref="Q104:U104" si="266">Q105</f>
        <v>0</v>
      </c>
      <c r="R104" s="2"/>
      <c r="S104" s="2"/>
      <c r="T104" s="2"/>
      <c r="U104" s="2">
        <f t="shared" si="266"/>
        <v>97615</v>
      </c>
      <c r="V104" s="74"/>
    </row>
    <row r="105" spans="1:22" ht="15" customHeight="1" x14ac:dyDescent="0.25">
      <c r="A105" s="15"/>
      <c r="B105" s="252" t="s">
        <v>24</v>
      </c>
      <c r="C105" s="252"/>
      <c r="D105" s="252"/>
      <c r="E105" s="219">
        <v>851</v>
      </c>
      <c r="F105" s="18" t="s">
        <v>6</v>
      </c>
      <c r="G105" s="18" t="s">
        <v>67</v>
      </c>
      <c r="H105" s="18" t="s">
        <v>69</v>
      </c>
      <c r="I105" s="1" t="s">
        <v>25</v>
      </c>
      <c r="J105" s="2">
        <v>97615</v>
      </c>
      <c r="K105" s="2"/>
      <c r="L105" s="2">
        <f t="shared" si="241"/>
        <v>97615</v>
      </c>
      <c r="M105" s="2"/>
      <c r="N105" s="2">
        <f t="shared" si="265"/>
        <v>97615</v>
      </c>
      <c r="O105" s="2"/>
      <c r="P105" s="2">
        <f>N105+O105</f>
        <v>97615</v>
      </c>
      <c r="Q105" s="2"/>
      <c r="R105" s="2"/>
      <c r="S105" s="2"/>
      <c r="T105" s="2"/>
      <c r="U105" s="2">
        <f t="shared" ref="U105:U110" si="267">P105+Q105</f>
        <v>97615</v>
      </c>
      <c r="V105" s="89"/>
    </row>
    <row r="106" spans="1:22" ht="12.75" customHeight="1" x14ac:dyDescent="0.25">
      <c r="A106" s="15"/>
      <c r="B106" s="253" t="s">
        <v>27</v>
      </c>
      <c r="C106" s="252"/>
      <c r="D106" s="252"/>
      <c r="E106" s="219">
        <v>851</v>
      </c>
      <c r="F106" s="18" t="s">
        <v>6</v>
      </c>
      <c r="G106" s="18" t="s">
        <v>67</v>
      </c>
      <c r="H106" s="18" t="s">
        <v>69</v>
      </c>
      <c r="I106" s="1" t="s">
        <v>28</v>
      </c>
      <c r="J106" s="2">
        <f t="shared" ref="J106" si="268">J107</f>
        <v>75885</v>
      </c>
      <c r="K106" s="2">
        <f t="shared" ref="K106" si="269">K107</f>
        <v>0</v>
      </c>
      <c r="L106" s="2">
        <f t="shared" ref="L106" si="270">L107</f>
        <v>75885</v>
      </c>
      <c r="M106" s="2">
        <f t="shared" ref="M106" si="271">M107</f>
        <v>-12145</v>
      </c>
      <c r="N106" s="2">
        <f t="shared" ref="N106" si="272">N107</f>
        <v>63740</v>
      </c>
      <c r="O106" s="2">
        <f t="shared" ref="O106" si="273">O107</f>
        <v>0</v>
      </c>
      <c r="P106" s="2">
        <f t="shared" ref="P106" si="274">P107</f>
        <v>63740</v>
      </c>
      <c r="Q106" s="2">
        <f t="shared" ref="Q106" si="275">Q107</f>
        <v>0</v>
      </c>
      <c r="R106" s="2"/>
      <c r="S106" s="2"/>
      <c r="T106" s="2"/>
      <c r="U106" s="2">
        <f t="shared" ref="U106" si="276">U107</f>
        <v>63740</v>
      </c>
      <c r="V106" s="74"/>
    </row>
    <row r="107" spans="1:22" ht="26.25" customHeight="1" x14ac:dyDescent="0.25">
      <c r="A107" s="15"/>
      <c r="B107" s="253" t="s">
        <v>29</v>
      </c>
      <c r="C107" s="253"/>
      <c r="D107" s="253"/>
      <c r="E107" s="219">
        <v>851</v>
      </c>
      <c r="F107" s="18" t="s">
        <v>6</v>
      </c>
      <c r="G107" s="18" t="s">
        <v>67</v>
      </c>
      <c r="H107" s="18" t="s">
        <v>69</v>
      </c>
      <c r="I107" s="1" t="s">
        <v>30</v>
      </c>
      <c r="J107" s="2">
        <v>75885</v>
      </c>
      <c r="K107" s="2"/>
      <c r="L107" s="2">
        <f t="shared" si="241"/>
        <v>75885</v>
      </c>
      <c r="M107" s="2">
        <v>-12145</v>
      </c>
      <c r="N107" s="2">
        <f t="shared" si="265"/>
        <v>63740</v>
      </c>
      <c r="O107" s="2"/>
      <c r="P107" s="2">
        <f>N107+O107</f>
        <v>63740</v>
      </c>
      <c r="Q107" s="2"/>
      <c r="R107" s="2"/>
      <c r="S107" s="2"/>
      <c r="T107" s="2"/>
      <c r="U107" s="2">
        <f t="shared" si="267"/>
        <v>63740</v>
      </c>
      <c r="V107" s="89"/>
    </row>
    <row r="108" spans="1:22" ht="25.5" customHeight="1" x14ac:dyDescent="0.25">
      <c r="A108" s="516" t="s">
        <v>439</v>
      </c>
      <c r="B108" s="517"/>
      <c r="C108" s="253"/>
      <c r="D108" s="91"/>
      <c r="E108" s="219">
        <v>851</v>
      </c>
      <c r="F108" s="18" t="s">
        <v>6</v>
      </c>
      <c r="G108" s="18" t="s">
        <v>67</v>
      </c>
      <c r="H108" s="18" t="s">
        <v>571</v>
      </c>
      <c r="I108" s="1"/>
      <c r="J108" s="2">
        <f t="shared" ref="J108:J109" si="277">J109</f>
        <v>100000</v>
      </c>
      <c r="K108" s="2">
        <f t="shared" ref="K108:K109" si="278">K109</f>
        <v>0</v>
      </c>
      <c r="L108" s="2">
        <f t="shared" ref="L108:L109" si="279">L109</f>
        <v>100000</v>
      </c>
      <c r="M108" s="2">
        <f t="shared" ref="M108:M109" si="280">M109</f>
        <v>0</v>
      </c>
      <c r="N108" s="2">
        <f t="shared" ref="N108:N109" si="281">N109</f>
        <v>100000</v>
      </c>
      <c r="O108" s="2">
        <f t="shared" ref="O108:O109" si="282">O109</f>
        <v>0</v>
      </c>
      <c r="P108" s="2">
        <f t="shared" ref="P108:P109" si="283">P109</f>
        <v>100000</v>
      </c>
      <c r="Q108" s="2">
        <f t="shared" ref="Q108:Q109" si="284">Q109</f>
        <v>0</v>
      </c>
      <c r="R108" s="2"/>
      <c r="S108" s="2"/>
      <c r="T108" s="2"/>
      <c r="U108" s="2">
        <f t="shared" ref="U108:U109" si="285">U109</f>
        <v>100000</v>
      </c>
      <c r="V108" s="74"/>
    </row>
    <row r="109" spans="1:22" x14ac:dyDescent="0.25">
      <c r="A109" s="15"/>
      <c r="B109" s="253" t="s">
        <v>31</v>
      </c>
      <c r="C109" s="253"/>
      <c r="D109" s="91"/>
      <c r="E109" s="219">
        <v>851</v>
      </c>
      <c r="F109" s="18" t="s">
        <v>6</v>
      </c>
      <c r="G109" s="18" t="s">
        <v>67</v>
      </c>
      <c r="H109" s="18" t="s">
        <v>571</v>
      </c>
      <c r="I109" s="1" t="s">
        <v>32</v>
      </c>
      <c r="J109" s="2">
        <f t="shared" si="277"/>
        <v>100000</v>
      </c>
      <c r="K109" s="2">
        <f t="shared" si="278"/>
        <v>0</v>
      </c>
      <c r="L109" s="2">
        <f t="shared" si="279"/>
        <v>100000</v>
      </c>
      <c r="M109" s="2">
        <f t="shared" si="280"/>
        <v>0</v>
      </c>
      <c r="N109" s="2">
        <f t="shared" si="281"/>
        <v>100000</v>
      </c>
      <c r="O109" s="2">
        <f t="shared" si="282"/>
        <v>0</v>
      </c>
      <c r="P109" s="2">
        <f t="shared" si="283"/>
        <v>100000</v>
      </c>
      <c r="Q109" s="2">
        <f t="shared" si="284"/>
        <v>0</v>
      </c>
      <c r="R109" s="2"/>
      <c r="S109" s="2"/>
      <c r="T109" s="2"/>
      <c r="U109" s="2">
        <f t="shared" si="285"/>
        <v>100000</v>
      </c>
      <c r="V109" s="74"/>
    </row>
    <row r="110" spans="1:22" ht="27.75" customHeight="1" x14ac:dyDescent="0.25">
      <c r="A110" s="15"/>
      <c r="B110" s="253" t="s">
        <v>250</v>
      </c>
      <c r="C110" s="253"/>
      <c r="D110" s="91"/>
      <c r="E110" s="219">
        <v>851</v>
      </c>
      <c r="F110" s="18" t="s">
        <v>6</v>
      </c>
      <c r="G110" s="18" t="s">
        <v>67</v>
      </c>
      <c r="H110" s="18" t="s">
        <v>571</v>
      </c>
      <c r="I110" s="1" t="s">
        <v>65</v>
      </c>
      <c r="J110" s="2">
        <v>100000</v>
      </c>
      <c r="K110" s="2"/>
      <c r="L110" s="2">
        <f t="shared" si="241"/>
        <v>100000</v>
      </c>
      <c r="M110" s="2"/>
      <c r="N110" s="2">
        <f t="shared" si="265"/>
        <v>100000</v>
      </c>
      <c r="O110" s="2"/>
      <c r="P110" s="2">
        <f>N110+O110</f>
        <v>100000</v>
      </c>
      <c r="Q110" s="2"/>
      <c r="R110" s="2"/>
      <c r="S110" s="2"/>
      <c r="T110" s="2"/>
      <c r="U110" s="2">
        <f t="shared" si="267"/>
        <v>100000</v>
      </c>
      <c r="V110" s="89"/>
    </row>
    <row r="111" spans="1:22" s="10" customFormat="1" ht="13.5" customHeight="1" x14ac:dyDescent="0.25">
      <c r="A111" s="199" t="s">
        <v>70</v>
      </c>
      <c r="B111" s="297"/>
      <c r="C111" s="297"/>
      <c r="E111" s="294">
        <v>851</v>
      </c>
      <c r="F111" s="34" t="s">
        <v>63</v>
      </c>
      <c r="G111" s="34"/>
      <c r="H111" s="34"/>
      <c r="I111" s="7"/>
      <c r="J111" s="8">
        <f t="shared" ref="J111:P111" si="286">J112+J116</f>
        <v>741440</v>
      </c>
      <c r="K111" s="8">
        <f t="shared" si="286"/>
        <v>943038</v>
      </c>
      <c r="L111" s="8">
        <f t="shared" si="286"/>
        <v>1684478</v>
      </c>
      <c r="M111" s="8">
        <f t="shared" si="286"/>
        <v>0</v>
      </c>
      <c r="N111" s="8">
        <f t="shared" si="286"/>
        <v>1684478</v>
      </c>
      <c r="O111" s="8">
        <f t="shared" si="286"/>
        <v>0</v>
      </c>
      <c r="P111" s="8">
        <f t="shared" si="286"/>
        <v>1684478</v>
      </c>
      <c r="Q111" s="8">
        <f t="shared" ref="Q111:U111" si="287">Q112+Q116</f>
        <v>763137</v>
      </c>
      <c r="R111" s="8">
        <f>SUM(R112:R134)</f>
        <v>969400</v>
      </c>
      <c r="S111" s="8">
        <f t="shared" ref="S111:T111" si="288">SUM(S112:S134)</f>
        <v>-206263</v>
      </c>
      <c r="T111" s="8">
        <f t="shared" si="288"/>
        <v>0</v>
      </c>
      <c r="U111" s="8">
        <f t="shared" si="287"/>
        <v>2447615</v>
      </c>
      <c r="V111" s="435"/>
    </row>
    <row r="112" spans="1:22" s="13" customFormat="1" ht="13.5" customHeight="1" x14ac:dyDescent="0.25">
      <c r="A112" s="512" t="s">
        <v>247</v>
      </c>
      <c r="B112" s="512"/>
      <c r="C112" s="265"/>
      <c r="E112" s="219">
        <v>851</v>
      </c>
      <c r="F112" s="20" t="s">
        <v>63</v>
      </c>
      <c r="G112" s="101" t="s">
        <v>17</v>
      </c>
      <c r="H112" s="20"/>
      <c r="I112" s="11"/>
      <c r="J112" s="12">
        <f t="shared" ref="J112:U114" si="289">J113</f>
        <v>41440</v>
      </c>
      <c r="K112" s="12">
        <f t="shared" si="289"/>
        <v>0</v>
      </c>
      <c r="L112" s="12">
        <f t="shared" si="289"/>
        <v>41440</v>
      </c>
      <c r="M112" s="12">
        <f t="shared" si="289"/>
        <v>0</v>
      </c>
      <c r="N112" s="12">
        <f t="shared" si="289"/>
        <v>41440</v>
      </c>
      <c r="O112" s="12">
        <f t="shared" si="289"/>
        <v>0</v>
      </c>
      <c r="P112" s="12">
        <f t="shared" si="289"/>
        <v>41440</v>
      </c>
      <c r="Q112" s="12">
        <f t="shared" si="289"/>
        <v>0</v>
      </c>
      <c r="R112" s="12"/>
      <c r="S112" s="12"/>
      <c r="T112" s="12"/>
      <c r="U112" s="12">
        <f t="shared" si="289"/>
        <v>41440</v>
      </c>
      <c r="V112" s="415"/>
    </row>
    <row r="113" spans="1:22" s="13" customFormat="1" ht="13.5" customHeight="1" x14ac:dyDescent="0.25">
      <c r="A113" s="509" t="s">
        <v>457</v>
      </c>
      <c r="B113" s="509"/>
      <c r="C113" s="253"/>
      <c r="D113" s="6"/>
      <c r="E113" s="219">
        <v>851</v>
      </c>
      <c r="F113" s="18" t="s">
        <v>63</v>
      </c>
      <c r="G113" s="100" t="s">
        <v>17</v>
      </c>
      <c r="H113" s="18" t="s">
        <v>458</v>
      </c>
      <c r="I113" s="1"/>
      <c r="J113" s="2">
        <f t="shared" si="289"/>
        <v>41440</v>
      </c>
      <c r="K113" s="2">
        <f t="shared" si="289"/>
        <v>0</v>
      </c>
      <c r="L113" s="2">
        <f t="shared" si="289"/>
        <v>41440</v>
      </c>
      <c r="M113" s="2">
        <f t="shared" si="289"/>
        <v>0</v>
      </c>
      <c r="N113" s="2">
        <f t="shared" si="289"/>
        <v>41440</v>
      </c>
      <c r="O113" s="2">
        <f t="shared" si="289"/>
        <v>0</v>
      </c>
      <c r="P113" s="2">
        <f t="shared" si="289"/>
        <v>41440</v>
      </c>
      <c r="Q113" s="2">
        <f t="shared" si="289"/>
        <v>0</v>
      </c>
      <c r="R113" s="2"/>
      <c r="S113" s="2"/>
      <c r="T113" s="2"/>
      <c r="U113" s="2">
        <f t="shared" si="289"/>
        <v>41440</v>
      </c>
      <c r="V113" s="74"/>
    </row>
    <row r="114" spans="1:22" s="13" customFormat="1" ht="15" customHeight="1" x14ac:dyDescent="0.25">
      <c r="A114" s="253"/>
      <c r="B114" s="267" t="s">
        <v>27</v>
      </c>
      <c r="C114" s="253"/>
      <c r="D114" s="253"/>
      <c r="E114" s="219">
        <v>851</v>
      </c>
      <c r="F114" s="18" t="s">
        <v>63</v>
      </c>
      <c r="G114" s="100" t="s">
        <v>17</v>
      </c>
      <c r="H114" s="18" t="s">
        <v>458</v>
      </c>
      <c r="I114" s="1" t="s">
        <v>28</v>
      </c>
      <c r="J114" s="2">
        <f t="shared" si="289"/>
        <v>41440</v>
      </c>
      <c r="K114" s="2">
        <f t="shared" si="289"/>
        <v>0</v>
      </c>
      <c r="L114" s="2">
        <f t="shared" si="289"/>
        <v>41440</v>
      </c>
      <c r="M114" s="2">
        <f t="shared" si="289"/>
        <v>0</v>
      </c>
      <c r="N114" s="2">
        <f t="shared" si="289"/>
        <v>41440</v>
      </c>
      <c r="O114" s="2">
        <f t="shared" si="289"/>
        <v>0</v>
      </c>
      <c r="P114" s="2">
        <f t="shared" si="289"/>
        <v>41440</v>
      </c>
      <c r="Q114" s="2">
        <f t="shared" si="289"/>
        <v>0</v>
      </c>
      <c r="R114" s="2"/>
      <c r="S114" s="2"/>
      <c r="T114" s="2"/>
      <c r="U114" s="2">
        <f t="shared" si="289"/>
        <v>41440</v>
      </c>
      <c r="V114" s="74"/>
    </row>
    <row r="115" spans="1:22" s="13" customFormat="1" ht="26.25" customHeight="1" x14ac:dyDescent="0.25">
      <c r="A115" s="253"/>
      <c r="B115" s="267" t="s">
        <v>29</v>
      </c>
      <c r="C115" s="253"/>
      <c r="D115" s="253"/>
      <c r="E115" s="219">
        <v>851</v>
      </c>
      <c r="F115" s="18" t="s">
        <v>63</v>
      </c>
      <c r="G115" s="100" t="s">
        <v>17</v>
      </c>
      <c r="H115" s="18" t="s">
        <v>458</v>
      </c>
      <c r="I115" s="1" t="s">
        <v>30</v>
      </c>
      <c r="J115" s="2">
        <f>41422+18</f>
        <v>41440</v>
      </c>
      <c r="K115" s="2"/>
      <c r="L115" s="2">
        <f t="shared" si="241"/>
        <v>41440</v>
      </c>
      <c r="M115" s="2"/>
      <c r="N115" s="2">
        <f t="shared" ref="N115" si="290">L115+M115</f>
        <v>41440</v>
      </c>
      <c r="O115" s="2"/>
      <c r="P115" s="2">
        <f>N115+O115</f>
        <v>41440</v>
      </c>
      <c r="Q115" s="2"/>
      <c r="R115" s="2"/>
      <c r="S115" s="2"/>
      <c r="T115" s="2"/>
      <c r="U115" s="2">
        <f t="shared" ref="U115" si="291">P115+Q115</f>
        <v>41440</v>
      </c>
      <c r="V115" s="31"/>
    </row>
    <row r="116" spans="1:22" s="13" customFormat="1" x14ac:dyDescent="0.25">
      <c r="A116" s="269" t="s">
        <v>71</v>
      </c>
      <c r="B116" s="265"/>
      <c r="C116" s="265"/>
      <c r="E116" s="219">
        <v>851</v>
      </c>
      <c r="F116" s="20" t="s">
        <v>63</v>
      </c>
      <c r="G116" s="20" t="s">
        <v>72</v>
      </c>
      <c r="H116" s="20"/>
      <c r="I116" s="11"/>
      <c r="J116" s="12">
        <f>J117+J120+J123+J126</f>
        <v>700000</v>
      </c>
      <c r="K116" s="12">
        <f t="shared" ref="K116" si="292">K117+K120+K123+K126</f>
        <v>943038</v>
      </c>
      <c r="L116" s="12">
        <f>L117+L120+L123+L126</f>
        <v>1643038</v>
      </c>
      <c r="M116" s="12">
        <f t="shared" ref="M116:N116" si="293">M117+M120+M123+M126</f>
        <v>0</v>
      </c>
      <c r="N116" s="12">
        <f t="shared" si="293"/>
        <v>1643038</v>
      </c>
      <c r="O116" s="12">
        <f t="shared" ref="O116" si="294">O117+O120+O123+O126</f>
        <v>0</v>
      </c>
      <c r="P116" s="12">
        <f>P117+P120+P123+P126+P129+P132</f>
        <v>1643038</v>
      </c>
      <c r="Q116" s="12">
        <f t="shared" ref="Q116:U116" si="295">Q117+Q120+Q123+Q126+Q129+Q132</f>
        <v>763137</v>
      </c>
      <c r="R116" s="12"/>
      <c r="S116" s="12"/>
      <c r="T116" s="12"/>
      <c r="U116" s="12">
        <f t="shared" si="295"/>
        <v>2406175</v>
      </c>
      <c r="V116" s="31"/>
    </row>
    <row r="117" spans="1:22" x14ac:dyDescent="0.25">
      <c r="A117" s="525" t="s">
        <v>586</v>
      </c>
      <c r="B117" s="526"/>
      <c r="C117" s="304"/>
      <c r="E117" s="219">
        <v>851</v>
      </c>
      <c r="F117" s="18" t="s">
        <v>63</v>
      </c>
      <c r="G117" s="18" t="s">
        <v>72</v>
      </c>
      <c r="H117" s="18" t="s">
        <v>585</v>
      </c>
      <c r="I117" s="1"/>
      <c r="J117" s="2">
        <f t="shared" ref="J117:J118" si="296">J118</f>
        <v>0</v>
      </c>
      <c r="K117" s="2">
        <f t="shared" ref="K117:K118" si="297">K118</f>
        <v>285000</v>
      </c>
      <c r="L117" s="2">
        <f t="shared" ref="L117:L118" si="298">L118</f>
        <v>285000</v>
      </c>
      <c r="M117" s="2">
        <f t="shared" ref="M117:M118" si="299">M118</f>
        <v>0</v>
      </c>
      <c r="N117" s="2">
        <f t="shared" ref="N117:N118" si="300">N118</f>
        <v>285000</v>
      </c>
      <c r="O117" s="2">
        <f t="shared" ref="O117:O118" si="301">O118</f>
        <v>0</v>
      </c>
      <c r="P117" s="2">
        <f t="shared" ref="P117:P118" si="302">P118</f>
        <v>285000</v>
      </c>
      <c r="Q117" s="2">
        <f t="shared" ref="Q117:Q118" si="303">Q118</f>
        <v>0</v>
      </c>
      <c r="R117" s="2"/>
      <c r="S117" s="2"/>
      <c r="T117" s="2"/>
      <c r="U117" s="2">
        <f t="shared" ref="U117:U118" si="304">U118</f>
        <v>285000</v>
      </c>
      <c r="V117" s="74"/>
    </row>
    <row r="118" spans="1:22" s="13" customFormat="1" ht="13.5" customHeight="1" x14ac:dyDescent="0.25">
      <c r="A118" s="312"/>
      <c r="B118" s="304" t="s">
        <v>467</v>
      </c>
      <c r="C118" s="310"/>
      <c r="E118" s="219">
        <v>851</v>
      </c>
      <c r="F118" s="18" t="s">
        <v>63</v>
      </c>
      <c r="G118" s="18" t="s">
        <v>72</v>
      </c>
      <c r="H118" s="18" t="s">
        <v>585</v>
      </c>
      <c r="I118" s="1" t="s">
        <v>75</v>
      </c>
      <c r="J118" s="2">
        <f t="shared" si="296"/>
        <v>0</v>
      </c>
      <c r="K118" s="2">
        <f t="shared" si="297"/>
        <v>285000</v>
      </c>
      <c r="L118" s="2">
        <f t="shared" si="298"/>
        <v>285000</v>
      </c>
      <c r="M118" s="2">
        <f t="shared" si="299"/>
        <v>0</v>
      </c>
      <c r="N118" s="2">
        <f t="shared" si="300"/>
        <v>285000</v>
      </c>
      <c r="O118" s="2">
        <f t="shared" si="301"/>
        <v>0</v>
      </c>
      <c r="P118" s="2">
        <f t="shared" si="302"/>
        <v>285000</v>
      </c>
      <c r="Q118" s="2">
        <f t="shared" si="303"/>
        <v>0</v>
      </c>
      <c r="R118" s="2"/>
      <c r="S118" s="2"/>
      <c r="T118" s="2"/>
      <c r="U118" s="2">
        <f t="shared" si="304"/>
        <v>285000</v>
      </c>
      <c r="V118" s="74"/>
    </row>
    <row r="119" spans="1:22" s="13" customFormat="1" ht="24" x14ac:dyDescent="0.25">
      <c r="A119" s="312"/>
      <c r="B119" s="304" t="s">
        <v>76</v>
      </c>
      <c r="C119" s="310"/>
      <c r="E119" s="219">
        <v>851</v>
      </c>
      <c r="F119" s="18" t="s">
        <v>63</v>
      </c>
      <c r="G119" s="18" t="s">
        <v>72</v>
      </c>
      <c r="H119" s="18" t="s">
        <v>585</v>
      </c>
      <c r="I119" s="1" t="s">
        <v>77</v>
      </c>
      <c r="J119" s="2">
        <v>0</v>
      </c>
      <c r="K119" s="2">
        <v>285000</v>
      </c>
      <c r="L119" s="2">
        <f t="shared" ref="L119" si="305">J119+K119</f>
        <v>285000</v>
      </c>
      <c r="M119" s="2"/>
      <c r="N119" s="2">
        <f t="shared" ref="N119:N125" si="306">L119+M119</f>
        <v>285000</v>
      </c>
      <c r="O119" s="2"/>
      <c r="P119" s="2">
        <f>N119+O119</f>
        <v>285000</v>
      </c>
      <c r="Q119" s="2"/>
      <c r="R119" s="2"/>
      <c r="S119" s="2"/>
      <c r="T119" s="2"/>
      <c r="U119" s="2">
        <f t="shared" ref="U119:U125" si="307">P119+Q119</f>
        <v>285000</v>
      </c>
      <c r="V119" s="31"/>
    </row>
    <row r="120" spans="1:22" ht="24" customHeight="1" x14ac:dyDescent="0.25">
      <c r="A120" s="509" t="s">
        <v>73</v>
      </c>
      <c r="B120" s="509"/>
      <c r="C120" s="253"/>
      <c r="D120" s="253"/>
      <c r="E120" s="219">
        <v>851</v>
      </c>
      <c r="F120" s="18" t="s">
        <v>63</v>
      </c>
      <c r="G120" s="18" t="s">
        <v>72</v>
      </c>
      <c r="H120" s="18" t="s">
        <v>74</v>
      </c>
      <c r="I120" s="1"/>
      <c r="J120" s="2">
        <f t="shared" ref="J120:J121" si="308">J121</f>
        <v>700000</v>
      </c>
      <c r="K120" s="2">
        <f t="shared" ref="K120:K121" si="309">K121</f>
        <v>10570</v>
      </c>
      <c r="L120" s="2">
        <f t="shared" ref="L120:L121" si="310">L121</f>
        <v>710570</v>
      </c>
      <c r="M120" s="2">
        <f t="shared" ref="M120:M121" si="311">M121</f>
        <v>0</v>
      </c>
      <c r="N120" s="2">
        <f t="shared" ref="N120:N121" si="312">N121</f>
        <v>710570</v>
      </c>
      <c r="O120" s="2">
        <f t="shared" ref="O120:O121" si="313">O121</f>
        <v>0</v>
      </c>
      <c r="P120" s="2">
        <f t="shared" ref="P120:P121" si="314">P121</f>
        <v>710570</v>
      </c>
      <c r="Q120" s="2">
        <f t="shared" ref="Q120:Q121" si="315">Q121</f>
        <v>0</v>
      </c>
      <c r="R120" s="2"/>
      <c r="S120" s="2"/>
      <c r="T120" s="2"/>
      <c r="U120" s="2">
        <f t="shared" ref="U120:U121" si="316">U121</f>
        <v>710570</v>
      </c>
      <c r="V120" s="74"/>
    </row>
    <row r="121" spans="1:22" ht="13.5" customHeight="1" x14ac:dyDescent="0.25">
      <c r="A121" s="253"/>
      <c r="B121" s="253" t="s">
        <v>467</v>
      </c>
      <c r="C121" s="253"/>
      <c r="D121" s="253"/>
      <c r="E121" s="219">
        <v>851</v>
      </c>
      <c r="F121" s="18" t="s">
        <v>63</v>
      </c>
      <c r="G121" s="18" t="s">
        <v>72</v>
      </c>
      <c r="H121" s="18" t="s">
        <v>74</v>
      </c>
      <c r="I121" s="1" t="s">
        <v>75</v>
      </c>
      <c r="J121" s="2">
        <f t="shared" si="308"/>
        <v>700000</v>
      </c>
      <c r="K121" s="2">
        <f t="shared" si="309"/>
        <v>10570</v>
      </c>
      <c r="L121" s="2">
        <f t="shared" si="310"/>
        <v>710570</v>
      </c>
      <c r="M121" s="2">
        <f t="shared" si="311"/>
        <v>0</v>
      </c>
      <c r="N121" s="2">
        <f t="shared" si="312"/>
        <v>710570</v>
      </c>
      <c r="O121" s="2">
        <f t="shared" si="313"/>
        <v>0</v>
      </c>
      <c r="P121" s="2">
        <f t="shared" si="314"/>
        <v>710570</v>
      </c>
      <c r="Q121" s="2">
        <f t="shared" si="315"/>
        <v>0</v>
      </c>
      <c r="R121" s="2"/>
      <c r="S121" s="2"/>
      <c r="T121" s="2"/>
      <c r="U121" s="2">
        <f t="shared" si="316"/>
        <v>710570</v>
      </c>
      <c r="V121" s="74"/>
    </row>
    <row r="122" spans="1:22" ht="25.5" customHeight="1" x14ac:dyDescent="0.25">
      <c r="A122" s="15"/>
      <c r="B122" s="253" t="s">
        <v>76</v>
      </c>
      <c r="C122" s="253"/>
      <c r="D122" s="253"/>
      <c r="E122" s="219">
        <v>851</v>
      </c>
      <c r="F122" s="18" t="s">
        <v>63</v>
      </c>
      <c r="G122" s="18" t="s">
        <v>72</v>
      </c>
      <c r="H122" s="18" t="s">
        <v>74</v>
      </c>
      <c r="I122" s="1" t="s">
        <v>77</v>
      </c>
      <c r="J122" s="2">
        <v>700000</v>
      </c>
      <c r="K122" s="2">
        <v>10570</v>
      </c>
      <c r="L122" s="2">
        <f t="shared" si="241"/>
        <v>710570</v>
      </c>
      <c r="M122" s="2"/>
      <c r="N122" s="2">
        <f t="shared" si="306"/>
        <v>710570</v>
      </c>
      <c r="O122" s="2"/>
      <c r="P122" s="2">
        <f>N122+O122</f>
        <v>710570</v>
      </c>
      <c r="Q122" s="2"/>
      <c r="R122" s="2"/>
      <c r="S122" s="2"/>
      <c r="T122" s="2"/>
      <c r="U122" s="2">
        <f t="shared" si="307"/>
        <v>710570</v>
      </c>
      <c r="V122" s="89"/>
    </row>
    <row r="123" spans="1:22" ht="12.75" customHeight="1" x14ac:dyDescent="0.25">
      <c r="A123" s="509" t="s">
        <v>582</v>
      </c>
      <c r="B123" s="509"/>
      <c r="C123" s="304"/>
      <c r="D123" s="304"/>
      <c r="E123" s="219">
        <v>851</v>
      </c>
      <c r="F123" s="18" t="s">
        <v>63</v>
      </c>
      <c r="G123" s="18" t="s">
        <v>72</v>
      </c>
      <c r="H123" s="18" t="s">
        <v>583</v>
      </c>
      <c r="I123" s="1"/>
      <c r="J123" s="2">
        <f t="shared" ref="J123:J124" si="317">J124</f>
        <v>0</v>
      </c>
      <c r="K123" s="2">
        <f t="shared" ref="K123:K124" si="318">K124</f>
        <v>15000</v>
      </c>
      <c r="L123" s="2">
        <f t="shared" ref="L123:L124" si="319">L124</f>
        <v>15000</v>
      </c>
      <c r="M123" s="2">
        <f t="shared" ref="M123:M124" si="320">M124</f>
        <v>0</v>
      </c>
      <c r="N123" s="2">
        <f t="shared" ref="N123:N124" si="321">N124</f>
        <v>15000</v>
      </c>
      <c r="O123" s="2">
        <f t="shared" ref="O123:O124" si="322">O124</f>
        <v>0</v>
      </c>
      <c r="P123" s="2">
        <f t="shared" ref="P123:P124" si="323">P124</f>
        <v>15000</v>
      </c>
      <c r="Q123" s="2">
        <f t="shared" ref="Q123:Q124" si="324">Q124</f>
        <v>0</v>
      </c>
      <c r="R123" s="2"/>
      <c r="S123" s="2"/>
      <c r="T123" s="2"/>
      <c r="U123" s="2">
        <f t="shared" ref="U123:U124" si="325">U124</f>
        <v>15000</v>
      </c>
      <c r="V123" s="74"/>
    </row>
    <row r="124" spans="1:22" ht="13.5" customHeight="1" x14ac:dyDescent="0.25">
      <c r="A124" s="304"/>
      <c r="B124" s="304" t="s">
        <v>467</v>
      </c>
      <c r="C124" s="304"/>
      <c r="D124" s="304"/>
      <c r="E124" s="219">
        <v>851</v>
      </c>
      <c r="F124" s="18" t="s">
        <v>63</v>
      </c>
      <c r="G124" s="18" t="s">
        <v>72</v>
      </c>
      <c r="H124" s="18" t="s">
        <v>583</v>
      </c>
      <c r="I124" s="1" t="s">
        <v>75</v>
      </c>
      <c r="J124" s="2">
        <f t="shared" si="317"/>
        <v>0</v>
      </c>
      <c r="K124" s="2">
        <f t="shared" si="318"/>
        <v>15000</v>
      </c>
      <c r="L124" s="2">
        <f t="shared" si="319"/>
        <v>15000</v>
      </c>
      <c r="M124" s="2">
        <f t="shared" si="320"/>
        <v>0</v>
      </c>
      <c r="N124" s="2">
        <f t="shared" si="321"/>
        <v>15000</v>
      </c>
      <c r="O124" s="2">
        <f t="shared" si="322"/>
        <v>0</v>
      </c>
      <c r="P124" s="2">
        <f t="shared" si="323"/>
        <v>15000</v>
      </c>
      <c r="Q124" s="2">
        <f t="shared" si="324"/>
        <v>0</v>
      </c>
      <c r="R124" s="2"/>
      <c r="S124" s="2"/>
      <c r="T124" s="2"/>
      <c r="U124" s="2">
        <f t="shared" si="325"/>
        <v>15000</v>
      </c>
      <c r="V124" s="74"/>
    </row>
    <row r="125" spans="1:22" ht="25.5" customHeight="1" x14ac:dyDescent="0.25">
      <c r="A125" s="15"/>
      <c r="B125" s="304" t="s">
        <v>76</v>
      </c>
      <c r="C125" s="304"/>
      <c r="D125" s="304"/>
      <c r="E125" s="219">
        <v>851</v>
      </c>
      <c r="F125" s="18" t="s">
        <v>63</v>
      </c>
      <c r="G125" s="18" t="s">
        <v>72</v>
      </c>
      <c r="H125" s="18" t="s">
        <v>583</v>
      </c>
      <c r="I125" s="1" t="s">
        <v>77</v>
      </c>
      <c r="J125" s="2">
        <v>0</v>
      </c>
      <c r="K125" s="2">
        <v>15000</v>
      </c>
      <c r="L125" s="2">
        <f t="shared" ref="L125" si="326">J125+K125</f>
        <v>15000</v>
      </c>
      <c r="M125" s="2"/>
      <c r="N125" s="2">
        <f t="shared" si="306"/>
        <v>15000</v>
      </c>
      <c r="O125" s="2"/>
      <c r="P125" s="2">
        <f>N125+O125</f>
        <v>15000</v>
      </c>
      <c r="Q125" s="2"/>
      <c r="R125" s="2"/>
      <c r="S125" s="2"/>
      <c r="T125" s="2"/>
      <c r="U125" s="2">
        <f t="shared" si="307"/>
        <v>15000</v>
      </c>
      <c r="V125" s="89"/>
    </row>
    <row r="126" spans="1:22" ht="12.75" customHeight="1" x14ac:dyDescent="0.25">
      <c r="A126" s="525" t="s">
        <v>589</v>
      </c>
      <c r="B126" s="526"/>
      <c r="C126" s="304"/>
      <c r="D126" s="304"/>
      <c r="E126" s="219">
        <v>851</v>
      </c>
      <c r="F126" s="18" t="s">
        <v>63</v>
      </c>
      <c r="G126" s="18" t="s">
        <v>72</v>
      </c>
      <c r="H126" s="18" t="s">
        <v>600</v>
      </c>
      <c r="I126" s="1"/>
      <c r="J126" s="2">
        <f t="shared" ref="J126:J127" si="327">J127</f>
        <v>0</v>
      </c>
      <c r="K126" s="2">
        <f t="shared" ref="K126:K127" si="328">K127</f>
        <v>632468</v>
      </c>
      <c r="L126" s="2">
        <f t="shared" ref="L126:L127" si="329">L127</f>
        <v>632468</v>
      </c>
      <c r="M126" s="2">
        <f t="shared" ref="M126:M127" si="330">M127</f>
        <v>0</v>
      </c>
      <c r="N126" s="2">
        <f t="shared" ref="N126:N127" si="331">N127</f>
        <v>632468</v>
      </c>
      <c r="O126" s="2">
        <f t="shared" ref="O126:O127" si="332">O127</f>
        <v>0</v>
      </c>
      <c r="P126" s="2">
        <f t="shared" ref="P126:P130" si="333">P127</f>
        <v>632468</v>
      </c>
      <c r="Q126" s="2">
        <f t="shared" ref="Q126:Q130" si="334">Q127</f>
        <v>-632468</v>
      </c>
      <c r="R126" s="2"/>
      <c r="S126" s="2"/>
      <c r="T126" s="2"/>
      <c r="U126" s="2">
        <f t="shared" ref="U126:U130" si="335">U127</f>
        <v>0</v>
      </c>
      <c r="V126" s="74"/>
    </row>
    <row r="127" spans="1:22" s="13" customFormat="1" ht="12.75" customHeight="1" x14ac:dyDescent="0.25">
      <c r="A127" s="304"/>
      <c r="B127" s="311" t="s">
        <v>27</v>
      </c>
      <c r="C127" s="304"/>
      <c r="D127" s="304"/>
      <c r="E127" s="219">
        <v>851</v>
      </c>
      <c r="F127" s="18" t="s">
        <v>63</v>
      </c>
      <c r="G127" s="100" t="s">
        <v>72</v>
      </c>
      <c r="H127" s="18" t="s">
        <v>600</v>
      </c>
      <c r="I127" s="1" t="s">
        <v>28</v>
      </c>
      <c r="J127" s="2">
        <f t="shared" si="327"/>
        <v>0</v>
      </c>
      <c r="K127" s="2">
        <f t="shared" si="328"/>
        <v>632468</v>
      </c>
      <c r="L127" s="2">
        <f t="shared" si="329"/>
        <v>632468</v>
      </c>
      <c r="M127" s="2">
        <f t="shared" si="330"/>
        <v>0</v>
      </c>
      <c r="N127" s="2">
        <f t="shared" si="331"/>
        <v>632468</v>
      </c>
      <c r="O127" s="2">
        <f t="shared" si="332"/>
        <v>0</v>
      </c>
      <c r="P127" s="2">
        <f t="shared" si="333"/>
        <v>632468</v>
      </c>
      <c r="Q127" s="2">
        <f t="shared" si="334"/>
        <v>-632468</v>
      </c>
      <c r="R127" s="2"/>
      <c r="S127" s="2"/>
      <c r="T127" s="2"/>
      <c r="U127" s="2">
        <f t="shared" si="335"/>
        <v>0</v>
      </c>
      <c r="V127" s="74"/>
    </row>
    <row r="128" spans="1:22" s="13" customFormat="1" ht="26.25" customHeight="1" x14ac:dyDescent="0.25">
      <c r="A128" s="304"/>
      <c r="B128" s="311" t="s">
        <v>29</v>
      </c>
      <c r="C128" s="304"/>
      <c r="D128" s="304"/>
      <c r="E128" s="219">
        <v>851</v>
      </c>
      <c r="F128" s="18" t="s">
        <v>63</v>
      </c>
      <c r="G128" s="100" t="s">
        <v>72</v>
      </c>
      <c r="H128" s="18" t="s">
        <v>600</v>
      </c>
      <c r="I128" s="1" t="s">
        <v>30</v>
      </c>
      <c r="J128" s="2">
        <v>0</v>
      </c>
      <c r="K128" s="2">
        <v>632468</v>
      </c>
      <c r="L128" s="2">
        <f t="shared" ref="L128" si="336">J128+K128</f>
        <v>632468</v>
      </c>
      <c r="M128" s="2"/>
      <c r="N128" s="2">
        <f t="shared" ref="N128" si="337">L128+M128</f>
        <v>632468</v>
      </c>
      <c r="O128" s="2"/>
      <c r="P128" s="2">
        <f>N128+O128</f>
        <v>632468</v>
      </c>
      <c r="Q128" s="313">
        <f>-205963-426342-163</f>
        <v>-632468</v>
      </c>
      <c r="R128" s="2"/>
      <c r="S128" s="2">
        <f>Q128</f>
        <v>-632468</v>
      </c>
      <c r="T128" s="2"/>
      <c r="U128" s="2">
        <f t="shared" ref="U128" si="338">P128+Q128</f>
        <v>0</v>
      </c>
      <c r="V128" s="31"/>
    </row>
    <row r="129" spans="1:22" s="13" customFormat="1" ht="26.25" customHeight="1" x14ac:dyDescent="0.25">
      <c r="A129" s="527" t="s">
        <v>686</v>
      </c>
      <c r="B129" s="528"/>
      <c r="C129" s="444"/>
      <c r="D129" s="444"/>
      <c r="E129" s="219">
        <v>851</v>
      </c>
      <c r="F129" s="18" t="s">
        <v>63</v>
      </c>
      <c r="G129" s="18" t="s">
        <v>72</v>
      </c>
      <c r="H129" s="18" t="s">
        <v>685</v>
      </c>
      <c r="I129" s="1"/>
      <c r="J129" s="2"/>
      <c r="K129" s="2"/>
      <c r="L129" s="2"/>
      <c r="M129" s="2"/>
      <c r="N129" s="2"/>
      <c r="O129" s="2"/>
      <c r="P129" s="2">
        <f t="shared" si="333"/>
        <v>0</v>
      </c>
      <c r="Q129" s="313">
        <f t="shared" si="334"/>
        <v>426205</v>
      </c>
      <c r="R129" s="2"/>
      <c r="S129" s="2"/>
      <c r="T129" s="2"/>
      <c r="U129" s="2">
        <f t="shared" si="335"/>
        <v>426205</v>
      </c>
      <c r="V129" s="31"/>
    </row>
    <row r="130" spans="1:22" s="13" customFormat="1" ht="26.25" customHeight="1" x14ac:dyDescent="0.25">
      <c r="A130" s="444"/>
      <c r="B130" s="447" t="s">
        <v>27</v>
      </c>
      <c r="C130" s="444"/>
      <c r="D130" s="444"/>
      <c r="E130" s="219">
        <v>851</v>
      </c>
      <c r="F130" s="18" t="s">
        <v>63</v>
      </c>
      <c r="G130" s="100" t="s">
        <v>72</v>
      </c>
      <c r="H130" s="18" t="s">
        <v>685</v>
      </c>
      <c r="I130" s="1" t="s">
        <v>28</v>
      </c>
      <c r="J130" s="2"/>
      <c r="K130" s="2"/>
      <c r="L130" s="2"/>
      <c r="M130" s="2"/>
      <c r="N130" s="2"/>
      <c r="O130" s="2"/>
      <c r="P130" s="2">
        <f t="shared" si="333"/>
        <v>0</v>
      </c>
      <c r="Q130" s="2">
        <f t="shared" si="334"/>
        <v>426205</v>
      </c>
      <c r="R130" s="2"/>
      <c r="S130" s="2"/>
      <c r="T130" s="2"/>
      <c r="U130" s="2">
        <f t="shared" si="335"/>
        <v>426205</v>
      </c>
      <c r="V130" s="31"/>
    </row>
    <row r="131" spans="1:22" s="13" customFormat="1" ht="26.25" customHeight="1" x14ac:dyDescent="0.25">
      <c r="A131" s="444"/>
      <c r="B131" s="447" t="s">
        <v>29</v>
      </c>
      <c r="C131" s="444"/>
      <c r="D131" s="444"/>
      <c r="E131" s="219">
        <v>851</v>
      </c>
      <c r="F131" s="18" t="s">
        <v>63</v>
      </c>
      <c r="G131" s="100" t="s">
        <v>72</v>
      </c>
      <c r="H131" s="18" t="s">
        <v>685</v>
      </c>
      <c r="I131" s="1" t="s">
        <v>30</v>
      </c>
      <c r="J131" s="2"/>
      <c r="K131" s="2"/>
      <c r="L131" s="2"/>
      <c r="M131" s="2"/>
      <c r="N131" s="2"/>
      <c r="O131" s="2"/>
      <c r="P131" s="2">
        <f>N131+O131</f>
        <v>0</v>
      </c>
      <c r="Q131" s="313">
        <f>426342+163-300</f>
        <v>426205</v>
      </c>
      <c r="R131" s="2"/>
      <c r="S131" s="2">
        <f>Q131</f>
        <v>426205</v>
      </c>
      <c r="T131" s="2"/>
      <c r="U131" s="2">
        <f t="shared" ref="U131" si="339">P131+Q131</f>
        <v>426205</v>
      </c>
      <c r="V131" s="31"/>
    </row>
    <row r="132" spans="1:22" s="13" customFormat="1" ht="60" customHeight="1" x14ac:dyDescent="0.25">
      <c r="A132" s="516" t="s">
        <v>663</v>
      </c>
      <c r="B132" s="517"/>
      <c r="C132" s="422"/>
      <c r="D132" s="422"/>
      <c r="E132" s="219">
        <v>851</v>
      </c>
      <c r="F132" s="18" t="s">
        <v>63</v>
      </c>
      <c r="G132" s="18" t="s">
        <v>72</v>
      </c>
      <c r="H132" s="18" t="s">
        <v>664</v>
      </c>
      <c r="I132" s="1"/>
      <c r="J132" s="2"/>
      <c r="K132" s="2"/>
      <c r="L132" s="2"/>
      <c r="M132" s="2"/>
      <c r="N132" s="2"/>
      <c r="O132" s="2"/>
      <c r="P132" s="2">
        <f t="shared" ref="P132:U132" si="340">P133</f>
        <v>0</v>
      </c>
      <c r="Q132" s="2">
        <f t="shared" si="340"/>
        <v>969400</v>
      </c>
      <c r="R132" s="2"/>
      <c r="S132" s="2"/>
      <c r="T132" s="2"/>
      <c r="U132" s="2">
        <f t="shared" si="340"/>
        <v>969400</v>
      </c>
      <c r="V132" s="31"/>
    </row>
    <row r="133" spans="1:22" s="13" customFormat="1" ht="24" customHeight="1" x14ac:dyDescent="0.25">
      <c r="A133" s="422"/>
      <c r="B133" s="422" t="s">
        <v>467</v>
      </c>
      <c r="C133" s="422"/>
      <c r="D133" s="422"/>
      <c r="E133" s="219">
        <v>851</v>
      </c>
      <c r="F133" s="18" t="s">
        <v>63</v>
      </c>
      <c r="G133" s="100" t="s">
        <v>72</v>
      </c>
      <c r="H133" s="18" t="s">
        <v>664</v>
      </c>
      <c r="I133" s="1" t="s">
        <v>75</v>
      </c>
      <c r="J133" s="2">
        <f t="shared" ref="J133:U133" si="341">J134</f>
        <v>0</v>
      </c>
      <c r="K133" s="2">
        <f t="shared" si="341"/>
        <v>0</v>
      </c>
      <c r="L133" s="2">
        <f t="shared" si="341"/>
        <v>0</v>
      </c>
      <c r="M133" s="2">
        <f t="shared" si="341"/>
        <v>0</v>
      </c>
      <c r="N133" s="2">
        <f t="shared" si="341"/>
        <v>0</v>
      </c>
      <c r="O133" s="2">
        <f t="shared" si="341"/>
        <v>0</v>
      </c>
      <c r="P133" s="2">
        <f t="shared" si="341"/>
        <v>0</v>
      </c>
      <c r="Q133" s="2">
        <f t="shared" si="341"/>
        <v>969400</v>
      </c>
      <c r="R133" s="2"/>
      <c r="S133" s="2"/>
      <c r="T133" s="2"/>
      <c r="U133" s="2">
        <f t="shared" si="341"/>
        <v>969400</v>
      </c>
      <c r="V133" s="74"/>
    </row>
    <row r="134" spans="1:22" s="13" customFormat="1" ht="24" customHeight="1" x14ac:dyDescent="0.25">
      <c r="A134" s="422"/>
      <c r="B134" s="422" t="s">
        <v>76</v>
      </c>
      <c r="C134" s="422"/>
      <c r="D134" s="422"/>
      <c r="E134" s="219">
        <v>851</v>
      </c>
      <c r="F134" s="18" t="s">
        <v>63</v>
      </c>
      <c r="G134" s="100" t="s">
        <v>72</v>
      </c>
      <c r="H134" s="18" t="s">
        <v>664</v>
      </c>
      <c r="I134" s="1" t="s">
        <v>77</v>
      </c>
      <c r="J134" s="2"/>
      <c r="K134" s="2"/>
      <c r="L134" s="2"/>
      <c r="M134" s="2"/>
      <c r="N134" s="2"/>
      <c r="O134" s="2"/>
      <c r="P134" s="2"/>
      <c r="Q134" s="2">
        <v>969400</v>
      </c>
      <c r="R134" s="2">
        <v>969400</v>
      </c>
      <c r="S134" s="2"/>
      <c r="T134" s="2"/>
      <c r="U134" s="2">
        <f t="shared" ref="U134" si="342">P134+Q134</f>
        <v>969400</v>
      </c>
      <c r="V134" s="31"/>
    </row>
    <row r="135" spans="1:22" s="10" customFormat="1" x14ac:dyDescent="0.25">
      <c r="A135" s="503" t="s">
        <v>78</v>
      </c>
      <c r="B135" s="503"/>
      <c r="C135" s="261"/>
      <c r="D135" s="261"/>
      <c r="E135" s="219">
        <v>851</v>
      </c>
      <c r="F135" s="7" t="s">
        <v>36</v>
      </c>
      <c r="G135" s="7"/>
      <c r="H135" s="7"/>
      <c r="I135" s="7"/>
      <c r="J135" s="8">
        <f t="shared" ref="J135:U135" si="343">J136</f>
        <v>8214000</v>
      </c>
      <c r="K135" s="8">
        <f t="shared" si="343"/>
        <v>4517500</v>
      </c>
      <c r="L135" s="8">
        <f t="shared" si="343"/>
        <v>12731500</v>
      </c>
      <c r="M135" s="8">
        <f t="shared" si="343"/>
        <v>-940718</v>
      </c>
      <c r="N135" s="8">
        <f t="shared" si="343"/>
        <v>11790782</v>
      </c>
      <c r="O135" s="8">
        <f t="shared" si="343"/>
        <v>-4017500</v>
      </c>
      <c r="P135" s="8">
        <f t="shared" si="343"/>
        <v>7773282</v>
      </c>
      <c r="Q135" s="8">
        <f t="shared" si="343"/>
        <v>11500000</v>
      </c>
      <c r="R135" s="8"/>
      <c r="S135" s="8"/>
      <c r="T135" s="8"/>
      <c r="U135" s="8">
        <f t="shared" si="343"/>
        <v>19273282</v>
      </c>
      <c r="V135" s="435"/>
    </row>
    <row r="136" spans="1:22" s="13" customFormat="1" x14ac:dyDescent="0.25">
      <c r="A136" s="508" t="s">
        <v>82</v>
      </c>
      <c r="B136" s="508"/>
      <c r="C136" s="265"/>
      <c r="D136" s="265"/>
      <c r="E136" s="219">
        <v>851</v>
      </c>
      <c r="F136" s="11" t="s">
        <v>36</v>
      </c>
      <c r="G136" s="11" t="s">
        <v>72</v>
      </c>
      <c r="H136" s="11"/>
      <c r="I136" s="11"/>
      <c r="J136" s="12">
        <f>J137+J140</f>
        <v>8214000</v>
      </c>
      <c r="K136" s="12">
        <f t="shared" ref="K136:L136" si="344">K137+K140</f>
        <v>4517500</v>
      </c>
      <c r="L136" s="12">
        <f t="shared" si="344"/>
        <v>12731500</v>
      </c>
      <c r="M136" s="12">
        <f t="shared" ref="M136:N136" si="345">M137+M140</f>
        <v>-940718</v>
      </c>
      <c r="N136" s="12">
        <f t="shared" si="345"/>
        <v>11790782</v>
      </c>
      <c r="O136" s="12">
        <f t="shared" ref="O136:P136" si="346">O137+O140</f>
        <v>-4017500</v>
      </c>
      <c r="P136" s="12">
        <f t="shared" si="346"/>
        <v>7773282</v>
      </c>
      <c r="Q136" s="12">
        <f t="shared" ref="Q136:U136" si="347">Q137+Q140</f>
        <v>11500000</v>
      </c>
      <c r="R136" s="12"/>
      <c r="S136" s="12"/>
      <c r="T136" s="12"/>
      <c r="U136" s="12">
        <f t="shared" si="347"/>
        <v>19273282</v>
      </c>
      <c r="V136" s="31"/>
    </row>
    <row r="137" spans="1:22" s="13" customFormat="1" ht="13.5" customHeight="1" x14ac:dyDescent="0.25">
      <c r="A137" s="525" t="s">
        <v>586</v>
      </c>
      <c r="B137" s="526"/>
      <c r="C137" s="310"/>
      <c r="D137" s="310"/>
      <c r="E137" s="219">
        <v>851</v>
      </c>
      <c r="F137" s="1" t="s">
        <v>36</v>
      </c>
      <c r="G137" s="18" t="s">
        <v>72</v>
      </c>
      <c r="H137" s="1" t="s">
        <v>585</v>
      </c>
      <c r="I137" s="11"/>
      <c r="J137" s="2">
        <f>J138</f>
        <v>0</v>
      </c>
      <c r="K137" s="2">
        <f t="shared" ref="J137:U138" si="348">K138</f>
        <v>4517500</v>
      </c>
      <c r="L137" s="2">
        <f t="shared" si="348"/>
        <v>4517500</v>
      </c>
      <c r="M137" s="2">
        <f t="shared" si="348"/>
        <v>0</v>
      </c>
      <c r="N137" s="2">
        <f t="shared" si="348"/>
        <v>4517500</v>
      </c>
      <c r="O137" s="2">
        <f t="shared" si="348"/>
        <v>-4017500</v>
      </c>
      <c r="P137" s="2">
        <f t="shared" si="348"/>
        <v>500000</v>
      </c>
      <c r="Q137" s="2">
        <f t="shared" si="348"/>
        <v>11500000</v>
      </c>
      <c r="R137" s="2"/>
      <c r="S137" s="2"/>
      <c r="T137" s="2"/>
      <c r="U137" s="2">
        <f t="shared" si="348"/>
        <v>12000000</v>
      </c>
      <c r="V137" s="31"/>
    </row>
    <row r="138" spans="1:22" s="13" customFormat="1" ht="13.5" customHeight="1" x14ac:dyDescent="0.25">
      <c r="A138" s="312"/>
      <c r="B138" s="304" t="s">
        <v>467</v>
      </c>
      <c r="C138" s="310"/>
      <c r="D138" s="310"/>
      <c r="E138" s="219">
        <v>851</v>
      </c>
      <c r="F138" s="1" t="s">
        <v>36</v>
      </c>
      <c r="G138" s="18" t="s">
        <v>72</v>
      </c>
      <c r="H138" s="1" t="s">
        <v>585</v>
      </c>
      <c r="I138" s="1" t="s">
        <v>75</v>
      </c>
      <c r="J138" s="2">
        <f t="shared" si="348"/>
        <v>0</v>
      </c>
      <c r="K138" s="2">
        <f t="shared" si="348"/>
        <v>4517500</v>
      </c>
      <c r="L138" s="2">
        <f t="shared" si="348"/>
        <v>4517500</v>
      </c>
      <c r="M138" s="2">
        <f t="shared" si="348"/>
        <v>0</v>
      </c>
      <c r="N138" s="2">
        <f t="shared" si="348"/>
        <v>4517500</v>
      </c>
      <c r="O138" s="2">
        <f t="shared" si="348"/>
        <v>-4017500</v>
      </c>
      <c r="P138" s="2">
        <f t="shared" si="348"/>
        <v>500000</v>
      </c>
      <c r="Q138" s="2">
        <f t="shared" si="348"/>
        <v>11500000</v>
      </c>
      <c r="R138" s="2"/>
      <c r="S138" s="2"/>
      <c r="T138" s="2"/>
      <c r="U138" s="2">
        <f t="shared" si="348"/>
        <v>12000000</v>
      </c>
      <c r="V138" s="74"/>
    </row>
    <row r="139" spans="1:22" s="13" customFormat="1" ht="24" x14ac:dyDescent="0.25">
      <c r="A139" s="312"/>
      <c r="B139" s="304" t="s">
        <v>76</v>
      </c>
      <c r="C139" s="310"/>
      <c r="D139" s="310"/>
      <c r="E139" s="219">
        <v>851</v>
      </c>
      <c r="F139" s="1" t="s">
        <v>36</v>
      </c>
      <c r="G139" s="18" t="s">
        <v>72</v>
      </c>
      <c r="H139" s="1" t="s">
        <v>585</v>
      </c>
      <c r="I139" s="1" t="s">
        <v>77</v>
      </c>
      <c r="J139" s="2"/>
      <c r="K139" s="2">
        <v>4517500</v>
      </c>
      <c r="L139" s="2">
        <f t="shared" ref="L139:L141" si="349">J139+K139</f>
        <v>4517500</v>
      </c>
      <c r="M139" s="2"/>
      <c r="N139" s="2">
        <f t="shared" ref="N139:N144" si="350">L139+M139</f>
        <v>4517500</v>
      </c>
      <c r="O139" s="2">
        <v>-4017500</v>
      </c>
      <c r="P139" s="2">
        <f>N139+O139</f>
        <v>500000</v>
      </c>
      <c r="Q139" s="2">
        <v>11500000</v>
      </c>
      <c r="R139" s="2">
        <v>11500000</v>
      </c>
      <c r="S139" s="2"/>
      <c r="T139" s="2"/>
      <c r="U139" s="2">
        <f t="shared" ref="U139" si="351">P139+Q139</f>
        <v>12000000</v>
      </c>
      <c r="V139" s="31"/>
    </row>
    <row r="140" spans="1:22" x14ac:dyDescent="0.25">
      <c r="A140" s="509" t="s">
        <v>117</v>
      </c>
      <c r="B140" s="509"/>
      <c r="C140" s="253"/>
      <c r="D140" s="253"/>
      <c r="E140" s="219">
        <v>851</v>
      </c>
      <c r="F140" s="1" t="s">
        <v>36</v>
      </c>
      <c r="G140" s="18" t="s">
        <v>72</v>
      </c>
      <c r="H140" s="1" t="s">
        <v>81</v>
      </c>
      <c r="I140" s="1"/>
      <c r="J140" s="2">
        <f t="shared" ref="J140:K140" si="352">J141</f>
        <v>8214000</v>
      </c>
      <c r="K140" s="2">
        <f t="shared" si="352"/>
        <v>0</v>
      </c>
      <c r="L140" s="2">
        <f>L143</f>
        <v>8214000</v>
      </c>
      <c r="M140" s="2">
        <f t="shared" ref="M140:N140" si="353">M143</f>
        <v>-940718</v>
      </c>
      <c r="N140" s="2">
        <f t="shared" si="353"/>
        <v>7273282</v>
      </c>
      <c r="O140" s="2">
        <f t="shared" ref="O140:P140" si="354">O143</f>
        <v>0</v>
      </c>
      <c r="P140" s="2">
        <f t="shared" si="354"/>
        <v>7273282</v>
      </c>
      <c r="Q140" s="2">
        <f t="shared" ref="Q140:U140" si="355">Q143</f>
        <v>0</v>
      </c>
      <c r="R140" s="2"/>
      <c r="S140" s="2"/>
      <c r="T140" s="2"/>
      <c r="U140" s="2">
        <f t="shared" si="355"/>
        <v>7273282</v>
      </c>
      <c r="V140" s="89"/>
    </row>
    <row r="141" spans="1:22" hidden="1" x14ac:dyDescent="0.25">
      <c r="A141" s="253"/>
      <c r="B141" s="253" t="s">
        <v>27</v>
      </c>
      <c r="C141" s="252"/>
      <c r="D141" s="252"/>
      <c r="E141" s="219">
        <v>851</v>
      </c>
      <c r="F141" s="1" t="s">
        <v>36</v>
      </c>
      <c r="G141" s="18" t="s">
        <v>72</v>
      </c>
      <c r="H141" s="1" t="s">
        <v>81</v>
      </c>
      <c r="I141" s="1" t="s">
        <v>28</v>
      </c>
      <c r="J141" s="2">
        <f>10245000-2030982-18</f>
        <v>8214000</v>
      </c>
      <c r="K141" s="2"/>
      <c r="L141" s="2">
        <f t="shared" si="349"/>
        <v>8214000</v>
      </c>
      <c r="M141" s="2"/>
      <c r="N141" s="2">
        <f t="shared" si="350"/>
        <v>8214000</v>
      </c>
      <c r="O141" s="2"/>
      <c r="P141" s="2">
        <f>N141+O141</f>
        <v>8214000</v>
      </c>
      <c r="Q141" s="2"/>
      <c r="R141" s="2"/>
      <c r="S141" s="2"/>
      <c r="T141" s="2"/>
      <c r="U141" s="2">
        <f t="shared" ref="U141:U144" si="356">P141+Q141</f>
        <v>8214000</v>
      </c>
      <c r="V141" s="89"/>
    </row>
    <row r="142" spans="1:22" ht="24" hidden="1" x14ac:dyDescent="0.25">
      <c r="A142" s="253"/>
      <c r="B142" s="253" t="s">
        <v>29</v>
      </c>
      <c r="C142" s="253"/>
      <c r="D142" s="253"/>
      <c r="E142" s="219">
        <v>851</v>
      </c>
      <c r="F142" s="1" t="s">
        <v>36</v>
      </c>
      <c r="G142" s="18" t="s">
        <v>72</v>
      </c>
      <c r="H142" s="1" t="s">
        <v>81</v>
      </c>
      <c r="I142" s="1" t="s">
        <v>30</v>
      </c>
      <c r="J142" s="2"/>
      <c r="K142" s="2"/>
      <c r="L142" s="2">
        <f t="shared" si="241"/>
        <v>0</v>
      </c>
      <c r="M142" s="2"/>
      <c r="N142" s="2">
        <f t="shared" si="350"/>
        <v>0</v>
      </c>
      <c r="O142" s="2"/>
      <c r="P142" s="2">
        <f>N142+O142</f>
        <v>0</v>
      </c>
      <c r="Q142" s="2"/>
      <c r="R142" s="2"/>
      <c r="S142" s="2"/>
      <c r="T142" s="2"/>
      <c r="U142" s="2">
        <f t="shared" si="356"/>
        <v>0</v>
      </c>
      <c r="V142" s="89"/>
    </row>
    <row r="143" spans="1:22" ht="14.25" customHeight="1" x14ac:dyDescent="0.25">
      <c r="A143" s="253"/>
      <c r="B143" s="253" t="s">
        <v>467</v>
      </c>
      <c r="C143" s="253"/>
      <c r="D143" s="253"/>
      <c r="E143" s="219">
        <v>851</v>
      </c>
      <c r="F143" s="1" t="s">
        <v>36</v>
      </c>
      <c r="G143" s="18" t="s">
        <v>72</v>
      </c>
      <c r="H143" s="1" t="s">
        <v>81</v>
      </c>
      <c r="I143" s="1" t="s">
        <v>75</v>
      </c>
      <c r="J143" s="2">
        <f t="shared" ref="J143:Q143" si="357">J144</f>
        <v>8214000</v>
      </c>
      <c r="K143" s="2">
        <f t="shared" si="357"/>
        <v>0</v>
      </c>
      <c r="L143" s="2">
        <f t="shared" si="241"/>
        <v>8214000</v>
      </c>
      <c r="M143" s="2">
        <f t="shared" si="357"/>
        <v>-940718</v>
      </c>
      <c r="N143" s="2">
        <f t="shared" si="350"/>
        <v>7273282</v>
      </c>
      <c r="O143" s="2">
        <f t="shared" si="357"/>
        <v>0</v>
      </c>
      <c r="P143" s="2">
        <f>P144</f>
        <v>7273282</v>
      </c>
      <c r="Q143" s="2">
        <f t="shared" si="357"/>
        <v>0</v>
      </c>
      <c r="R143" s="2"/>
      <c r="S143" s="2"/>
      <c r="T143" s="2"/>
      <c r="U143" s="2">
        <f t="shared" si="356"/>
        <v>7273282</v>
      </c>
      <c r="V143" s="89"/>
    </row>
    <row r="144" spans="1:22" ht="25.5" customHeight="1" x14ac:dyDescent="0.25">
      <c r="A144" s="253"/>
      <c r="B144" s="253" t="s">
        <v>76</v>
      </c>
      <c r="C144" s="253"/>
      <c r="D144" s="253"/>
      <c r="E144" s="219">
        <v>851</v>
      </c>
      <c r="F144" s="1" t="s">
        <v>36</v>
      </c>
      <c r="G144" s="18" t="s">
        <v>72</v>
      </c>
      <c r="H144" s="1" t="s">
        <v>81</v>
      </c>
      <c r="I144" s="1" t="s">
        <v>77</v>
      </c>
      <c r="J144" s="2">
        <f>10245000-2030982-18</f>
        <v>8214000</v>
      </c>
      <c r="K144" s="2"/>
      <c r="L144" s="2">
        <f t="shared" si="241"/>
        <v>8214000</v>
      </c>
      <c r="M144" s="2">
        <f>-57314-700000-115000-68104-300</f>
        <v>-940718</v>
      </c>
      <c r="N144" s="2">
        <f t="shared" si="350"/>
        <v>7273282</v>
      </c>
      <c r="O144" s="2"/>
      <c r="P144" s="2">
        <f>N144+O144</f>
        <v>7273282</v>
      </c>
      <c r="Q144" s="2"/>
      <c r="R144" s="2"/>
      <c r="S144" s="2"/>
      <c r="T144" s="2"/>
      <c r="U144" s="2">
        <f t="shared" si="356"/>
        <v>7273282</v>
      </c>
      <c r="V144" s="89"/>
    </row>
    <row r="145" spans="1:22" x14ac:dyDescent="0.25">
      <c r="A145" s="503" t="s">
        <v>83</v>
      </c>
      <c r="B145" s="503"/>
      <c r="C145" s="261"/>
      <c r="D145" s="261"/>
      <c r="E145" s="219">
        <v>851</v>
      </c>
      <c r="F145" s="7" t="s">
        <v>84</v>
      </c>
      <c r="G145" s="7"/>
      <c r="H145" s="7"/>
      <c r="I145" s="7"/>
      <c r="J145" s="8">
        <f t="shared" ref="J145:U145" si="358">J146+J172</f>
        <v>14871640</v>
      </c>
      <c r="K145" s="8">
        <f t="shared" si="358"/>
        <v>605000</v>
      </c>
      <c r="L145" s="8">
        <f t="shared" si="358"/>
        <v>15476640</v>
      </c>
      <c r="M145" s="8">
        <f t="shared" si="358"/>
        <v>0</v>
      </c>
      <c r="N145" s="8">
        <f t="shared" si="358"/>
        <v>15476640</v>
      </c>
      <c r="O145" s="8">
        <f t="shared" si="358"/>
        <v>30000</v>
      </c>
      <c r="P145" s="8">
        <f t="shared" si="358"/>
        <v>15506640</v>
      </c>
      <c r="Q145" s="8">
        <f t="shared" si="358"/>
        <v>261321.25</v>
      </c>
      <c r="R145" s="8">
        <f>SUM(R146:R175)</f>
        <v>261321.25</v>
      </c>
      <c r="S145" s="8">
        <f t="shared" ref="S145:T145" si="359">SUM(S146:S175)</f>
        <v>0</v>
      </c>
      <c r="T145" s="8">
        <f t="shared" si="359"/>
        <v>0</v>
      </c>
      <c r="U145" s="8">
        <f t="shared" si="358"/>
        <v>15767961.25</v>
      </c>
      <c r="V145" s="89"/>
    </row>
    <row r="146" spans="1:22" x14ac:dyDescent="0.25">
      <c r="A146" s="508" t="s">
        <v>85</v>
      </c>
      <c r="B146" s="508"/>
      <c r="C146" s="265"/>
      <c r="D146" s="265"/>
      <c r="E146" s="219">
        <v>851</v>
      </c>
      <c r="F146" s="11" t="s">
        <v>84</v>
      </c>
      <c r="G146" s="11" t="s">
        <v>17</v>
      </c>
      <c r="H146" s="11"/>
      <c r="I146" s="11"/>
      <c r="J146" s="12">
        <f t="shared" ref="J146:O146" si="360">J147+J150+J153+J156+J160+J163+J166</f>
        <v>14856640</v>
      </c>
      <c r="K146" s="12">
        <f t="shared" si="360"/>
        <v>605000</v>
      </c>
      <c r="L146" s="12">
        <f t="shared" si="360"/>
        <v>15461640</v>
      </c>
      <c r="M146" s="12">
        <f t="shared" si="360"/>
        <v>0</v>
      </c>
      <c r="N146" s="12">
        <f t="shared" si="360"/>
        <v>15461640</v>
      </c>
      <c r="O146" s="12">
        <f t="shared" si="360"/>
        <v>30000</v>
      </c>
      <c r="P146" s="12">
        <f>P147+P150+P153+P156+P160+P163+P166+P169</f>
        <v>15491640</v>
      </c>
      <c r="Q146" s="12">
        <f t="shared" ref="Q146:U146" si="361">Q147+Q150+Q153+Q156+Q160+Q163+Q166+Q169</f>
        <v>261321.25</v>
      </c>
      <c r="R146" s="12"/>
      <c r="S146" s="12"/>
      <c r="T146" s="12"/>
      <c r="U146" s="12">
        <f t="shared" si="361"/>
        <v>15752961.25</v>
      </c>
      <c r="V146" s="89"/>
    </row>
    <row r="147" spans="1:22" x14ac:dyDescent="0.25">
      <c r="A147" s="509" t="s">
        <v>90</v>
      </c>
      <c r="B147" s="509"/>
      <c r="C147" s="253"/>
      <c r="D147" s="253"/>
      <c r="E147" s="219">
        <v>851</v>
      </c>
      <c r="F147" s="1" t="s">
        <v>84</v>
      </c>
      <c r="G147" s="1" t="s">
        <v>17</v>
      </c>
      <c r="H147" s="1" t="s">
        <v>557</v>
      </c>
      <c r="I147" s="1"/>
      <c r="J147" s="2">
        <f t="shared" ref="J147:J148" si="362">J148</f>
        <v>2580900</v>
      </c>
      <c r="K147" s="2">
        <f t="shared" ref="K147:K148" si="363">K148</f>
        <v>0</v>
      </c>
      <c r="L147" s="2">
        <f t="shared" ref="L147:L148" si="364">L148</f>
        <v>2580900</v>
      </c>
      <c r="M147" s="2">
        <f t="shared" ref="M147:M148" si="365">M148</f>
        <v>0</v>
      </c>
      <c r="N147" s="2">
        <f t="shared" ref="N147:N148" si="366">N148</f>
        <v>2580900</v>
      </c>
      <c r="O147" s="2">
        <f t="shared" ref="O147:O148" si="367">O148</f>
        <v>11130</v>
      </c>
      <c r="P147" s="2">
        <f t="shared" ref="P147:P148" si="368">P148</f>
        <v>2592030</v>
      </c>
      <c r="Q147" s="2">
        <f t="shared" ref="Q147:Q148" si="369">Q148</f>
        <v>-11130</v>
      </c>
      <c r="R147" s="2"/>
      <c r="S147" s="2"/>
      <c r="T147" s="2"/>
      <c r="U147" s="2">
        <f t="shared" ref="U147:U148" si="370">U148</f>
        <v>2580900</v>
      </c>
      <c r="V147" s="74"/>
    </row>
    <row r="148" spans="1:22" ht="25.5" customHeight="1" x14ac:dyDescent="0.25">
      <c r="A148" s="265"/>
      <c r="B148" s="217" t="s">
        <v>91</v>
      </c>
      <c r="C148" s="265"/>
      <c r="D148" s="265"/>
      <c r="E148" s="219">
        <v>851</v>
      </c>
      <c r="F148" s="1" t="s">
        <v>84</v>
      </c>
      <c r="G148" s="1" t="s">
        <v>17</v>
      </c>
      <c r="H148" s="1" t="s">
        <v>557</v>
      </c>
      <c r="I148" s="1" t="s">
        <v>87</v>
      </c>
      <c r="J148" s="2">
        <f t="shared" si="362"/>
        <v>2580900</v>
      </c>
      <c r="K148" s="2">
        <f t="shared" si="363"/>
        <v>0</v>
      </c>
      <c r="L148" s="2">
        <f t="shared" si="364"/>
        <v>2580900</v>
      </c>
      <c r="M148" s="2">
        <f t="shared" si="365"/>
        <v>0</v>
      </c>
      <c r="N148" s="2">
        <f t="shared" si="366"/>
        <v>2580900</v>
      </c>
      <c r="O148" s="2">
        <f t="shared" si="367"/>
        <v>11130</v>
      </c>
      <c r="P148" s="2">
        <f t="shared" si="368"/>
        <v>2592030</v>
      </c>
      <c r="Q148" s="2">
        <f t="shared" si="369"/>
        <v>-11130</v>
      </c>
      <c r="R148" s="2"/>
      <c r="S148" s="2"/>
      <c r="T148" s="2"/>
      <c r="U148" s="2">
        <f t="shared" si="370"/>
        <v>2580900</v>
      </c>
      <c r="V148" s="74"/>
    </row>
    <row r="149" spans="1:22" ht="37.5" customHeight="1" x14ac:dyDescent="0.25">
      <c r="A149" s="265"/>
      <c r="B149" s="253" t="s">
        <v>88</v>
      </c>
      <c r="C149" s="265"/>
      <c r="D149" s="265"/>
      <c r="E149" s="219">
        <v>851</v>
      </c>
      <c r="F149" s="1" t="s">
        <v>84</v>
      </c>
      <c r="G149" s="1" t="s">
        <v>17</v>
      </c>
      <c r="H149" s="1" t="s">
        <v>557</v>
      </c>
      <c r="I149" s="1" t="s">
        <v>89</v>
      </c>
      <c r="J149" s="2">
        <f>636584+1944239+77</f>
        <v>2580900</v>
      </c>
      <c r="K149" s="2"/>
      <c r="L149" s="2">
        <f t="shared" si="241"/>
        <v>2580900</v>
      </c>
      <c r="M149" s="2"/>
      <c r="N149" s="2">
        <f t="shared" ref="N149:N168" si="371">L149+M149</f>
        <v>2580900</v>
      </c>
      <c r="O149" s="420">
        <v>11130</v>
      </c>
      <c r="P149" s="2">
        <f>N149+O149</f>
        <v>2592030</v>
      </c>
      <c r="Q149" s="420">
        <v>-11130</v>
      </c>
      <c r="R149" s="420">
        <v>-11130</v>
      </c>
      <c r="S149" s="420"/>
      <c r="T149" s="420"/>
      <c r="U149" s="2">
        <f t="shared" ref="U149:U168" si="372">P149+Q149</f>
        <v>2580900</v>
      </c>
      <c r="V149" s="89"/>
    </row>
    <row r="150" spans="1:22" ht="12" customHeight="1" x14ac:dyDescent="0.25">
      <c r="A150" s="516" t="s">
        <v>475</v>
      </c>
      <c r="B150" s="517"/>
      <c r="C150" s="253"/>
      <c r="D150" s="253"/>
      <c r="E150" s="219">
        <v>851</v>
      </c>
      <c r="F150" s="1" t="s">
        <v>84</v>
      </c>
      <c r="G150" s="1" t="s">
        <v>17</v>
      </c>
      <c r="H150" s="1" t="s">
        <v>558</v>
      </c>
      <c r="I150" s="1"/>
      <c r="J150" s="2">
        <f t="shared" ref="J150:J151" si="373">J151</f>
        <v>157900</v>
      </c>
      <c r="K150" s="2">
        <f t="shared" ref="K150:K151" si="374">K151</f>
        <v>0</v>
      </c>
      <c r="L150" s="2">
        <f t="shared" ref="L150:L151" si="375">L151</f>
        <v>157900</v>
      </c>
      <c r="M150" s="2">
        <f t="shared" ref="M150:M151" si="376">M151</f>
        <v>0</v>
      </c>
      <c r="N150" s="2">
        <f t="shared" ref="N150:N151" si="377">N151</f>
        <v>157900</v>
      </c>
      <c r="O150" s="2">
        <f t="shared" ref="O150:O151" si="378">O151</f>
        <v>0</v>
      </c>
      <c r="P150" s="2">
        <f t="shared" ref="P150:P151" si="379">P151</f>
        <v>157900</v>
      </c>
      <c r="Q150" s="2">
        <f t="shared" ref="Q150:Q151" si="380">Q151</f>
        <v>0</v>
      </c>
      <c r="R150" s="2"/>
      <c r="S150" s="2"/>
      <c r="T150" s="2"/>
      <c r="U150" s="2">
        <f t="shared" ref="U150:U151" si="381">U151</f>
        <v>157900</v>
      </c>
      <c r="V150" s="74"/>
    </row>
    <row r="151" spans="1:22" ht="27" customHeight="1" x14ac:dyDescent="0.25">
      <c r="A151" s="253"/>
      <c r="B151" s="217" t="s">
        <v>91</v>
      </c>
      <c r="C151" s="253"/>
      <c r="D151" s="253"/>
      <c r="E151" s="219">
        <v>851</v>
      </c>
      <c r="F151" s="1" t="s">
        <v>84</v>
      </c>
      <c r="G151" s="1" t="s">
        <v>17</v>
      </c>
      <c r="H151" s="1" t="s">
        <v>558</v>
      </c>
      <c r="I151" s="15">
        <v>600</v>
      </c>
      <c r="J151" s="2">
        <f t="shared" si="373"/>
        <v>157900</v>
      </c>
      <c r="K151" s="2">
        <f t="shared" si="374"/>
        <v>0</v>
      </c>
      <c r="L151" s="2">
        <f t="shared" si="375"/>
        <v>157900</v>
      </c>
      <c r="M151" s="2">
        <f t="shared" si="376"/>
        <v>0</v>
      </c>
      <c r="N151" s="2">
        <f t="shared" si="377"/>
        <v>157900</v>
      </c>
      <c r="O151" s="2">
        <f t="shared" si="378"/>
        <v>0</v>
      </c>
      <c r="P151" s="2">
        <f t="shared" si="379"/>
        <v>157900</v>
      </c>
      <c r="Q151" s="2">
        <f t="shared" si="380"/>
        <v>0</v>
      </c>
      <c r="R151" s="2"/>
      <c r="S151" s="2"/>
      <c r="T151" s="2"/>
      <c r="U151" s="2">
        <f t="shared" si="381"/>
        <v>157900</v>
      </c>
      <c r="V151" s="74"/>
    </row>
    <row r="152" spans="1:22" ht="39" customHeight="1" x14ac:dyDescent="0.25">
      <c r="A152" s="253"/>
      <c r="B152" s="253" t="s">
        <v>88</v>
      </c>
      <c r="C152" s="253"/>
      <c r="D152" s="253"/>
      <c r="E152" s="219">
        <v>851</v>
      </c>
      <c r="F152" s="1" t="s">
        <v>84</v>
      </c>
      <c r="G152" s="1" t="s">
        <v>17</v>
      </c>
      <c r="H152" s="1" t="s">
        <v>558</v>
      </c>
      <c r="I152" s="15">
        <v>611</v>
      </c>
      <c r="J152" s="2">
        <f>157664+36+200</f>
        <v>157900</v>
      </c>
      <c r="K152" s="2"/>
      <c r="L152" s="2">
        <f t="shared" si="241"/>
        <v>157900</v>
      </c>
      <c r="M152" s="2"/>
      <c r="N152" s="2">
        <f t="shared" si="371"/>
        <v>157900</v>
      </c>
      <c r="O152" s="2"/>
      <c r="P152" s="2">
        <f>N152+O152</f>
        <v>157900</v>
      </c>
      <c r="Q152" s="2"/>
      <c r="R152" s="2"/>
      <c r="S152" s="2"/>
      <c r="T152" s="2"/>
      <c r="U152" s="2">
        <f t="shared" si="372"/>
        <v>157900</v>
      </c>
      <c r="V152" s="89"/>
    </row>
    <row r="153" spans="1:22" ht="38.25" customHeight="1" x14ac:dyDescent="0.25">
      <c r="A153" s="509" t="s">
        <v>476</v>
      </c>
      <c r="B153" s="509"/>
      <c r="C153" s="253"/>
      <c r="D153" s="253"/>
      <c r="E153" s="219">
        <v>851</v>
      </c>
      <c r="F153" s="1" t="s">
        <v>84</v>
      </c>
      <c r="G153" s="1" t="s">
        <v>17</v>
      </c>
      <c r="H153" s="1" t="s">
        <v>559</v>
      </c>
      <c r="I153" s="15"/>
      <c r="J153" s="2">
        <f t="shared" ref="J153:J154" si="382">J154</f>
        <v>8947680</v>
      </c>
      <c r="K153" s="2">
        <f t="shared" ref="K153:K154" si="383">K154</f>
        <v>0</v>
      </c>
      <c r="L153" s="2">
        <f t="shared" ref="L153:L154" si="384">L154</f>
        <v>8947680</v>
      </c>
      <c r="M153" s="2">
        <f t="shared" ref="M153:M154" si="385">M154</f>
        <v>0</v>
      </c>
      <c r="N153" s="2">
        <f t="shared" ref="N153:N154" si="386">N154</f>
        <v>8947680</v>
      </c>
      <c r="O153" s="2">
        <f t="shared" ref="O153:O154" si="387">O154</f>
        <v>20795</v>
      </c>
      <c r="P153" s="2">
        <f t="shared" ref="P153" si="388">P154</f>
        <v>8968475</v>
      </c>
      <c r="Q153" s="2">
        <f t="shared" ref="Q153:Q154" si="389">Q154</f>
        <v>-51675</v>
      </c>
      <c r="R153" s="2"/>
      <c r="S153" s="2"/>
      <c r="T153" s="2"/>
      <c r="U153" s="2">
        <f t="shared" ref="U153:U154" si="390">U154</f>
        <v>8916800</v>
      </c>
      <c r="V153" s="74"/>
    </row>
    <row r="154" spans="1:22" ht="24" customHeight="1" x14ac:dyDescent="0.25">
      <c r="A154" s="253"/>
      <c r="B154" s="217" t="s">
        <v>91</v>
      </c>
      <c r="C154" s="253"/>
      <c r="D154" s="253"/>
      <c r="E154" s="219">
        <v>851</v>
      </c>
      <c r="F154" s="1" t="s">
        <v>84</v>
      </c>
      <c r="G154" s="1" t="s">
        <v>17</v>
      </c>
      <c r="H154" s="1" t="s">
        <v>559</v>
      </c>
      <c r="I154" s="15">
        <v>600</v>
      </c>
      <c r="J154" s="2">
        <f t="shared" si="382"/>
        <v>8947680</v>
      </c>
      <c r="K154" s="2">
        <f t="shared" si="383"/>
        <v>0</v>
      </c>
      <c r="L154" s="2">
        <f t="shared" si="384"/>
        <v>8947680</v>
      </c>
      <c r="M154" s="2">
        <f t="shared" si="385"/>
        <v>0</v>
      </c>
      <c r="N154" s="2">
        <f t="shared" si="386"/>
        <v>8947680</v>
      </c>
      <c r="O154" s="2">
        <f t="shared" si="387"/>
        <v>20795</v>
      </c>
      <c r="P154" s="2">
        <f>P155</f>
        <v>8968475</v>
      </c>
      <c r="Q154" s="2">
        <f t="shared" si="389"/>
        <v>-51675</v>
      </c>
      <c r="R154" s="2"/>
      <c r="S154" s="2"/>
      <c r="T154" s="2"/>
      <c r="U154" s="2">
        <f t="shared" si="390"/>
        <v>8916800</v>
      </c>
      <c r="V154" s="74"/>
    </row>
    <row r="155" spans="1:22" ht="40.5" customHeight="1" x14ac:dyDescent="0.25">
      <c r="A155" s="253"/>
      <c r="B155" s="253" t="s">
        <v>88</v>
      </c>
      <c r="C155" s="253"/>
      <c r="D155" s="253"/>
      <c r="E155" s="219">
        <v>851</v>
      </c>
      <c r="F155" s="1" t="s">
        <v>84</v>
      </c>
      <c r="G155" s="1" t="s">
        <v>17</v>
      </c>
      <c r="H155" s="1" t="s">
        <v>559</v>
      </c>
      <c r="I155" s="15">
        <v>611</v>
      </c>
      <c r="J155" s="2">
        <f>22260+28620+8896800</f>
        <v>8947680</v>
      </c>
      <c r="K155" s="2"/>
      <c r="L155" s="2">
        <f t="shared" si="241"/>
        <v>8947680</v>
      </c>
      <c r="M155" s="2"/>
      <c r="N155" s="2">
        <f t="shared" si="371"/>
        <v>8947680</v>
      </c>
      <c r="O155" s="2">
        <f>-55000+75000+795</f>
        <v>20795</v>
      </c>
      <c r="P155" s="2">
        <f>N155+O155</f>
        <v>8968475</v>
      </c>
      <c r="Q155" s="2">
        <v>-51675</v>
      </c>
      <c r="R155" s="2">
        <v>-51675</v>
      </c>
      <c r="S155" s="2"/>
      <c r="T155" s="2"/>
      <c r="U155" s="2">
        <f t="shared" si="372"/>
        <v>8916800</v>
      </c>
      <c r="V155" s="89"/>
    </row>
    <row r="156" spans="1:22" ht="38.25" customHeight="1" x14ac:dyDescent="0.25">
      <c r="A156" s="509" t="s">
        <v>477</v>
      </c>
      <c r="B156" s="509"/>
      <c r="C156" s="253"/>
      <c r="D156" s="253"/>
      <c r="E156" s="219">
        <v>851</v>
      </c>
      <c r="F156" s="1" t="s">
        <v>84</v>
      </c>
      <c r="G156" s="1" t="s">
        <v>17</v>
      </c>
      <c r="H156" s="1" t="s">
        <v>560</v>
      </c>
      <c r="I156" s="15"/>
      <c r="J156" s="2">
        <f t="shared" ref="J156:J157" si="391">J157</f>
        <v>2860620</v>
      </c>
      <c r="K156" s="2">
        <f t="shared" ref="K156:K157" si="392">K157</f>
        <v>0</v>
      </c>
      <c r="L156" s="2">
        <f t="shared" ref="L156:L157" si="393">L157</f>
        <v>2860620</v>
      </c>
      <c r="M156" s="2">
        <f t="shared" ref="M156:M157" si="394">M157</f>
        <v>0</v>
      </c>
      <c r="N156" s="2">
        <f t="shared" ref="N156:N157" si="395">N157</f>
        <v>2860620</v>
      </c>
      <c r="O156" s="2">
        <f t="shared" ref="O156:O157" si="396">O157</f>
        <v>-8745</v>
      </c>
      <c r="P156" s="2">
        <f t="shared" ref="P156" si="397">P157</f>
        <v>2851875</v>
      </c>
      <c r="Q156" s="2">
        <f t="shared" ref="Q156" si="398">Q157</f>
        <v>-35775</v>
      </c>
      <c r="R156" s="2"/>
      <c r="S156" s="2"/>
      <c r="T156" s="2"/>
      <c r="U156" s="2">
        <f t="shared" ref="U156" si="399">U157</f>
        <v>2816100</v>
      </c>
      <c r="V156" s="74"/>
    </row>
    <row r="157" spans="1:22" ht="24.75" customHeight="1" x14ac:dyDescent="0.25">
      <c r="A157" s="253"/>
      <c r="B157" s="217" t="s">
        <v>91</v>
      </c>
      <c r="C157" s="253"/>
      <c r="D157" s="253"/>
      <c r="E157" s="219">
        <v>851</v>
      </c>
      <c r="F157" s="1" t="s">
        <v>84</v>
      </c>
      <c r="G157" s="1" t="s">
        <v>17</v>
      </c>
      <c r="H157" s="1" t="s">
        <v>560</v>
      </c>
      <c r="I157" s="15">
        <v>600</v>
      </c>
      <c r="J157" s="2">
        <f t="shared" si="391"/>
        <v>2860620</v>
      </c>
      <c r="K157" s="2">
        <f t="shared" si="392"/>
        <v>0</v>
      </c>
      <c r="L157" s="2">
        <f t="shared" si="393"/>
        <v>2860620</v>
      </c>
      <c r="M157" s="2">
        <f t="shared" si="394"/>
        <v>0</v>
      </c>
      <c r="N157" s="2">
        <f t="shared" si="395"/>
        <v>2860620</v>
      </c>
      <c r="O157" s="2">
        <f t="shared" si="396"/>
        <v>-8745</v>
      </c>
      <c r="P157" s="2">
        <f>P158+P159</f>
        <v>2851875</v>
      </c>
      <c r="Q157" s="2">
        <f t="shared" ref="Q157:U157" si="400">Q158+Q159</f>
        <v>-35775</v>
      </c>
      <c r="R157" s="2"/>
      <c r="S157" s="2"/>
      <c r="T157" s="2"/>
      <c r="U157" s="2">
        <f t="shared" si="400"/>
        <v>2816100</v>
      </c>
      <c r="V157" s="74"/>
    </row>
    <row r="158" spans="1:22" ht="38.25" customHeight="1" x14ac:dyDescent="0.25">
      <c r="A158" s="253"/>
      <c r="B158" s="253" t="s">
        <v>88</v>
      </c>
      <c r="C158" s="253"/>
      <c r="D158" s="253"/>
      <c r="E158" s="219">
        <v>851</v>
      </c>
      <c r="F158" s="1" t="s">
        <v>84</v>
      </c>
      <c r="G158" s="1" t="s">
        <v>17</v>
      </c>
      <c r="H158" s="1" t="s">
        <v>560</v>
      </c>
      <c r="I158" s="15">
        <v>611</v>
      </c>
      <c r="J158" s="2">
        <f>2816100+44520</f>
        <v>2860620</v>
      </c>
      <c r="K158" s="2">
        <v>0</v>
      </c>
      <c r="L158" s="2">
        <f t="shared" si="241"/>
        <v>2860620</v>
      </c>
      <c r="M158" s="2">
        <v>0</v>
      </c>
      <c r="N158" s="2">
        <f t="shared" si="371"/>
        <v>2860620</v>
      </c>
      <c r="O158" s="2">
        <v>-8745</v>
      </c>
      <c r="P158" s="2">
        <f>N158+O158</f>
        <v>2851875</v>
      </c>
      <c r="Q158" s="2">
        <f>-57075-35775</f>
        <v>-92850</v>
      </c>
      <c r="R158" s="2">
        <v>-35775</v>
      </c>
      <c r="S158" s="2"/>
      <c r="T158" s="2">
        <v>-57075</v>
      </c>
      <c r="U158" s="2">
        <f t="shared" si="372"/>
        <v>2759025</v>
      </c>
      <c r="V158" s="89"/>
    </row>
    <row r="159" spans="1:22" ht="14.25" customHeight="1" x14ac:dyDescent="0.25">
      <c r="A159" s="440"/>
      <c r="B159" s="217" t="s">
        <v>119</v>
      </c>
      <c r="C159" s="440"/>
      <c r="D159" s="440"/>
      <c r="E159" s="219">
        <v>851</v>
      </c>
      <c r="F159" s="1" t="s">
        <v>84</v>
      </c>
      <c r="G159" s="1" t="s">
        <v>17</v>
      </c>
      <c r="H159" s="1" t="s">
        <v>560</v>
      </c>
      <c r="I159" s="15">
        <v>612</v>
      </c>
      <c r="J159" s="2"/>
      <c r="K159" s="2"/>
      <c r="L159" s="2"/>
      <c r="M159" s="2"/>
      <c r="N159" s="2"/>
      <c r="O159" s="2"/>
      <c r="P159" s="2"/>
      <c r="Q159" s="2">
        <v>57075</v>
      </c>
      <c r="R159" s="2"/>
      <c r="S159" s="2"/>
      <c r="T159" s="2">
        <v>57075</v>
      </c>
      <c r="U159" s="2">
        <f t="shared" si="372"/>
        <v>57075</v>
      </c>
      <c r="V159" s="89"/>
    </row>
    <row r="160" spans="1:22" ht="39" customHeight="1" x14ac:dyDescent="0.25">
      <c r="A160" s="509" t="s">
        <v>86</v>
      </c>
      <c r="B160" s="509"/>
      <c r="C160" s="253"/>
      <c r="D160" s="253"/>
      <c r="E160" s="219">
        <v>851</v>
      </c>
      <c r="F160" s="1" t="s">
        <v>84</v>
      </c>
      <c r="G160" s="1" t="s">
        <v>17</v>
      </c>
      <c r="H160" s="1" t="s">
        <v>561</v>
      </c>
      <c r="I160" s="1"/>
      <c r="J160" s="2">
        <f t="shared" ref="J160:J161" si="401">J161</f>
        <v>9540</v>
      </c>
      <c r="K160" s="2">
        <f t="shared" ref="K160:K161" si="402">K161</f>
        <v>0</v>
      </c>
      <c r="L160" s="2">
        <f t="shared" ref="L160:L161" si="403">L161</f>
        <v>9540</v>
      </c>
      <c r="M160" s="2">
        <f t="shared" ref="M160:M161" si="404">M161</f>
        <v>0</v>
      </c>
      <c r="N160" s="2">
        <f t="shared" ref="N160:N161" si="405">N161</f>
        <v>9540</v>
      </c>
      <c r="O160" s="2">
        <f t="shared" ref="O160:O161" si="406">O161</f>
        <v>-3180</v>
      </c>
      <c r="P160" s="2">
        <f t="shared" ref="P160:P161" si="407">P161</f>
        <v>6360</v>
      </c>
      <c r="Q160" s="2">
        <f t="shared" ref="Q160:Q161" si="408">Q161</f>
        <v>98580</v>
      </c>
      <c r="R160" s="2"/>
      <c r="S160" s="2"/>
      <c r="T160" s="2"/>
      <c r="U160" s="2">
        <f t="shared" ref="U160:U161" si="409">U161</f>
        <v>104940</v>
      </c>
      <c r="V160" s="74"/>
    </row>
    <row r="161" spans="1:22" ht="24" customHeight="1" x14ac:dyDescent="0.25">
      <c r="A161" s="253"/>
      <c r="B161" s="217" t="s">
        <v>91</v>
      </c>
      <c r="C161" s="253"/>
      <c r="D161" s="253"/>
      <c r="E161" s="219">
        <v>851</v>
      </c>
      <c r="F161" s="1" t="s">
        <v>84</v>
      </c>
      <c r="G161" s="1" t="s">
        <v>17</v>
      </c>
      <c r="H161" s="1" t="s">
        <v>561</v>
      </c>
      <c r="I161" s="1" t="s">
        <v>87</v>
      </c>
      <c r="J161" s="2">
        <f t="shared" si="401"/>
        <v>9540</v>
      </c>
      <c r="K161" s="2">
        <f t="shared" si="402"/>
        <v>0</v>
      </c>
      <c r="L161" s="2">
        <f t="shared" si="403"/>
        <v>9540</v>
      </c>
      <c r="M161" s="2">
        <f t="shared" si="404"/>
        <v>0</v>
      </c>
      <c r="N161" s="2">
        <f t="shared" si="405"/>
        <v>9540</v>
      </c>
      <c r="O161" s="2">
        <f t="shared" si="406"/>
        <v>-3180</v>
      </c>
      <c r="P161" s="2">
        <f t="shared" si="407"/>
        <v>6360</v>
      </c>
      <c r="Q161" s="2">
        <f t="shared" si="408"/>
        <v>98580</v>
      </c>
      <c r="R161" s="2"/>
      <c r="S161" s="2"/>
      <c r="T161" s="2"/>
      <c r="U161" s="2">
        <f t="shared" si="409"/>
        <v>104940</v>
      </c>
      <c r="V161" s="74"/>
    </row>
    <row r="162" spans="1:22" ht="38.25" customHeight="1" x14ac:dyDescent="0.25">
      <c r="A162" s="253"/>
      <c r="B162" s="253" t="s">
        <v>88</v>
      </c>
      <c r="C162" s="253"/>
      <c r="D162" s="253"/>
      <c r="E162" s="219">
        <v>851</v>
      </c>
      <c r="F162" s="1" t="s">
        <v>84</v>
      </c>
      <c r="G162" s="1" t="s">
        <v>17</v>
      </c>
      <c r="H162" s="1" t="s">
        <v>561</v>
      </c>
      <c r="I162" s="1" t="s">
        <v>89</v>
      </c>
      <c r="J162" s="2">
        <v>9540</v>
      </c>
      <c r="K162" s="2"/>
      <c r="L162" s="2">
        <f t="shared" si="241"/>
        <v>9540</v>
      </c>
      <c r="M162" s="2"/>
      <c r="N162" s="2">
        <f t="shared" si="371"/>
        <v>9540</v>
      </c>
      <c r="O162" s="420">
        <v>-3180</v>
      </c>
      <c r="P162" s="2">
        <f>N162+O162</f>
        <v>6360</v>
      </c>
      <c r="Q162" s="420">
        <f>51675+35775+11130</f>
        <v>98580</v>
      </c>
      <c r="R162" s="420">
        <v>98580</v>
      </c>
      <c r="S162" s="420"/>
      <c r="T162" s="420"/>
      <c r="U162" s="2">
        <f t="shared" si="372"/>
        <v>104940</v>
      </c>
      <c r="V162" s="89"/>
    </row>
    <row r="163" spans="1:22" ht="25.5" customHeight="1" x14ac:dyDescent="0.25">
      <c r="A163" s="509" t="s">
        <v>92</v>
      </c>
      <c r="B163" s="509"/>
      <c r="C163" s="253"/>
      <c r="D163" s="253"/>
      <c r="E163" s="219">
        <v>851</v>
      </c>
      <c r="F163" s="1" t="s">
        <v>84</v>
      </c>
      <c r="G163" s="1" t="s">
        <v>17</v>
      </c>
      <c r="H163" s="1" t="s">
        <v>562</v>
      </c>
      <c r="I163" s="1"/>
      <c r="J163" s="2">
        <f t="shared" ref="J163:U163" si="410">J164</f>
        <v>100000</v>
      </c>
      <c r="K163" s="2">
        <f t="shared" si="410"/>
        <v>0</v>
      </c>
      <c r="L163" s="2">
        <f t="shared" si="410"/>
        <v>100000</v>
      </c>
      <c r="M163" s="2">
        <f t="shared" si="410"/>
        <v>0</v>
      </c>
      <c r="N163" s="2">
        <f t="shared" si="410"/>
        <v>100000</v>
      </c>
      <c r="O163" s="2">
        <f t="shared" si="410"/>
        <v>0</v>
      </c>
      <c r="P163" s="2">
        <f t="shared" si="410"/>
        <v>100000</v>
      </c>
      <c r="Q163" s="2">
        <f t="shared" si="410"/>
        <v>0</v>
      </c>
      <c r="R163" s="2"/>
      <c r="S163" s="2"/>
      <c r="T163" s="2"/>
      <c r="U163" s="2">
        <f t="shared" si="410"/>
        <v>100000</v>
      </c>
      <c r="V163" s="74"/>
    </row>
    <row r="164" spans="1:22" ht="15" customHeight="1" x14ac:dyDescent="0.25">
      <c r="A164" s="15"/>
      <c r="B164" s="253" t="s">
        <v>27</v>
      </c>
      <c r="C164" s="252"/>
      <c r="D164" s="252"/>
      <c r="E164" s="219">
        <v>851</v>
      </c>
      <c r="F164" s="1" t="s">
        <v>84</v>
      </c>
      <c r="G164" s="1" t="s">
        <v>17</v>
      </c>
      <c r="H164" s="1" t="s">
        <v>562</v>
      </c>
      <c r="I164" s="1" t="s">
        <v>28</v>
      </c>
      <c r="J164" s="2">
        <f t="shared" ref="J164" si="411">J165</f>
        <v>100000</v>
      </c>
      <c r="K164" s="2">
        <f t="shared" ref="K164" si="412">K165</f>
        <v>0</v>
      </c>
      <c r="L164" s="2">
        <f t="shared" ref="L164" si="413">L165</f>
        <v>100000</v>
      </c>
      <c r="M164" s="2">
        <f t="shared" ref="M164" si="414">M165</f>
        <v>0</v>
      </c>
      <c r="N164" s="2">
        <f t="shared" ref="N164" si="415">N165</f>
        <v>100000</v>
      </c>
      <c r="O164" s="2">
        <f t="shared" ref="O164" si="416">O165</f>
        <v>0</v>
      </c>
      <c r="P164" s="2">
        <f t="shared" ref="P164" si="417">P165</f>
        <v>100000</v>
      </c>
      <c r="Q164" s="2">
        <f t="shared" ref="Q164" si="418">Q165</f>
        <v>0</v>
      </c>
      <c r="R164" s="2"/>
      <c r="S164" s="2"/>
      <c r="T164" s="2"/>
      <c r="U164" s="2">
        <f t="shared" ref="U164" si="419">U165</f>
        <v>100000</v>
      </c>
      <c r="V164" s="74"/>
    </row>
    <row r="165" spans="1:22" ht="24" customHeight="1" x14ac:dyDescent="0.25">
      <c r="A165" s="15"/>
      <c r="B165" s="253" t="s">
        <v>29</v>
      </c>
      <c r="C165" s="253"/>
      <c r="D165" s="253"/>
      <c r="E165" s="219">
        <v>851</v>
      </c>
      <c r="F165" s="1" t="s">
        <v>84</v>
      </c>
      <c r="G165" s="1" t="s">
        <v>17</v>
      </c>
      <c r="H165" s="1" t="s">
        <v>562</v>
      </c>
      <c r="I165" s="1" t="s">
        <v>30</v>
      </c>
      <c r="J165" s="2">
        <v>100000</v>
      </c>
      <c r="K165" s="2"/>
      <c r="L165" s="2">
        <f t="shared" si="241"/>
        <v>100000</v>
      </c>
      <c r="M165" s="2"/>
      <c r="N165" s="2">
        <f t="shared" si="371"/>
        <v>100000</v>
      </c>
      <c r="O165" s="2"/>
      <c r="P165" s="2">
        <f>N165+O165</f>
        <v>100000</v>
      </c>
      <c r="Q165" s="2"/>
      <c r="R165" s="2"/>
      <c r="S165" s="2"/>
      <c r="T165" s="2"/>
      <c r="U165" s="2">
        <f t="shared" si="372"/>
        <v>100000</v>
      </c>
      <c r="V165" s="89"/>
    </row>
    <row r="166" spans="1:22" x14ac:dyDescent="0.25">
      <c r="A166" s="509" t="s">
        <v>93</v>
      </c>
      <c r="B166" s="509"/>
      <c r="C166" s="253"/>
      <c r="D166" s="253"/>
      <c r="E166" s="219">
        <v>851</v>
      </c>
      <c r="F166" s="1" t="s">
        <v>84</v>
      </c>
      <c r="G166" s="1" t="s">
        <v>17</v>
      </c>
      <c r="H166" s="1" t="s">
        <v>563</v>
      </c>
      <c r="I166" s="1"/>
      <c r="J166" s="2">
        <f t="shared" ref="J166:J167" si="420">J167</f>
        <v>200000</v>
      </c>
      <c r="K166" s="2">
        <f t="shared" ref="K166:K167" si="421">K167</f>
        <v>605000</v>
      </c>
      <c r="L166" s="2">
        <f t="shared" ref="L166:L167" si="422">L167</f>
        <v>805000</v>
      </c>
      <c r="M166" s="2">
        <f t="shared" ref="M166:M167" si="423">M167</f>
        <v>0</v>
      </c>
      <c r="N166" s="2">
        <f t="shared" ref="N166:N167" si="424">N167</f>
        <v>805000</v>
      </c>
      <c r="O166" s="2">
        <f t="shared" ref="O166:O167" si="425">O167</f>
        <v>10000</v>
      </c>
      <c r="P166" s="2">
        <f t="shared" ref="P166:P167" si="426">P167</f>
        <v>815000</v>
      </c>
      <c r="Q166" s="2">
        <f t="shared" ref="Q166:Q167" si="427">Q167</f>
        <v>0</v>
      </c>
      <c r="R166" s="2"/>
      <c r="S166" s="2"/>
      <c r="T166" s="2"/>
      <c r="U166" s="2">
        <f t="shared" ref="U166:U167" si="428">U167</f>
        <v>815000</v>
      </c>
      <c r="V166" s="74"/>
    </row>
    <row r="167" spans="1:22" ht="15" customHeight="1" x14ac:dyDescent="0.25">
      <c r="A167" s="15"/>
      <c r="B167" s="253" t="s">
        <v>27</v>
      </c>
      <c r="C167" s="252"/>
      <c r="D167" s="252"/>
      <c r="E167" s="219">
        <v>851</v>
      </c>
      <c r="F167" s="1" t="s">
        <v>84</v>
      </c>
      <c r="G167" s="1" t="s">
        <v>17</v>
      </c>
      <c r="H167" s="1" t="s">
        <v>563</v>
      </c>
      <c r="I167" s="1" t="s">
        <v>28</v>
      </c>
      <c r="J167" s="2">
        <f t="shared" si="420"/>
        <v>200000</v>
      </c>
      <c r="K167" s="2">
        <f t="shared" si="421"/>
        <v>605000</v>
      </c>
      <c r="L167" s="2">
        <f t="shared" si="422"/>
        <v>805000</v>
      </c>
      <c r="M167" s="2">
        <f t="shared" si="423"/>
        <v>0</v>
      </c>
      <c r="N167" s="2">
        <f t="shared" si="424"/>
        <v>805000</v>
      </c>
      <c r="O167" s="2">
        <f t="shared" si="425"/>
        <v>10000</v>
      </c>
      <c r="P167" s="2">
        <f t="shared" si="426"/>
        <v>815000</v>
      </c>
      <c r="Q167" s="2">
        <f t="shared" si="427"/>
        <v>0</v>
      </c>
      <c r="R167" s="2"/>
      <c r="S167" s="2"/>
      <c r="T167" s="2"/>
      <c r="U167" s="2">
        <f t="shared" si="428"/>
        <v>815000</v>
      </c>
      <c r="V167" s="74"/>
    </row>
    <row r="168" spans="1:22" ht="24.75" customHeight="1" x14ac:dyDescent="0.25">
      <c r="A168" s="15"/>
      <c r="B168" s="253" t="s">
        <v>29</v>
      </c>
      <c r="C168" s="253"/>
      <c r="D168" s="253"/>
      <c r="E168" s="219">
        <v>851</v>
      </c>
      <c r="F168" s="1" t="s">
        <v>84</v>
      </c>
      <c r="G168" s="1" t="s">
        <v>17</v>
      </c>
      <c r="H168" s="1" t="s">
        <v>563</v>
      </c>
      <c r="I168" s="1" t="s">
        <v>30</v>
      </c>
      <c r="J168" s="2">
        <v>200000</v>
      </c>
      <c r="K168" s="2">
        <f>500000+95000+10000</f>
        <v>605000</v>
      </c>
      <c r="L168" s="2">
        <f t="shared" si="241"/>
        <v>805000</v>
      </c>
      <c r="M168" s="2"/>
      <c r="N168" s="2">
        <f t="shared" si="371"/>
        <v>805000</v>
      </c>
      <c r="O168" s="2">
        <v>10000</v>
      </c>
      <c r="P168" s="2">
        <f>N168+O168</f>
        <v>815000</v>
      </c>
      <c r="Q168" s="2"/>
      <c r="R168" s="2"/>
      <c r="S168" s="2"/>
      <c r="T168" s="2"/>
      <c r="U168" s="2">
        <f t="shared" si="372"/>
        <v>815000</v>
      </c>
      <c r="V168" s="89"/>
    </row>
    <row r="169" spans="1:22" ht="60" customHeight="1" x14ac:dyDescent="0.25">
      <c r="A169" s="509" t="s">
        <v>672</v>
      </c>
      <c r="B169" s="509"/>
      <c r="C169" s="440"/>
      <c r="D169" s="440"/>
      <c r="E169" s="219">
        <v>851</v>
      </c>
      <c r="F169" s="1" t="s">
        <v>84</v>
      </c>
      <c r="G169" s="1" t="s">
        <v>17</v>
      </c>
      <c r="H169" s="1" t="s">
        <v>671</v>
      </c>
      <c r="I169" s="1"/>
      <c r="J169" s="2"/>
      <c r="K169" s="2"/>
      <c r="L169" s="2"/>
      <c r="M169" s="2"/>
      <c r="N169" s="2"/>
      <c r="O169" s="2"/>
      <c r="P169" s="2">
        <f>P170</f>
        <v>0</v>
      </c>
      <c r="Q169" s="2">
        <f t="shared" ref="Q169:U169" si="429">Q170</f>
        <v>261321.25</v>
      </c>
      <c r="R169" s="2"/>
      <c r="S169" s="2"/>
      <c r="T169" s="2"/>
      <c r="U169" s="2">
        <f t="shared" si="429"/>
        <v>261321.25</v>
      </c>
      <c r="V169" s="89"/>
    </row>
    <row r="170" spans="1:22" ht="24.75" customHeight="1" x14ac:dyDescent="0.25">
      <c r="A170" s="449"/>
      <c r="B170" s="450" t="s">
        <v>91</v>
      </c>
      <c r="C170" s="440"/>
      <c r="D170" s="440"/>
      <c r="E170" s="219">
        <v>851</v>
      </c>
      <c r="F170" s="1" t="s">
        <v>84</v>
      </c>
      <c r="G170" s="1" t="s">
        <v>17</v>
      </c>
      <c r="H170" s="1" t="s">
        <v>671</v>
      </c>
      <c r="I170" s="1" t="s">
        <v>87</v>
      </c>
      <c r="J170" s="2"/>
      <c r="K170" s="2"/>
      <c r="L170" s="2"/>
      <c r="M170" s="2"/>
      <c r="N170" s="2"/>
      <c r="O170" s="2"/>
      <c r="P170" s="2">
        <f>P171</f>
        <v>0</v>
      </c>
      <c r="Q170" s="2">
        <f t="shared" ref="Q170:U170" si="430">Q171</f>
        <v>261321.25</v>
      </c>
      <c r="R170" s="2"/>
      <c r="S170" s="2"/>
      <c r="T170" s="2"/>
      <c r="U170" s="2">
        <f t="shared" si="430"/>
        <v>261321.25</v>
      </c>
      <c r="V170" s="89"/>
    </row>
    <row r="171" spans="1:22" ht="14.25" customHeight="1" x14ac:dyDescent="0.25">
      <c r="A171" s="15"/>
      <c r="B171" s="217" t="s">
        <v>119</v>
      </c>
      <c r="C171" s="440"/>
      <c r="D171" s="440"/>
      <c r="E171" s="219">
        <v>851</v>
      </c>
      <c r="F171" s="1" t="s">
        <v>84</v>
      </c>
      <c r="G171" s="1" t="s">
        <v>17</v>
      </c>
      <c r="H171" s="1" t="s">
        <v>671</v>
      </c>
      <c r="I171" s="1" t="s">
        <v>120</v>
      </c>
      <c r="J171" s="2"/>
      <c r="K171" s="2"/>
      <c r="L171" s="2"/>
      <c r="M171" s="2"/>
      <c r="N171" s="2"/>
      <c r="O171" s="2"/>
      <c r="P171" s="2"/>
      <c r="Q171" s="2">
        <v>261321.25</v>
      </c>
      <c r="R171" s="2">
        <v>261321.25</v>
      </c>
      <c r="S171" s="2"/>
      <c r="T171" s="2"/>
      <c r="U171" s="2">
        <f>P171+Q171</f>
        <v>261321.25</v>
      </c>
      <c r="V171" s="89"/>
    </row>
    <row r="172" spans="1:22" ht="15.75" customHeight="1" x14ac:dyDescent="0.25">
      <c r="A172" s="508" t="s">
        <v>94</v>
      </c>
      <c r="B172" s="508"/>
      <c r="C172" s="265"/>
      <c r="D172" s="265"/>
      <c r="E172" s="219">
        <v>851</v>
      </c>
      <c r="F172" s="11" t="s">
        <v>84</v>
      </c>
      <c r="G172" s="11" t="s">
        <v>6</v>
      </c>
      <c r="H172" s="11"/>
      <c r="I172" s="11"/>
      <c r="J172" s="22">
        <f t="shared" ref="J172:U174" si="431">J173</f>
        <v>15000</v>
      </c>
      <c r="K172" s="22">
        <f t="shared" si="431"/>
        <v>0</v>
      </c>
      <c r="L172" s="22">
        <f t="shared" si="431"/>
        <v>15000</v>
      </c>
      <c r="M172" s="22">
        <f t="shared" si="431"/>
        <v>0</v>
      </c>
      <c r="N172" s="22">
        <f t="shared" si="431"/>
        <v>15000</v>
      </c>
      <c r="O172" s="22">
        <f t="shared" si="431"/>
        <v>0</v>
      </c>
      <c r="P172" s="22">
        <f t="shared" si="431"/>
        <v>15000</v>
      </c>
      <c r="Q172" s="22">
        <f t="shared" si="431"/>
        <v>0</v>
      </c>
      <c r="R172" s="22"/>
      <c r="S172" s="22"/>
      <c r="T172" s="22"/>
      <c r="U172" s="22">
        <f t="shared" si="431"/>
        <v>15000</v>
      </c>
      <c r="V172" s="89"/>
    </row>
    <row r="173" spans="1:22" x14ac:dyDescent="0.25">
      <c r="A173" s="509" t="s">
        <v>95</v>
      </c>
      <c r="B173" s="509"/>
      <c r="C173" s="253"/>
      <c r="D173" s="253"/>
      <c r="E173" s="219">
        <v>851</v>
      </c>
      <c r="F173" s="1" t="s">
        <v>84</v>
      </c>
      <c r="G173" s="1" t="s">
        <v>6</v>
      </c>
      <c r="H173" s="1" t="s">
        <v>564</v>
      </c>
      <c r="I173" s="1"/>
      <c r="J173" s="2">
        <f t="shared" si="431"/>
        <v>15000</v>
      </c>
      <c r="K173" s="2">
        <f t="shared" si="431"/>
        <v>0</v>
      </c>
      <c r="L173" s="2">
        <f t="shared" si="431"/>
        <v>15000</v>
      </c>
      <c r="M173" s="2">
        <f t="shared" si="431"/>
        <v>0</v>
      </c>
      <c r="N173" s="2">
        <f t="shared" si="431"/>
        <v>15000</v>
      </c>
      <c r="O173" s="2">
        <f t="shared" si="431"/>
        <v>0</v>
      </c>
      <c r="P173" s="2">
        <f t="shared" si="431"/>
        <v>15000</v>
      </c>
      <c r="Q173" s="2">
        <f t="shared" si="431"/>
        <v>0</v>
      </c>
      <c r="R173" s="2"/>
      <c r="S173" s="2"/>
      <c r="T173" s="2"/>
      <c r="U173" s="2">
        <f t="shared" si="431"/>
        <v>15000</v>
      </c>
      <c r="V173" s="74"/>
    </row>
    <row r="174" spans="1:22" ht="11.25" customHeight="1" x14ac:dyDescent="0.25">
      <c r="A174" s="15"/>
      <c r="B174" s="253" t="s">
        <v>27</v>
      </c>
      <c r="C174" s="252"/>
      <c r="D174" s="252"/>
      <c r="E174" s="219">
        <v>851</v>
      </c>
      <c r="F174" s="1" t="s">
        <v>84</v>
      </c>
      <c r="G174" s="1" t="s">
        <v>6</v>
      </c>
      <c r="H174" s="1" t="s">
        <v>564</v>
      </c>
      <c r="I174" s="1" t="s">
        <v>28</v>
      </c>
      <c r="J174" s="2">
        <f t="shared" si="431"/>
        <v>15000</v>
      </c>
      <c r="K174" s="2">
        <f t="shared" si="431"/>
        <v>0</v>
      </c>
      <c r="L174" s="2">
        <f t="shared" si="431"/>
        <v>15000</v>
      </c>
      <c r="M174" s="2">
        <f t="shared" si="431"/>
        <v>0</v>
      </c>
      <c r="N174" s="2">
        <f t="shared" si="431"/>
        <v>15000</v>
      </c>
      <c r="O174" s="2">
        <f t="shared" si="431"/>
        <v>0</v>
      </c>
      <c r="P174" s="2">
        <f t="shared" si="431"/>
        <v>15000</v>
      </c>
      <c r="Q174" s="2">
        <f t="shared" si="431"/>
        <v>0</v>
      </c>
      <c r="R174" s="2"/>
      <c r="S174" s="2"/>
      <c r="T174" s="2"/>
      <c r="U174" s="2">
        <f t="shared" si="431"/>
        <v>15000</v>
      </c>
      <c r="V174" s="74"/>
    </row>
    <row r="175" spans="1:22" ht="23.25" customHeight="1" x14ac:dyDescent="0.25">
      <c r="A175" s="15"/>
      <c r="B175" s="253" t="s">
        <v>29</v>
      </c>
      <c r="C175" s="253"/>
      <c r="D175" s="253"/>
      <c r="E175" s="219">
        <v>851</v>
      </c>
      <c r="F175" s="1" t="s">
        <v>84</v>
      </c>
      <c r="G175" s="1" t="s">
        <v>6</v>
      </c>
      <c r="H175" s="1" t="s">
        <v>564</v>
      </c>
      <c r="I175" s="1" t="s">
        <v>30</v>
      </c>
      <c r="J175" s="2">
        <v>15000</v>
      </c>
      <c r="K175" s="2"/>
      <c r="L175" s="2">
        <f t="shared" si="241"/>
        <v>15000</v>
      </c>
      <c r="M175" s="2"/>
      <c r="N175" s="2">
        <f t="shared" ref="N175" si="432">L175+M175</f>
        <v>15000</v>
      </c>
      <c r="O175" s="2"/>
      <c r="P175" s="2">
        <f>N175+O175</f>
        <v>15000</v>
      </c>
      <c r="Q175" s="2"/>
      <c r="R175" s="2"/>
      <c r="S175" s="2"/>
      <c r="T175" s="2"/>
      <c r="U175" s="2">
        <f t="shared" ref="U175" si="433">P175+Q175</f>
        <v>15000</v>
      </c>
      <c r="V175" s="89"/>
    </row>
    <row r="176" spans="1:22" x14ac:dyDescent="0.25">
      <c r="A176" s="503" t="s">
        <v>96</v>
      </c>
      <c r="B176" s="503"/>
      <c r="C176" s="261"/>
      <c r="D176" s="261"/>
      <c r="E176" s="219">
        <v>851</v>
      </c>
      <c r="F176" s="7" t="s">
        <v>0</v>
      </c>
      <c r="G176" s="7"/>
      <c r="H176" s="7"/>
      <c r="I176" s="7"/>
      <c r="J176" s="8">
        <f t="shared" ref="J176:P176" si="434">J177+J181+J191+J195</f>
        <v>11451235</v>
      </c>
      <c r="K176" s="8">
        <f t="shared" si="434"/>
        <v>0</v>
      </c>
      <c r="L176" s="8">
        <f t="shared" si="434"/>
        <v>11451235</v>
      </c>
      <c r="M176" s="8">
        <f t="shared" si="434"/>
        <v>115000</v>
      </c>
      <c r="N176" s="8">
        <f t="shared" si="434"/>
        <v>11566235</v>
      </c>
      <c r="O176" s="8">
        <f t="shared" si="434"/>
        <v>59000</v>
      </c>
      <c r="P176" s="8">
        <f t="shared" si="434"/>
        <v>11625235</v>
      </c>
      <c r="Q176" s="8">
        <f t="shared" ref="Q176:U176" si="435">Q177+Q181+Q191+Q195</f>
        <v>2170904</v>
      </c>
      <c r="R176" s="8">
        <f>SUM(R177:R200)</f>
        <v>2136420</v>
      </c>
      <c r="S176" s="8">
        <f t="shared" ref="S176:T176" si="436">SUM(S177:S200)</f>
        <v>34484</v>
      </c>
      <c r="T176" s="8">
        <f t="shared" si="436"/>
        <v>0</v>
      </c>
      <c r="U176" s="8">
        <f t="shared" si="435"/>
        <v>13796139</v>
      </c>
      <c r="V176" s="89"/>
    </row>
    <row r="177" spans="1:22" x14ac:dyDescent="0.25">
      <c r="A177" s="508" t="s">
        <v>97</v>
      </c>
      <c r="B177" s="508"/>
      <c r="C177" s="265"/>
      <c r="D177" s="265"/>
      <c r="E177" s="219">
        <v>851</v>
      </c>
      <c r="F177" s="11" t="s">
        <v>0</v>
      </c>
      <c r="G177" s="11" t="s">
        <v>17</v>
      </c>
      <c r="H177" s="11"/>
      <c r="I177" s="11"/>
      <c r="J177" s="12">
        <f t="shared" ref="J177:U179" si="437">J178</f>
        <v>2587000</v>
      </c>
      <c r="K177" s="12">
        <f t="shared" si="437"/>
        <v>0</v>
      </c>
      <c r="L177" s="12">
        <f t="shared" si="437"/>
        <v>2587000</v>
      </c>
      <c r="M177" s="12">
        <f t="shared" si="437"/>
        <v>115000</v>
      </c>
      <c r="N177" s="12">
        <f t="shared" si="437"/>
        <v>2702000</v>
      </c>
      <c r="O177" s="12">
        <f t="shared" si="437"/>
        <v>0</v>
      </c>
      <c r="P177" s="12">
        <f t="shared" si="437"/>
        <v>2702000</v>
      </c>
      <c r="Q177" s="12">
        <f t="shared" si="437"/>
        <v>14484</v>
      </c>
      <c r="R177" s="12"/>
      <c r="S177" s="12"/>
      <c r="T177" s="12"/>
      <c r="U177" s="12">
        <f t="shared" si="437"/>
        <v>2716484</v>
      </c>
      <c r="V177" s="89"/>
    </row>
    <row r="178" spans="1:22" ht="36.75" customHeight="1" x14ac:dyDescent="0.25">
      <c r="A178" s="509" t="s">
        <v>98</v>
      </c>
      <c r="B178" s="509"/>
      <c r="C178" s="253"/>
      <c r="D178" s="253"/>
      <c r="E178" s="219">
        <v>851</v>
      </c>
      <c r="F178" s="1" t="s">
        <v>0</v>
      </c>
      <c r="G178" s="1" t="s">
        <v>17</v>
      </c>
      <c r="H178" s="1" t="s">
        <v>567</v>
      </c>
      <c r="I178" s="1"/>
      <c r="J178" s="2">
        <f t="shared" si="437"/>
        <v>2587000</v>
      </c>
      <c r="K178" s="2">
        <f t="shared" si="437"/>
        <v>0</v>
      </c>
      <c r="L178" s="2">
        <f t="shared" si="437"/>
        <v>2587000</v>
      </c>
      <c r="M178" s="2">
        <f t="shared" si="437"/>
        <v>115000</v>
      </c>
      <c r="N178" s="2">
        <f t="shared" si="437"/>
        <v>2702000</v>
      </c>
      <c r="O178" s="2">
        <f t="shared" si="437"/>
        <v>0</v>
      </c>
      <c r="P178" s="2">
        <f t="shared" si="437"/>
        <v>2702000</v>
      </c>
      <c r="Q178" s="2">
        <f t="shared" si="437"/>
        <v>14484</v>
      </c>
      <c r="R178" s="2"/>
      <c r="S178" s="2"/>
      <c r="T178" s="2"/>
      <c r="U178" s="2">
        <f t="shared" si="437"/>
        <v>2716484</v>
      </c>
      <c r="V178" s="74"/>
    </row>
    <row r="179" spans="1:22" ht="14.25" customHeight="1" x14ac:dyDescent="0.25">
      <c r="A179" s="241"/>
      <c r="B179" s="252" t="s">
        <v>99</v>
      </c>
      <c r="C179" s="252"/>
      <c r="D179" s="252"/>
      <c r="E179" s="219">
        <v>851</v>
      </c>
      <c r="F179" s="1" t="s">
        <v>0</v>
      </c>
      <c r="G179" s="1" t="s">
        <v>17</v>
      </c>
      <c r="H179" s="1" t="s">
        <v>567</v>
      </c>
      <c r="I179" s="1" t="s">
        <v>100</v>
      </c>
      <c r="J179" s="2">
        <f t="shared" si="437"/>
        <v>2587000</v>
      </c>
      <c r="K179" s="2">
        <f t="shared" si="437"/>
        <v>0</v>
      </c>
      <c r="L179" s="2">
        <f t="shared" si="437"/>
        <v>2587000</v>
      </c>
      <c r="M179" s="2">
        <f t="shared" si="437"/>
        <v>115000</v>
      </c>
      <c r="N179" s="2">
        <f t="shared" si="437"/>
        <v>2702000</v>
      </c>
      <c r="O179" s="2">
        <f t="shared" si="437"/>
        <v>0</v>
      </c>
      <c r="P179" s="2">
        <f t="shared" si="437"/>
        <v>2702000</v>
      </c>
      <c r="Q179" s="2">
        <f t="shared" si="437"/>
        <v>14484</v>
      </c>
      <c r="R179" s="2"/>
      <c r="S179" s="2"/>
      <c r="T179" s="2"/>
      <c r="U179" s="2">
        <f t="shared" si="437"/>
        <v>2716484</v>
      </c>
      <c r="V179" s="74"/>
    </row>
    <row r="180" spans="1:22" ht="24.75" customHeight="1" x14ac:dyDescent="0.25">
      <c r="A180" s="241"/>
      <c r="B180" s="252" t="s">
        <v>134</v>
      </c>
      <c r="C180" s="252"/>
      <c r="D180" s="252"/>
      <c r="E180" s="219">
        <v>851</v>
      </c>
      <c r="F180" s="1" t="s">
        <v>0</v>
      </c>
      <c r="G180" s="1" t="s">
        <v>17</v>
      </c>
      <c r="H180" s="1" t="s">
        <v>567</v>
      </c>
      <c r="I180" s="1" t="s">
        <v>101</v>
      </c>
      <c r="J180" s="2">
        <v>2587000</v>
      </c>
      <c r="K180" s="2"/>
      <c r="L180" s="2">
        <f t="shared" si="241"/>
        <v>2587000</v>
      </c>
      <c r="M180" s="2">
        <v>115000</v>
      </c>
      <c r="N180" s="2">
        <f t="shared" ref="N180" si="438">L180+M180</f>
        <v>2702000</v>
      </c>
      <c r="O180" s="2"/>
      <c r="P180" s="2">
        <f>N180+O180</f>
        <v>2702000</v>
      </c>
      <c r="Q180" s="2">
        <v>14484</v>
      </c>
      <c r="R180" s="2"/>
      <c r="S180" s="2">
        <v>14484</v>
      </c>
      <c r="T180" s="2"/>
      <c r="U180" s="2">
        <f t="shared" ref="U180" si="439">P180+Q180</f>
        <v>2716484</v>
      </c>
      <c r="V180" s="89"/>
    </row>
    <row r="181" spans="1:22" x14ac:dyDescent="0.25">
      <c r="A181" s="508" t="s">
        <v>102</v>
      </c>
      <c r="B181" s="508"/>
      <c r="C181" s="255"/>
      <c r="D181" s="255"/>
      <c r="E181" s="219">
        <v>851</v>
      </c>
      <c r="F181" s="11" t="s">
        <v>0</v>
      </c>
      <c r="G181" s="11" t="s">
        <v>3</v>
      </c>
      <c r="H181" s="11"/>
      <c r="I181" s="11"/>
      <c r="J181" s="12">
        <f>J188</f>
        <v>582660</v>
      </c>
      <c r="K181" s="12">
        <f>K188</f>
        <v>0</v>
      </c>
      <c r="L181" s="12">
        <f>L188</f>
        <v>582660</v>
      </c>
      <c r="M181" s="12">
        <f>M188</f>
        <v>0</v>
      </c>
      <c r="N181" s="12">
        <f>N182+N188</f>
        <v>582660</v>
      </c>
      <c r="O181" s="12">
        <f t="shared" ref="O181" si="440">O182+O188</f>
        <v>59000</v>
      </c>
      <c r="P181" s="12">
        <f>P182+P185+P188</f>
        <v>641660</v>
      </c>
      <c r="Q181" s="12">
        <f t="shared" ref="Q181:U181" si="441">Q182+Q185+Q188</f>
        <v>2156420</v>
      </c>
      <c r="R181" s="12"/>
      <c r="S181" s="12"/>
      <c r="T181" s="12"/>
      <c r="U181" s="12">
        <f t="shared" si="441"/>
        <v>2798080</v>
      </c>
      <c r="V181" s="89"/>
    </row>
    <row r="182" spans="1:22" x14ac:dyDescent="0.25">
      <c r="A182" s="509" t="s">
        <v>40</v>
      </c>
      <c r="B182" s="509"/>
      <c r="C182" s="416"/>
      <c r="D182" s="15"/>
      <c r="E182" s="219">
        <v>851</v>
      </c>
      <c r="F182" s="1" t="s">
        <v>0</v>
      </c>
      <c r="G182" s="1" t="s">
        <v>3</v>
      </c>
      <c r="H182" s="1" t="s">
        <v>39</v>
      </c>
      <c r="I182" s="1"/>
      <c r="J182" s="2">
        <f t="shared" ref="J182:J183" si="442">J183</f>
        <v>0</v>
      </c>
      <c r="K182" s="2">
        <f t="shared" ref="K182:K183" si="443">K183</f>
        <v>0</v>
      </c>
      <c r="L182" s="2">
        <f t="shared" ref="L182:L183" si="444">L183</f>
        <v>0</v>
      </c>
      <c r="M182" s="2">
        <f t="shared" ref="M182:M183" si="445">M183</f>
        <v>0</v>
      </c>
      <c r="N182" s="2">
        <f t="shared" ref="N182:N183" si="446">N183</f>
        <v>0</v>
      </c>
      <c r="O182" s="2">
        <f t="shared" ref="O182:O183" si="447">O183</f>
        <v>59000</v>
      </c>
      <c r="P182" s="2">
        <f t="shared" ref="P182:P183" si="448">P183</f>
        <v>59000</v>
      </c>
      <c r="Q182" s="2">
        <f t="shared" ref="Q182:Q183" si="449">Q183</f>
        <v>20000</v>
      </c>
      <c r="R182" s="2"/>
      <c r="S182" s="2"/>
      <c r="T182" s="2"/>
      <c r="U182" s="2">
        <f t="shared" ref="U182:U183" si="450">U183</f>
        <v>79000</v>
      </c>
      <c r="V182" s="74"/>
    </row>
    <row r="183" spans="1:22" x14ac:dyDescent="0.25">
      <c r="A183" s="15"/>
      <c r="B183" s="418" t="s">
        <v>99</v>
      </c>
      <c r="C183" s="416"/>
      <c r="D183" s="15"/>
      <c r="E183" s="219">
        <v>851</v>
      </c>
      <c r="F183" s="1" t="s">
        <v>0</v>
      </c>
      <c r="G183" s="1" t="s">
        <v>3</v>
      </c>
      <c r="H183" s="1" t="s">
        <v>39</v>
      </c>
      <c r="I183" s="1" t="s">
        <v>100</v>
      </c>
      <c r="J183" s="2">
        <f t="shared" si="442"/>
        <v>0</v>
      </c>
      <c r="K183" s="2">
        <f t="shared" si="443"/>
        <v>0</v>
      </c>
      <c r="L183" s="2">
        <f t="shared" si="444"/>
        <v>0</v>
      </c>
      <c r="M183" s="2">
        <f t="shared" si="445"/>
        <v>0</v>
      </c>
      <c r="N183" s="2">
        <f t="shared" si="446"/>
        <v>0</v>
      </c>
      <c r="O183" s="2">
        <f t="shared" si="447"/>
        <v>59000</v>
      </c>
      <c r="P183" s="2">
        <f t="shared" si="448"/>
        <v>59000</v>
      </c>
      <c r="Q183" s="2">
        <f t="shared" si="449"/>
        <v>20000</v>
      </c>
      <c r="R183" s="2"/>
      <c r="S183" s="2"/>
      <c r="T183" s="2"/>
      <c r="U183" s="2">
        <f t="shared" si="450"/>
        <v>79000</v>
      </c>
      <c r="V183" s="74"/>
    </row>
    <row r="184" spans="1:22" ht="24" x14ac:dyDescent="0.25">
      <c r="A184" s="15"/>
      <c r="B184" s="418" t="s">
        <v>134</v>
      </c>
      <c r="C184" s="418"/>
      <c r="D184" s="15"/>
      <c r="E184" s="219">
        <v>851</v>
      </c>
      <c r="F184" s="1" t="s">
        <v>0</v>
      </c>
      <c r="G184" s="1" t="s">
        <v>3</v>
      </c>
      <c r="H184" s="1" t="s">
        <v>39</v>
      </c>
      <c r="I184" s="1" t="s">
        <v>101</v>
      </c>
      <c r="J184" s="12"/>
      <c r="K184" s="12"/>
      <c r="L184" s="12"/>
      <c r="M184" s="12"/>
      <c r="N184" s="2"/>
      <c r="O184" s="2">
        <v>59000</v>
      </c>
      <c r="P184" s="2">
        <f>N184+O184</f>
        <v>59000</v>
      </c>
      <c r="Q184" s="2">
        <v>20000</v>
      </c>
      <c r="R184" s="2"/>
      <c r="S184" s="2">
        <v>20000</v>
      </c>
      <c r="T184" s="2"/>
      <c r="U184" s="2">
        <f t="shared" ref="U184:U190" si="451">P184+Q184</f>
        <v>79000</v>
      </c>
      <c r="V184" s="89"/>
    </row>
    <row r="185" spans="1:22" ht="13.5" customHeight="1" x14ac:dyDescent="0.25">
      <c r="A185" s="518" t="s">
        <v>683</v>
      </c>
      <c r="B185" s="519"/>
      <c r="C185" s="448"/>
      <c r="D185" s="448"/>
      <c r="E185" s="219">
        <v>851</v>
      </c>
      <c r="F185" s="1" t="s">
        <v>0</v>
      </c>
      <c r="G185" s="1" t="s">
        <v>3</v>
      </c>
      <c r="H185" s="1" t="s">
        <v>682</v>
      </c>
      <c r="I185" s="1"/>
      <c r="J185" s="2">
        <f t="shared" ref="J185:U186" si="452">J186</f>
        <v>582660</v>
      </c>
      <c r="K185" s="2">
        <f t="shared" si="452"/>
        <v>0</v>
      </c>
      <c r="L185" s="2">
        <f t="shared" si="452"/>
        <v>582660</v>
      </c>
      <c r="M185" s="2">
        <f t="shared" si="452"/>
        <v>0</v>
      </c>
      <c r="N185" s="2">
        <f t="shared" si="452"/>
        <v>582660</v>
      </c>
      <c r="O185" s="2">
        <f t="shared" si="452"/>
        <v>0</v>
      </c>
      <c r="P185" s="2">
        <f t="shared" si="452"/>
        <v>0</v>
      </c>
      <c r="Q185" s="2">
        <f t="shared" si="452"/>
        <v>2136420</v>
      </c>
      <c r="R185" s="2"/>
      <c r="S185" s="2"/>
      <c r="T185" s="2"/>
      <c r="U185" s="2">
        <f t="shared" si="452"/>
        <v>2136420</v>
      </c>
      <c r="V185" s="74"/>
    </row>
    <row r="186" spans="1:22" ht="13.5" customHeight="1" x14ac:dyDescent="0.25">
      <c r="A186" s="446"/>
      <c r="B186" s="448" t="s">
        <v>99</v>
      </c>
      <c r="C186" s="448"/>
      <c r="D186" s="448"/>
      <c r="E186" s="219">
        <v>851</v>
      </c>
      <c r="F186" s="1" t="s">
        <v>0</v>
      </c>
      <c r="G186" s="1" t="s">
        <v>3</v>
      </c>
      <c r="H186" s="1" t="s">
        <v>682</v>
      </c>
      <c r="I186" s="1" t="s">
        <v>100</v>
      </c>
      <c r="J186" s="2">
        <f t="shared" si="452"/>
        <v>582660</v>
      </c>
      <c r="K186" s="2">
        <f t="shared" si="452"/>
        <v>0</v>
      </c>
      <c r="L186" s="2">
        <f t="shared" si="452"/>
        <v>582660</v>
      </c>
      <c r="M186" s="2">
        <f t="shared" si="452"/>
        <v>0</v>
      </c>
      <c r="N186" s="2">
        <f t="shared" si="452"/>
        <v>582660</v>
      </c>
      <c r="O186" s="2">
        <f t="shared" si="452"/>
        <v>0</v>
      </c>
      <c r="P186" s="2">
        <f t="shared" si="452"/>
        <v>0</v>
      </c>
      <c r="Q186" s="2">
        <f t="shared" si="452"/>
        <v>2136420</v>
      </c>
      <c r="R186" s="2"/>
      <c r="S186" s="2"/>
      <c r="T186" s="2"/>
      <c r="U186" s="2">
        <f t="shared" si="452"/>
        <v>2136420</v>
      </c>
      <c r="V186" s="74"/>
    </row>
    <row r="187" spans="1:22" ht="13.5" customHeight="1" x14ac:dyDescent="0.25">
      <c r="A187" s="446"/>
      <c r="B187" s="448" t="s">
        <v>139</v>
      </c>
      <c r="C187" s="448"/>
      <c r="D187" s="448"/>
      <c r="E187" s="219">
        <v>851</v>
      </c>
      <c r="F187" s="1" t="s">
        <v>0</v>
      </c>
      <c r="G187" s="1" t="s">
        <v>3</v>
      </c>
      <c r="H187" s="1" t="s">
        <v>682</v>
      </c>
      <c r="I187" s="1" t="s">
        <v>140</v>
      </c>
      <c r="J187" s="2">
        <v>582660</v>
      </c>
      <c r="K187" s="2"/>
      <c r="L187" s="2">
        <f t="shared" ref="L187" si="453">J187+K187</f>
        <v>582660</v>
      </c>
      <c r="M187" s="2"/>
      <c r="N187" s="2">
        <f t="shared" ref="N187" si="454">L187+M187</f>
        <v>582660</v>
      </c>
      <c r="O187" s="2"/>
      <c r="P187" s="2"/>
      <c r="Q187" s="2">
        <v>2136420</v>
      </c>
      <c r="R187" s="2">
        <v>2136420</v>
      </c>
      <c r="S187" s="2"/>
      <c r="T187" s="2"/>
      <c r="U187" s="2">
        <f t="shared" ref="U187" si="455">P187+Q187</f>
        <v>2136420</v>
      </c>
      <c r="V187" s="89"/>
    </row>
    <row r="188" spans="1:22" ht="13.5" customHeight="1" x14ac:dyDescent="0.25">
      <c r="A188" s="518" t="s">
        <v>138</v>
      </c>
      <c r="B188" s="519"/>
      <c r="C188" s="252"/>
      <c r="D188" s="252"/>
      <c r="E188" s="219">
        <v>851</v>
      </c>
      <c r="F188" s="1" t="s">
        <v>0</v>
      </c>
      <c r="G188" s="1" t="s">
        <v>3</v>
      </c>
      <c r="H188" s="1" t="s">
        <v>570</v>
      </c>
      <c r="I188" s="1"/>
      <c r="J188" s="2">
        <f t="shared" ref="J188:J189" si="456">J189</f>
        <v>582660</v>
      </c>
      <c r="K188" s="2">
        <f t="shared" ref="K188:K189" si="457">K189</f>
        <v>0</v>
      </c>
      <c r="L188" s="2">
        <f t="shared" ref="L188:L189" si="458">L189</f>
        <v>582660</v>
      </c>
      <c r="M188" s="2">
        <f t="shared" ref="M188:M189" si="459">M189</f>
        <v>0</v>
      </c>
      <c r="N188" s="2">
        <f t="shared" ref="N188:N189" si="460">N189</f>
        <v>582660</v>
      </c>
      <c r="O188" s="2">
        <f t="shared" ref="O188:O189" si="461">O189</f>
        <v>0</v>
      </c>
      <c r="P188" s="2">
        <f t="shared" ref="P188:P189" si="462">P189</f>
        <v>582660</v>
      </c>
      <c r="Q188" s="2">
        <f t="shared" ref="Q188:Q189" si="463">Q189</f>
        <v>0</v>
      </c>
      <c r="R188" s="2"/>
      <c r="S188" s="2"/>
      <c r="T188" s="2"/>
      <c r="U188" s="2">
        <f t="shared" ref="U188:U189" si="464">U189</f>
        <v>582660</v>
      </c>
      <c r="V188" s="74"/>
    </row>
    <row r="189" spans="1:22" ht="13.5" customHeight="1" x14ac:dyDescent="0.25">
      <c r="A189" s="241"/>
      <c r="B189" s="252" t="s">
        <v>99</v>
      </c>
      <c r="C189" s="252"/>
      <c r="D189" s="252"/>
      <c r="E189" s="219">
        <v>851</v>
      </c>
      <c r="F189" s="1" t="s">
        <v>0</v>
      </c>
      <c r="G189" s="1" t="s">
        <v>3</v>
      </c>
      <c r="H189" s="1" t="s">
        <v>570</v>
      </c>
      <c r="I189" s="1" t="s">
        <v>100</v>
      </c>
      <c r="J189" s="2">
        <f t="shared" si="456"/>
        <v>582660</v>
      </c>
      <c r="K189" s="2">
        <f t="shared" si="457"/>
        <v>0</v>
      </c>
      <c r="L189" s="2">
        <f t="shared" si="458"/>
        <v>582660</v>
      </c>
      <c r="M189" s="2">
        <f t="shared" si="459"/>
        <v>0</v>
      </c>
      <c r="N189" s="2">
        <f t="shared" si="460"/>
        <v>582660</v>
      </c>
      <c r="O189" s="2">
        <f t="shared" si="461"/>
        <v>0</v>
      </c>
      <c r="P189" s="2">
        <f t="shared" si="462"/>
        <v>582660</v>
      </c>
      <c r="Q189" s="2">
        <f t="shared" si="463"/>
        <v>0</v>
      </c>
      <c r="R189" s="2"/>
      <c r="S189" s="2"/>
      <c r="T189" s="2"/>
      <c r="U189" s="2">
        <f t="shared" si="464"/>
        <v>582660</v>
      </c>
      <c r="V189" s="74"/>
    </row>
    <row r="190" spans="1:22" ht="13.5" customHeight="1" x14ac:dyDescent="0.25">
      <c r="A190" s="241"/>
      <c r="B190" s="252" t="s">
        <v>139</v>
      </c>
      <c r="C190" s="252"/>
      <c r="D190" s="252"/>
      <c r="E190" s="219">
        <v>851</v>
      </c>
      <c r="F190" s="1" t="s">
        <v>0</v>
      </c>
      <c r="G190" s="1" t="s">
        <v>3</v>
      </c>
      <c r="H190" s="1" t="s">
        <v>570</v>
      </c>
      <c r="I190" s="1" t="s">
        <v>140</v>
      </c>
      <c r="J190" s="2">
        <v>582660</v>
      </c>
      <c r="K190" s="2"/>
      <c r="L190" s="2">
        <f t="shared" ref="L190:L259" si="465">J190+K190</f>
        <v>582660</v>
      </c>
      <c r="M190" s="2"/>
      <c r="N190" s="2">
        <f t="shared" ref="N190" si="466">L190+M190</f>
        <v>582660</v>
      </c>
      <c r="O190" s="2"/>
      <c r="P190" s="2">
        <f>N190+O190</f>
        <v>582660</v>
      </c>
      <c r="Q190" s="2"/>
      <c r="R190" s="2"/>
      <c r="S190" s="2"/>
      <c r="T190" s="2"/>
      <c r="U190" s="2">
        <f t="shared" si="451"/>
        <v>582660</v>
      </c>
      <c r="V190" s="89"/>
    </row>
    <row r="191" spans="1:22" x14ac:dyDescent="0.25">
      <c r="A191" s="508" t="s">
        <v>103</v>
      </c>
      <c r="B191" s="508"/>
      <c r="C191" s="265"/>
      <c r="D191" s="265"/>
      <c r="E191" s="219">
        <v>851</v>
      </c>
      <c r="F191" s="11" t="s">
        <v>0</v>
      </c>
      <c r="G191" s="11" t="s">
        <v>6</v>
      </c>
      <c r="H191" s="11"/>
      <c r="I191" s="11"/>
      <c r="J191" s="12">
        <f t="shared" ref="J191:L191" si="467">J193</f>
        <v>8011575</v>
      </c>
      <c r="K191" s="12">
        <f t="shared" si="467"/>
        <v>0</v>
      </c>
      <c r="L191" s="12">
        <f t="shared" si="467"/>
        <v>8011575</v>
      </c>
      <c r="M191" s="12">
        <f t="shared" ref="M191:N191" si="468">M193</f>
        <v>0</v>
      </c>
      <c r="N191" s="12">
        <f t="shared" si="468"/>
        <v>8011575</v>
      </c>
      <c r="O191" s="12">
        <f t="shared" ref="O191:P191" si="469">O193</f>
        <v>0</v>
      </c>
      <c r="P191" s="12">
        <f t="shared" si="469"/>
        <v>8011575</v>
      </c>
      <c r="Q191" s="12">
        <f t="shared" ref="Q191:U191" si="470">Q193</f>
        <v>0</v>
      </c>
      <c r="R191" s="12"/>
      <c r="S191" s="12"/>
      <c r="T191" s="12"/>
      <c r="U191" s="12">
        <f t="shared" si="470"/>
        <v>8011575</v>
      </c>
      <c r="V191" s="89"/>
    </row>
    <row r="192" spans="1:22" s="23" customFormat="1" ht="36" customHeight="1" x14ac:dyDescent="0.25">
      <c r="A192" s="509" t="s">
        <v>468</v>
      </c>
      <c r="B192" s="509"/>
      <c r="C192" s="257"/>
      <c r="D192" s="253"/>
      <c r="E192" s="219">
        <v>851</v>
      </c>
      <c r="F192" s="18" t="s">
        <v>0</v>
      </c>
      <c r="G192" s="18" t="s">
        <v>6</v>
      </c>
      <c r="H192" s="18" t="s">
        <v>569</v>
      </c>
      <c r="I192" s="18"/>
      <c r="J192" s="2">
        <f t="shared" ref="J192:J193" si="471">J193</f>
        <v>8011575</v>
      </c>
      <c r="K192" s="2">
        <f t="shared" ref="K192:K193" si="472">K193</f>
        <v>0</v>
      </c>
      <c r="L192" s="2">
        <f t="shared" ref="L192:L193" si="473">L193</f>
        <v>8011575</v>
      </c>
      <c r="M192" s="2">
        <f t="shared" ref="M192:M193" si="474">M193</f>
        <v>0</v>
      </c>
      <c r="N192" s="2">
        <f t="shared" ref="N192:N193" si="475">N193</f>
        <v>8011575</v>
      </c>
      <c r="O192" s="2">
        <f t="shared" ref="O192:O193" si="476">O193</f>
        <v>0</v>
      </c>
      <c r="P192" s="2">
        <f t="shared" ref="P192:P193" si="477">P193</f>
        <v>8011575</v>
      </c>
      <c r="Q192" s="2">
        <f t="shared" ref="Q192:Q193" si="478">Q193</f>
        <v>0</v>
      </c>
      <c r="R192" s="2"/>
      <c r="S192" s="2"/>
      <c r="T192" s="2"/>
      <c r="U192" s="2">
        <f t="shared" ref="U192:U193" si="479">U193</f>
        <v>8011575</v>
      </c>
      <c r="V192" s="74"/>
    </row>
    <row r="193" spans="1:22" ht="14.25" customHeight="1" x14ac:dyDescent="0.25">
      <c r="A193" s="15"/>
      <c r="B193" s="252" t="s">
        <v>99</v>
      </c>
      <c r="C193" s="257"/>
      <c r="D193" s="257"/>
      <c r="E193" s="219">
        <v>851</v>
      </c>
      <c r="F193" s="18" t="s">
        <v>0</v>
      </c>
      <c r="G193" s="18" t="s">
        <v>6</v>
      </c>
      <c r="H193" s="18" t="s">
        <v>569</v>
      </c>
      <c r="I193" s="1" t="s">
        <v>100</v>
      </c>
      <c r="J193" s="2">
        <f t="shared" si="471"/>
        <v>8011575</v>
      </c>
      <c r="K193" s="2">
        <f t="shared" si="472"/>
        <v>0</v>
      </c>
      <c r="L193" s="2">
        <f t="shared" si="473"/>
        <v>8011575</v>
      </c>
      <c r="M193" s="2">
        <f t="shared" si="474"/>
        <v>0</v>
      </c>
      <c r="N193" s="2">
        <f t="shared" si="475"/>
        <v>8011575</v>
      </c>
      <c r="O193" s="2">
        <f t="shared" si="476"/>
        <v>0</v>
      </c>
      <c r="P193" s="2">
        <f t="shared" si="477"/>
        <v>8011575</v>
      </c>
      <c r="Q193" s="2">
        <f t="shared" si="478"/>
        <v>0</v>
      </c>
      <c r="R193" s="2"/>
      <c r="S193" s="2"/>
      <c r="T193" s="2"/>
      <c r="U193" s="2">
        <f t="shared" si="479"/>
        <v>8011575</v>
      </c>
      <c r="V193" s="74"/>
    </row>
    <row r="194" spans="1:22" s="23" customFormat="1" ht="24" customHeight="1" x14ac:dyDescent="0.25">
      <c r="A194" s="253"/>
      <c r="B194" s="253" t="s">
        <v>104</v>
      </c>
      <c r="C194" s="257"/>
      <c r="D194" s="257"/>
      <c r="E194" s="219">
        <v>851</v>
      </c>
      <c r="F194" s="18" t="s">
        <v>0</v>
      </c>
      <c r="G194" s="18" t="s">
        <v>6</v>
      </c>
      <c r="H194" s="18" t="s">
        <v>569</v>
      </c>
      <c r="I194" s="18" t="s">
        <v>105</v>
      </c>
      <c r="J194" s="21">
        <v>8011575</v>
      </c>
      <c r="K194" s="21"/>
      <c r="L194" s="2">
        <f t="shared" si="465"/>
        <v>8011575</v>
      </c>
      <c r="M194" s="21"/>
      <c r="N194" s="2">
        <f t="shared" ref="N194" si="480">L194+M194</f>
        <v>8011575</v>
      </c>
      <c r="O194" s="21"/>
      <c r="P194" s="2">
        <f>N194+O194</f>
        <v>8011575</v>
      </c>
      <c r="Q194" s="21"/>
      <c r="R194" s="21"/>
      <c r="S194" s="21"/>
      <c r="T194" s="21"/>
      <c r="U194" s="2">
        <f t="shared" ref="U194" si="481">P194+Q194</f>
        <v>8011575</v>
      </c>
      <c r="V194" s="437"/>
    </row>
    <row r="195" spans="1:22" x14ac:dyDescent="0.25">
      <c r="A195" s="508" t="s">
        <v>106</v>
      </c>
      <c r="B195" s="508"/>
      <c r="C195" s="265"/>
      <c r="D195" s="265"/>
      <c r="E195" s="219">
        <v>851</v>
      </c>
      <c r="F195" s="11" t="s">
        <v>0</v>
      </c>
      <c r="G195" s="11" t="s">
        <v>1</v>
      </c>
      <c r="H195" s="11"/>
      <c r="I195" s="11"/>
      <c r="J195" s="12">
        <f t="shared" ref="J195:U195" si="482">J196</f>
        <v>270000</v>
      </c>
      <c r="K195" s="12">
        <f t="shared" si="482"/>
        <v>0</v>
      </c>
      <c r="L195" s="12">
        <f t="shared" si="482"/>
        <v>270000</v>
      </c>
      <c r="M195" s="12">
        <f t="shared" si="482"/>
        <v>0</v>
      </c>
      <c r="N195" s="12">
        <f t="shared" si="482"/>
        <v>270000</v>
      </c>
      <c r="O195" s="12">
        <f t="shared" si="482"/>
        <v>0</v>
      </c>
      <c r="P195" s="12">
        <f t="shared" si="482"/>
        <v>270000</v>
      </c>
      <c r="Q195" s="12">
        <f t="shared" si="482"/>
        <v>0</v>
      </c>
      <c r="R195" s="12"/>
      <c r="S195" s="12"/>
      <c r="T195" s="12"/>
      <c r="U195" s="12">
        <f t="shared" si="482"/>
        <v>270000</v>
      </c>
      <c r="V195" s="89"/>
    </row>
    <row r="196" spans="1:22" x14ac:dyDescent="0.25">
      <c r="A196" s="509" t="s">
        <v>107</v>
      </c>
      <c r="B196" s="509"/>
      <c r="C196" s="253"/>
      <c r="D196" s="253"/>
      <c r="E196" s="219">
        <v>851</v>
      </c>
      <c r="F196" s="1" t="s">
        <v>0</v>
      </c>
      <c r="G196" s="1" t="s">
        <v>1</v>
      </c>
      <c r="H196" s="18" t="s">
        <v>568</v>
      </c>
      <c r="I196" s="1"/>
      <c r="J196" s="2">
        <f t="shared" ref="J196" si="483">J197+J199</f>
        <v>270000</v>
      </c>
      <c r="K196" s="2">
        <f t="shared" ref="K196" si="484">K197+K199</f>
        <v>0</v>
      </c>
      <c r="L196" s="2">
        <f t="shared" ref="L196" si="485">L197+L199</f>
        <v>270000</v>
      </c>
      <c r="M196" s="2">
        <f t="shared" ref="M196" si="486">M197+M199</f>
        <v>0</v>
      </c>
      <c r="N196" s="2">
        <f t="shared" ref="N196" si="487">N197+N199</f>
        <v>270000</v>
      </c>
      <c r="O196" s="2">
        <f t="shared" ref="O196" si="488">O197+O199</f>
        <v>0</v>
      </c>
      <c r="P196" s="2">
        <f t="shared" ref="P196" si="489">P197+P199</f>
        <v>270000</v>
      </c>
      <c r="Q196" s="2">
        <f t="shared" ref="Q196" si="490">Q197+Q199</f>
        <v>0</v>
      </c>
      <c r="R196" s="2"/>
      <c r="S196" s="2"/>
      <c r="T196" s="2"/>
      <c r="U196" s="2">
        <f t="shared" ref="U196" si="491">U197+U199</f>
        <v>270000</v>
      </c>
      <c r="V196" s="74"/>
    </row>
    <row r="197" spans="1:22" ht="12" customHeight="1" x14ac:dyDescent="0.25">
      <c r="A197" s="15"/>
      <c r="B197" s="253" t="s">
        <v>27</v>
      </c>
      <c r="C197" s="252"/>
      <c r="D197" s="252"/>
      <c r="E197" s="219">
        <v>851</v>
      </c>
      <c r="F197" s="18" t="s">
        <v>0</v>
      </c>
      <c r="G197" s="1" t="s">
        <v>1</v>
      </c>
      <c r="H197" s="18" t="s">
        <v>568</v>
      </c>
      <c r="I197" s="1" t="s">
        <v>28</v>
      </c>
      <c r="J197" s="2">
        <f t="shared" ref="J197" si="492">J198</f>
        <v>90000</v>
      </c>
      <c r="K197" s="2">
        <f t="shared" ref="K197" si="493">K198</f>
        <v>0</v>
      </c>
      <c r="L197" s="2">
        <f t="shared" ref="L197" si="494">L198</f>
        <v>90000</v>
      </c>
      <c r="M197" s="2">
        <f t="shared" ref="M197" si="495">M198</f>
        <v>0</v>
      </c>
      <c r="N197" s="2">
        <f t="shared" ref="N197" si="496">N198</f>
        <v>90000</v>
      </c>
      <c r="O197" s="2">
        <f t="shared" ref="O197" si="497">O198</f>
        <v>0</v>
      </c>
      <c r="P197" s="2">
        <f t="shared" ref="P197" si="498">P198</f>
        <v>90000</v>
      </c>
      <c r="Q197" s="2">
        <f t="shared" ref="Q197" si="499">Q198</f>
        <v>0</v>
      </c>
      <c r="R197" s="2"/>
      <c r="S197" s="2"/>
      <c r="T197" s="2"/>
      <c r="U197" s="2">
        <f t="shared" ref="U197" si="500">U198</f>
        <v>90000</v>
      </c>
      <c r="V197" s="74"/>
    </row>
    <row r="198" spans="1:22" ht="26.25" customHeight="1" x14ac:dyDescent="0.25">
      <c r="A198" s="15"/>
      <c r="B198" s="253" t="s">
        <v>29</v>
      </c>
      <c r="C198" s="253"/>
      <c r="D198" s="253"/>
      <c r="E198" s="219">
        <v>851</v>
      </c>
      <c r="F198" s="18" t="s">
        <v>0</v>
      </c>
      <c r="G198" s="1" t="s">
        <v>1</v>
      </c>
      <c r="H198" s="18" t="s">
        <v>568</v>
      </c>
      <c r="I198" s="1" t="s">
        <v>30</v>
      </c>
      <c r="J198" s="2">
        <v>90000</v>
      </c>
      <c r="K198" s="2"/>
      <c r="L198" s="2">
        <f t="shared" si="465"/>
        <v>90000</v>
      </c>
      <c r="M198" s="2"/>
      <c r="N198" s="2">
        <f t="shared" ref="N198:N208" si="501">L198+M198</f>
        <v>90000</v>
      </c>
      <c r="O198" s="2"/>
      <c r="P198" s="2">
        <f>N198+O198</f>
        <v>90000</v>
      </c>
      <c r="Q198" s="2"/>
      <c r="R198" s="2"/>
      <c r="S198" s="2"/>
      <c r="T198" s="2"/>
      <c r="U198" s="2">
        <f t="shared" ref="U198:U208" si="502">P198+Q198</f>
        <v>90000</v>
      </c>
      <c r="V198" s="89"/>
    </row>
    <row r="199" spans="1:22" ht="14.25" customHeight="1" x14ac:dyDescent="0.25">
      <c r="A199" s="241"/>
      <c r="B199" s="252" t="s">
        <v>99</v>
      </c>
      <c r="C199" s="252"/>
      <c r="D199" s="252"/>
      <c r="E199" s="219">
        <v>851</v>
      </c>
      <c r="F199" s="1" t="s">
        <v>0</v>
      </c>
      <c r="G199" s="1" t="s">
        <v>1</v>
      </c>
      <c r="H199" s="18" t="s">
        <v>568</v>
      </c>
      <c r="I199" s="1" t="s">
        <v>100</v>
      </c>
      <c r="J199" s="2">
        <f>J200</f>
        <v>180000</v>
      </c>
      <c r="K199" s="2">
        <f>K200</f>
        <v>0</v>
      </c>
      <c r="L199" s="2">
        <f t="shared" si="465"/>
        <v>180000</v>
      </c>
      <c r="M199" s="2">
        <f>M200</f>
        <v>0</v>
      </c>
      <c r="N199" s="2">
        <f t="shared" si="501"/>
        <v>180000</v>
      </c>
      <c r="O199" s="2">
        <f>O200</f>
        <v>0</v>
      </c>
      <c r="P199" s="2">
        <f>N199+O199</f>
        <v>180000</v>
      </c>
      <c r="Q199" s="2">
        <f>Q200</f>
        <v>0</v>
      </c>
      <c r="R199" s="2"/>
      <c r="S199" s="2"/>
      <c r="T199" s="2"/>
      <c r="U199" s="2">
        <f t="shared" si="502"/>
        <v>180000</v>
      </c>
      <c r="V199" s="89"/>
    </row>
    <row r="200" spans="1:22" ht="26.25" customHeight="1" x14ac:dyDescent="0.25">
      <c r="A200" s="241"/>
      <c r="B200" s="252" t="s">
        <v>252</v>
      </c>
      <c r="C200" s="252"/>
      <c r="D200" s="252"/>
      <c r="E200" s="219">
        <v>851</v>
      </c>
      <c r="F200" s="1" t="s">
        <v>0</v>
      </c>
      <c r="G200" s="1" t="s">
        <v>1</v>
      </c>
      <c r="H200" s="18" t="s">
        <v>568</v>
      </c>
      <c r="I200" s="1" t="s">
        <v>8</v>
      </c>
      <c r="J200" s="2">
        <v>180000</v>
      </c>
      <c r="K200" s="2"/>
      <c r="L200" s="2">
        <f t="shared" si="465"/>
        <v>180000</v>
      </c>
      <c r="M200" s="2"/>
      <c r="N200" s="2">
        <f t="shared" si="501"/>
        <v>180000</v>
      </c>
      <c r="O200" s="2"/>
      <c r="P200" s="2">
        <f>N200+O200</f>
        <v>180000</v>
      </c>
      <c r="Q200" s="2"/>
      <c r="R200" s="2"/>
      <c r="S200" s="2"/>
      <c r="T200" s="2"/>
      <c r="U200" s="2">
        <f t="shared" si="502"/>
        <v>180000</v>
      </c>
      <c r="V200" s="89"/>
    </row>
    <row r="201" spans="1:22" x14ac:dyDescent="0.25">
      <c r="A201" s="503" t="s">
        <v>108</v>
      </c>
      <c r="B201" s="503"/>
      <c r="C201" s="261"/>
      <c r="D201" s="261"/>
      <c r="E201" s="219">
        <v>851</v>
      </c>
      <c r="F201" s="7" t="s">
        <v>38</v>
      </c>
      <c r="G201" s="7"/>
      <c r="H201" s="7"/>
      <c r="I201" s="7"/>
      <c r="J201" s="8">
        <f t="shared" ref="J201:U201" si="503">J202</f>
        <v>544000</v>
      </c>
      <c r="K201" s="8">
        <f t="shared" si="503"/>
        <v>0</v>
      </c>
      <c r="L201" s="2">
        <f t="shared" si="465"/>
        <v>544000</v>
      </c>
      <c r="M201" s="8">
        <f t="shared" si="503"/>
        <v>0</v>
      </c>
      <c r="N201" s="2">
        <f t="shared" si="501"/>
        <v>544000</v>
      </c>
      <c r="O201" s="8">
        <f t="shared" si="503"/>
        <v>0</v>
      </c>
      <c r="P201" s="8">
        <f t="shared" si="503"/>
        <v>544000</v>
      </c>
      <c r="Q201" s="8">
        <f t="shared" si="503"/>
        <v>0</v>
      </c>
      <c r="R201" s="8"/>
      <c r="S201" s="8"/>
      <c r="T201" s="8"/>
      <c r="U201" s="8">
        <f t="shared" si="503"/>
        <v>544000</v>
      </c>
      <c r="V201" s="89"/>
    </row>
    <row r="202" spans="1:22" x14ac:dyDescent="0.25">
      <c r="A202" s="534" t="s">
        <v>109</v>
      </c>
      <c r="B202" s="534"/>
      <c r="C202" s="269"/>
      <c r="D202" s="269"/>
      <c r="E202" s="219">
        <v>851</v>
      </c>
      <c r="F202" s="11" t="s">
        <v>38</v>
      </c>
      <c r="G202" s="11" t="s">
        <v>72</v>
      </c>
      <c r="H202" s="11"/>
      <c r="I202" s="11"/>
      <c r="J202" s="12">
        <f t="shared" ref="J202:K202" si="504">J203+J206</f>
        <v>544000</v>
      </c>
      <c r="K202" s="12">
        <f t="shared" si="504"/>
        <v>0</v>
      </c>
      <c r="L202" s="2">
        <f t="shared" si="465"/>
        <v>544000</v>
      </c>
      <c r="M202" s="12">
        <f t="shared" ref="M202:O202" si="505">M203+M206</f>
        <v>0</v>
      </c>
      <c r="N202" s="2">
        <f t="shared" si="501"/>
        <v>544000</v>
      </c>
      <c r="O202" s="12">
        <f t="shared" si="505"/>
        <v>0</v>
      </c>
      <c r="P202" s="12">
        <f t="shared" ref="P202:U202" si="506">P203+P206</f>
        <v>544000</v>
      </c>
      <c r="Q202" s="12">
        <f t="shared" si="506"/>
        <v>0</v>
      </c>
      <c r="R202" s="12"/>
      <c r="S202" s="12"/>
      <c r="T202" s="12"/>
      <c r="U202" s="12">
        <f t="shared" si="506"/>
        <v>544000</v>
      </c>
      <c r="V202" s="89"/>
    </row>
    <row r="203" spans="1:22" s="24" customFormat="1" x14ac:dyDescent="0.25">
      <c r="A203" s="509" t="s">
        <v>110</v>
      </c>
      <c r="B203" s="509"/>
      <c r="C203" s="253"/>
      <c r="D203" s="253"/>
      <c r="E203" s="219">
        <v>851</v>
      </c>
      <c r="F203" s="1" t="s">
        <v>38</v>
      </c>
      <c r="G203" s="1" t="s">
        <v>72</v>
      </c>
      <c r="H203" s="18" t="s">
        <v>565</v>
      </c>
      <c r="I203" s="1"/>
      <c r="J203" s="2">
        <f t="shared" ref="J203:J204" si="507">J204</f>
        <v>260000</v>
      </c>
      <c r="K203" s="2">
        <f t="shared" ref="K203:K204" si="508">K204</f>
        <v>0</v>
      </c>
      <c r="L203" s="2">
        <f t="shared" ref="L203:L204" si="509">L204</f>
        <v>260000</v>
      </c>
      <c r="M203" s="2">
        <f t="shared" ref="M203:M204" si="510">M204</f>
        <v>0</v>
      </c>
      <c r="N203" s="2">
        <f t="shared" ref="N203:N204" si="511">N204</f>
        <v>260000</v>
      </c>
      <c r="O203" s="2">
        <f t="shared" ref="O203:O204" si="512">O204</f>
        <v>0</v>
      </c>
      <c r="P203" s="2">
        <f t="shared" ref="P203:P204" si="513">P204</f>
        <v>260000</v>
      </c>
      <c r="Q203" s="2">
        <f t="shared" ref="Q203:Q204" si="514">Q204</f>
        <v>0</v>
      </c>
      <c r="R203" s="2"/>
      <c r="S203" s="2"/>
      <c r="T203" s="2"/>
      <c r="U203" s="2">
        <f t="shared" ref="U203:U204" si="515">U204</f>
        <v>260000</v>
      </c>
      <c r="V203" s="74"/>
    </row>
    <row r="204" spans="1:22" ht="15" customHeight="1" x14ac:dyDescent="0.25">
      <c r="A204" s="15"/>
      <c r="B204" s="253" t="s">
        <v>27</v>
      </c>
      <c r="C204" s="252"/>
      <c r="D204" s="252"/>
      <c r="E204" s="219">
        <v>851</v>
      </c>
      <c r="F204" s="1" t="s">
        <v>38</v>
      </c>
      <c r="G204" s="1" t="s">
        <v>72</v>
      </c>
      <c r="H204" s="18" t="s">
        <v>565</v>
      </c>
      <c r="I204" s="1" t="s">
        <v>28</v>
      </c>
      <c r="J204" s="2">
        <f t="shared" si="507"/>
        <v>260000</v>
      </c>
      <c r="K204" s="2">
        <f t="shared" si="508"/>
        <v>0</v>
      </c>
      <c r="L204" s="2">
        <f t="shared" si="509"/>
        <v>260000</v>
      </c>
      <c r="M204" s="2">
        <f t="shared" si="510"/>
        <v>0</v>
      </c>
      <c r="N204" s="2">
        <f t="shared" si="511"/>
        <v>260000</v>
      </c>
      <c r="O204" s="2">
        <f t="shared" si="512"/>
        <v>0</v>
      </c>
      <c r="P204" s="2">
        <f t="shared" si="513"/>
        <v>260000</v>
      </c>
      <c r="Q204" s="2">
        <f t="shared" si="514"/>
        <v>0</v>
      </c>
      <c r="R204" s="2"/>
      <c r="S204" s="2"/>
      <c r="T204" s="2"/>
      <c r="U204" s="2">
        <f t="shared" si="515"/>
        <v>260000</v>
      </c>
      <c r="V204" s="74"/>
    </row>
    <row r="205" spans="1:22" ht="26.25" customHeight="1" x14ac:dyDescent="0.25">
      <c r="A205" s="15"/>
      <c r="B205" s="253" t="s">
        <v>29</v>
      </c>
      <c r="C205" s="253"/>
      <c r="D205" s="253"/>
      <c r="E205" s="219">
        <v>851</v>
      </c>
      <c r="F205" s="1" t="s">
        <v>38</v>
      </c>
      <c r="G205" s="1" t="s">
        <v>72</v>
      </c>
      <c r="H205" s="18" t="s">
        <v>565</v>
      </c>
      <c r="I205" s="1" t="s">
        <v>30</v>
      </c>
      <c r="J205" s="2">
        <v>260000</v>
      </c>
      <c r="K205" s="2"/>
      <c r="L205" s="2">
        <f t="shared" si="465"/>
        <v>260000</v>
      </c>
      <c r="M205" s="2"/>
      <c r="N205" s="2">
        <f t="shared" si="501"/>
        <v>260000</v>
      </c>
      <c r="O205" s="2"/>
      <c r="P205" s="2">
        <f>N205+O205</f>
        <v>260000</v>
      </c>
      <c r="Q205" s="2"/>
      <c r="R205" s="2"/>
      <c r="S205" s="2"/>
      <c r="T205" s="2"/>
      <c r="U205" s="2">
        <f t="shared" si="502"/>
        <v>260000</v>
      </c>
      <c r="V205" s="89"/>
    </row>
    <row r="206" spans="1:22" ht="38.25" customHeight="1" x14ac:dyDescent="0.25">
      <c r="A206" s="509" t="s">
        <v>478</v>
      </c>
      <c r="B206" s="509"/>
      <c r="C206" s="269"/>
      <c r="D206" s="269"/>
      <c r="E206" s="219">
        <v>851</v>
      </c>
      <c r="F206" s="1" t="s">
        <v>38</v>
      </c>
      <c r="G206" s="1" t="s">
        <v>72</v>
      </c>
      <c r="H206" s="1" t="s">
        <v>566</v>
      </c>
      <c r="I206" s="1"/>
      <c r="J206" s="2">
        <f t="shared" ref="J206:J207" si="516">J207</f>
        <v>284000</v>
      </c>
      <c r="K206" s="2">
        <f t="shared" ref="K206:K207" si="517">K207</f>
        <v>0</v>
      </c>
      <c r="L206" s="2">
        <f t="shared" ref="L206:L207" si="518">L207</f>
        <v>284000</v>
      </c>
      <c r="M206" s="2">
        <f t="shared" ref="M206:M207" si="519">M207</f>
        <v>0</v>
      </c>
      <c r="N206" s="2">
        <f t="shared" ref="N206:N207" si="520">N207</f>
        <v>284000</v>
      </c>
      <c r="O206" s="2">
        <f t="shared" ref="O206:O207" si="521">O207</f>
        <v>0</v>
      </c>
      <c r="P206" s="2">
        <f t="shared" ref="P206:P207" si="522">P207</f>
        <v>284000</v>
      </c>
      <c r="Q206" s="2">
        <f t="shared" ref="Q206:Q207" si="523">Q207</f>
        <v>0</v>
      </c>
      <c r="R206" s="2"/>
      <c r="S206" s="2"/>
      <c r="T206" s="2"/>
      <c r="U206" s="2">
        <f t="shared" ref="U206:U207" si="524">U207</f>
        <v>284000</v>
      </c>
      <c r="V206" s="74"/>
    </row>
    <row r="207" spans="1:22" ht="14.25" customHeight="1" x14ac:dyDescent="0.25">
      <c r="A207" s="15"/>
      <c r="B207" s="253" t="s">
        <v>27</v>
      </c>
      <c r="C207" s="269"/>
      <c r="D207" s="269"/>
      <c r="E207" s="219">
        <v>851</v>
      </c>
      <c r="F207" s="1" t="s">
        <v>38</v>
      </c>
      <c r="G207" s="1" t="s">
        <v>72</v>
      </c>
      <c r="H207" s="1" t="s">
        <v>566</v>
      </c>
      <c r="I207" s="1" t="s">
        <v>28</v>
      </c>
      <c r="J207" s="2">
        <f t="shared" si="516"/>
        <v>284000</v>
      </c>
      <c r="K207" s="2">
        <f t="shared" si="517"/>
        <v>0</v>
      </c>
      <c r="L207" s="2">
        <f t="shared" si="518"/>
        <v>284000</v>
      </c>
      <c r="M207" s="2">
        <f t="shared" si="519"/>
        <v>0</v>
      </c>
      <c r="N207" s="2">
        <f t="shared" si="520"/>
        <v>284000</v>
      </c>
      <c r="O207" s="2">
        <f t="shared" si="521"/>
        <v>0</v>
      </c>
      <c r="P207" s="2">
        <f t="shared" si="522"/>
        <v>284000</v>
      </c>
      <c r="Q207" s="2">
        <f t="shared" si="523"/>
        <v>0</v>
      </c>
      <c r="R207" s="2"/>
      <c r="S207" s="2"/>
      <c r="T207" s="2"/>
      <c r="U207" s="2">
        <f t="shared" si="524"/>
        <v>284000</v>
      </c>
      <c r="V207" s="74"/>
    </row>
    <row r="208" spans="1:22" ht="25.5" customHeight="1" x14ac:dyDescent="0.25">
      <c r="A208" s="15"/>
      <c r="B208" s="253" t="s">
        <v>29</v>
      </c>
      <c r="C208" s="269"/>
      <c r="D208" s="269"/>
      <c r="E208" s="219">
        <v>851</v>
      </c>
      <c r="F208" s="1" t="s">
        <v>38</v>
      </c>
      <c r="G208" s="1" t="s">
        <v>72</v>
      </c>
      <c r="H208" s="1" t="s">
        <v>566</v>
      </c>
      <c r="I208" s="1" t="s">
        <v>30</v>
      </c>
      <c r="J208" s="2">
        <v>284000</v>
      </c>
      <c r="K208" s="2"/>
      <c r="L208" s="2">
        <f t="shared" si="465"/>
        <v>284000</v>
      </c>
      <c r="M208" s="2"/>
      <c r="N208" s="2">
        <f t="shared" si="501"/>
        <v>284000</v>
      </c>
      <c r="O208" s="2"/>
      <c r="P208" s="2">
        <f>N208+O208</f>
        <v>284000</v>
      </c>
      <c r="Q208" s="2"/>
      <c r="R208" s="2"/>
      <c r="S208" s="2"/>
      <c r="T208" s="2"/>
      <c r="U208" s="2">
        <f t="shared" si="502"/>
        <v>284000</v>
      </c>
      <c r="V208" s="89"/>
    </row>
    <row r="209" spans="1:24" ht="27" customHeight="1" x14ac:dyDescent="0.25">
      <c r="A209" s="531" t="s">
        <v>111</v>
      </c>
      <c r="B209" s="531"/>
      <c r="C209" s="270"/>
      <c r="D209" s="270"/>
      <c r="E209" s="270">
        <v>852</v>
      </c>
      <c r="F209" s="18"/>
      <c r="G209" s="18"/>
      <c r="H209" s="18"/>
      <c r="I209" s="1"/>
      <c r="J209" s="8">
        <f t="shared" ref="J209:P209" si="525">J210+J276</f>
        <v>148946959</v>
      </c>
      <c r="K209" s="8">
        <f t="shared" si="525"/>
        <v>325480</v>
      </c>
      <c r="L209" s="8">
        <f t="shared" si="525"/>
        <v>149272439</v>
      </c>
      <c r="M209" s="8">
        <f t="shared" si="525"/>
        <v>1033500</v>
      </c>
      <c r="N209" s="8">
        <f t="shared" si="525"/>
        <v>150305939</v>
      </c>
      <c r="O209" s="8">
        <f t="shared" si="525"/>
        <v>247500</v>
      </c>
      <c r="P209" s="8">
        <f t="shared" si="525"/>
        <v>150553439</v>
      </c>
      <c r="Q209" s="8">
        <f t="shared" ref="Q209:U209" si="526">Q210+Q276</f>
        <v>1604959.91</v>
      </c>
      <c r="R209" s="8">
        <f t="shared" ref="R209:T209" si="527">R210+R276</f>
        <v>44677.91</v>
      </c>
      <c r="S209" s="8">
        <f t="shared" si="527"/>
        <v>1560282</v>
      </c>
      <c r="T209" s="8">
        <f t="shared" si="527"/>
        <v>0</v>
      </c>
      <c r="U209" s="8">
        <f t="shared" si="526"/>
        <v>152158398.91</v>
      </c>
      <c r="V209" s="89"/>
      <c r="X209" s="9"/>
    </row>
    <row r="210" spans="1:24" s="10" customFormat="1" x14ac:dyDescent="0.25">
      <c r="A210" s="503" t="s">
        <v>78</v>
      </c>
      <c r="B210" s="503"/>
      <c r="C210" s="261"/>
      <c r="D210" s="261"/>
      <c r="E210" s="219">
        <v>852</v>
      </c>
      <c r="F210" s="7" t="s">
        <v>36</v>
      </c>
      <c r="G210" s="7"/>
      <c r="H210" s="7"/>
      <c r="I210" s="7"/>
      <c r="J210" s="8">
        <f t="shared" ref="J210:P210" si="528">J211+J227+J252+J256</f>
        <v>139714123</v>
      </c>
      <c r="K210" s="8">
        <f t="shared" si="528"/>
        <v>325480</v>
      </c>
      <c r="L210" s="8">
        <f t="shared" si="528"/>
        <v>140039603</v>
      </c>
      <c r="M210" s="8">
        <f t="shared" si="528"/>
        <v>865364</v>
      </c>
      <c r="N210" s="8">
        <f t="shared" si="528"/>
        <v>140904967</v>
      </c>
      <c r="O210" s="8">
        <f t="shared" si="528"/>
        <v>247500</v>
      </c>
      <c r="P210" s="8">
        <f t="shared" si="528"/>
        <v>141152467</v>
      </c>
      <c r="Q210" s="8">
        <f t="shared" ref="Q210:U210" si="529">Q211+Q227+Q252+Q256</f>
        <v>1560282</v>
      </c>
      <c r="R210" s="8">
        <f t="shared" ref="R210:T210" si="530">R211+R227+R252+R256</f>
        <v>0</v>
      </c>
      <c r="S210" s="8">
        <f t="shared" si="530"/>
        <v>1560282</v>
      </c>
      <c r="T210" s="8">
        <f t="shared" si="530"/>
        <v>0</v>
      </c>
      <c r="U210" s="8">
        <f t="shared" si="529"/>
        <v>142712749</v>
      </c>
      <c r="V210" s="435"/>
    </row>
    <row r="211" spans="1:24" s="13" customFormat="1" x14ac:dyDescent="0.25">
      <c r="A211" s="508" t="s">
        <v>79</v>
      </c>
      <c r="B211" s="508"/>
      <c r="C211" s="265"/>
      <c r="D211" s="265"/>
      <c r="E211" s="219">
        <v>852</v>
      </c>
      <c r="F211" s="11" t="s">
        <v>36</v>
      </c>
      <c r="G211" s="11" t="s">
        <v>17</v>
      </c>
      <c r="H211" s="11"/>
      <c r="I211" s="11"/>
      <c r="J211" s="12">
        <f>J215+J218+J212+J224</f>
        <v>33975927</v>
      </c>
      <c r="K211" s="12">
        <f t="shared" ref="K211:M211" si="531">K215+K218+K212+K224</f>
        <v>0</v>
      </c>
      <c r="L211" s="12">
        <f t="shared" ref="L211:O211" si="532">L215+L218+L212+L224</f>
        <v>33975927</v>
      </c>
      <c r="M211" s="12">
        <f t="shared" si="531"/>
        <v>0</v>
      </c>
      <c r="N211" s="12">
        <f t="shared" si="532"/>
        <v>33975927</v>
      </c>
      <c r="O211" s="12">
        <f t="shared" si="532"/>
        <v>0</v>
      </c>
      <c r="P211" s="12">
        <f>P215+P218+P212+P221+P224</f>
        <v>33975927</v>
      </c>
      <c r="Q211" s="12">
        <f t="shared" ref="Q211:U211" si="533">Q215+Q218+Q212+Q221+Q224</f>
        <v>1111182</v>
      </c>
      <c r="R211" s="12">
        <f>SUM(R212:R226)</f>
        <v>0</v>
      </c>
      <c r="S211" s="12">
        <f t="shared" ref="S211:T211" si="534">SUM(S212:S226)</f>
        <v>1111182</v>
      </c>
      <c r="T211" s="12">
        <f t="shared" si="534"/>
        <v>0</v>
      </c>
      <c r="U211" s="12">
        <f t="shared" si="533"/>
        <v>35087109</v>
      </c>
      <c r="V211" s="31"/>
    </row>
    <row r="212" spans="1:24" s="23" customFormat="1" x14ac:dyDescent="0.25">
      <c r="A212" s="509" t="s">
        <v>115</v>
      </c>
      <c r="B212" s="509"/>
      <c r="C212" s="253"/>
      <c r="D212" s="252"/>
      <c r="E212" s="219">
        <v>852</v>
      </c>
      <c r="F212" s="18" t="s">
        <v>36</v>
      </c>
      <c r="G212" s="18" t="s">
        <v>17</v>
      </c>
      <c r="H212" s="18" t="s">
        <v>116</v>
      </c>
      <c r="I212" s="18"/>
      <c r="J212" s="2">
        <f t="shared" ref="J212:J213" si="535">J213</f>
        <v>11495900</v>
      </c>
      <c r="K212" s="2">
        <f t="shared" ref="K212:K213" si="536">K213</f>
        <v>0</v>
      </c>
      <c r="L212" s="2">
        <f t="shared" ref="L212:L213" si="537">L213</f>
        <v>11495900</v>
      </c>
      <c r="M212" s="2">
        <f t="shared" ref="M212:M213" si="538">M213</f>
        <v>0</v>
      </c>
      <c r="N212" s="2">
        <f t="shared" ref="N212:N213" si="539">N213</f>
        <v>11495900</v>
      </c>
      <c r="O212" s="2">
        <f t="shared" ref="O212:O213" si="540">O213</f>
        <v>0</v>
      </c>
      <c r="P212" s="2">
        <f t="shared" ref="P212:P213" si="541">P213</f>
        <v>11495900</v>
      </c>
      <c r="Q212" s="2">
        <f t="shared" ref="Q212:Q213" si="542">Q213</f>
        <v>1176182</v>
      </c>
      <c r="R212" s="2"/>
      <c r="S212" s="2"/>
      <c r="T212" s="2"/>
      <c r="U212" s="2">
        <f t="shared" ref="U212:U213" si="543">U213</f>
        <v>12672082</v>
      </c>
      <c r="V212" s="74"/>
    </row>
    <row r="213" spans="1:24" s="23" customFormat="1" ht="25.5" customHeight="1" x14ac:dyDescent="0.25">
      <c r="A213" s="253"/>
      <c r="B213" s="253" t="s">
        <v>91</v>
      </c>
      <c r="C213" s="253"/>
      <c r="D213" s="253"/>
      <c r="E213" s="219">
        <v>852</v>
      </c>
      <c r="F213" s="18" t="s">
        <v>36</v>
      </c>
      <c r="G213" s="18" t="s">
        <v>17</v>
      </c>
      <c r="H213" s="18" t="s">
        <v>116</v>
      </c>
      <c r="I213" s="18" t="s">
        <v>87</v>
      </c>
      <c r="J213" s="2">
        <f t="shared" si="535"/>
        <v>11495900</v>
      </c>
      <c r="K213" s="2">
        <f t="shared" si="536"/>
        <v>0</v>
      </c>
      <c r="L213" s="2">
        <f t="shared" si="537"/>
        <v>11495900</v>
      </c>
      <c r="M213" s="2">
        <f t="shared" si="538"/>
        <v>0</v>
      </c>
      <c r="N213" s="2">
        <f t="shared" si="539"/>
        <v>11495900</v>
      </c>
      <c r="O213" s="2">
        <f t="shared" si="540"/>
        <v>0</v>
      </c>
      <c r="P213" s="2">
        <f t="shared" si="541"/>
        <v>11495900</v>
      </c>
      <c r="Q213" s="2">
        <f t="shared" si="542"/>
        <v>1176182</v>
      </c>
      <c r="R213" s="2"/>
      <c r="S213" s="2"/>
      <c r="T213" s="2"/>
      <c r="U213" s="2">
        <f t="shared" si="543"/>
        <v>12672082</v>
      </c>
      <c r="V213" s="74"/>
    </row>
    <row r="214" spans="1:24" ht="36.75" customHeight="1" x14ac:dyDescent="0.25">
      <c r="A214" s="253"/>
      <c r="B214" s="253" t="s">
        <v>88</v>
      </c>
      <c r="C214" s="253"/>
      <c r="D214" s="253"/>
      <c r="E214" s="219">
        <v>852</v>
      </c>
      <c r="F214" s="1" t="s">
        <v>36</v>
      </c>
      <c r="G214" s="1" t="s">
        <v>17</v>
      </c>
      <c r="H214" s="18" t="s">
        <v>116</v>
      </c>
      <c r="I214" s="1" t="s">
        <v>89</v>
      </c>
      <c r="J214" s="2">
        <f>11396000+99900</f>
        <v>11495900</v>
      </c>
      <c r="K214" s="2"/>
      <c r="L214" s="2">
        <f t="shared" si="465"/>
        <v>11495900</v>
      </c>
      <c r="M214" s="2"/>
      <c r="N214" s="2">
        <f t="shared" ref="N214:N226" si="544">L214+M214</f>
        <v>11495900</v>
      </c>
      <c r="O214" s="2"/>
      <c r="P214" s="2">
        <f>N214+O214</f>
        <v>11495900</v>
      </c>
      <c r="Q214" s="2">
        <f>1176182</f>
        <v>1176182</v>
      </c>
      <c r="R214" s="2"/>
      <c r="S214" s="2">
        <v>1176182</v>
      </c>
      <c r="T214" s="2"/>
      <c r="U214" s="2">
        <f t="shared" ref="U214:U226" si="545">P214+Q214</f>
        <v>12672082</v>
      </c>
      <c r="V214" s="89"/>
    </row>
    <row r="215" spans="1:24" s="13" customFormat="1" ht="25.5" customHeight="1" x14ac:dyDescent="0.25">
      <c r="A215" s="533" t="s">
        <v>634</v>
      </c>
      <c r="B215" s="533"/>
      <c r="C215" s="265"/>
      <c r="D215" s="265"/>
      <c r="E215" s="219">
        <v>852</v>
      </c>
      <c r="F215" s="1" t="s">
        <v>36</v>
      </c>
      <c r="G215" s="1" t="s">
        <v>17</v>
      </c>
      <c r="H215" s="1" t="s">
        <v>112</v>
      </c>
      <c r="I215" s="1"/>
      <c r="J215" s="2">
        <f t="shared" ref="J215:J216" si="546">J216</f>
        <v>21495027</v>
      </c>
      <c r="K215" s="2">
        <f t="shared" ref="K215:K216" si="547">K216</f>
        <v>0</v>
      </c>
      <c r="L215" s="2">
        <f t="shared" ref="L215:L216" si="548">L216</f>
        <v>21495027</v>
      </c>
      <c r="M215" s="2">
        <f t="shared" ref="M215:M216" si="549">M216</f>
        <v>0</v>
      </c>
      <c r="N215" s="2">
        <f t="shared" ref="N215:N216" si="550">N216</f>
        <v>21495027</v>
      </c>
      <c r="O215" s="2">
        <f t="shared" ref="O215:O216" si="551">O216</f>
        <v>0</v>
      </c>
      <c r="P215" s="2">
        <f t="shared" ref="P215:P216" si="552">P216</f>
        <v>21495027</v>
      </c>
      <c r="Q215" s="2">
        <f t="shared" ref="Q215:Q216" si="553">Q216</f>
        <v>0</v>
      </c>
      <c r="R215" s="2"/>
      <c r="S215" s="2"/>
      <c r="T215" s="2"/>
      <c r="U215" s="2">
        <f t="shared" ref="U215:U216" si="554">U216</f>
        <v>21495027</v>
      </c>
      <c r="V215" s="74"/>
    </row>
    <row r="216" spans="1:24" s="13" customFormat="1" ht="24" customHeight="1" x14ac:dyDescent="0.25">
      <c r="A216" s="265"/>
      <c r="B216" s="253" t="s">
        <v>91</v>
      </c>
      <c r="C216" s="265"/>
      <c r="D216" s="265"/>
      <c r="E216" s="219">
        <v>852</v>
      </c>
      <c r="F216" s="1" t="s">
        <v>36</v>
      </c>
      <c r="G216" s="1" t="s">
        <v>17</v>
      </c>
      <c r="H216" s="1" t="s">
        <v>112</v>
      </c>
      <c r="I216" s="1" t="s">
        <v>87</v>
      </c>
      <c r="J216" s="2">
        <f t="shared" si="546"/>
        <v>21495027</v>
      </c>
      <c r="K216" s="2">
        <f t="shared" si="547"/>
        <v>0</v>
      </c>
      <c r="L216" s="2">
        <f t="shared" si="548"/>
        <v>21495027</v>
      </c>
      <c r="M216" s="2">
        <f t="shared" si="549"/>
        <v>0</v>
      </c>
      <c r="N216" s="2">
        <f t="shared" si="550"/>
        <v>21495027</v>
      </c>
      <c r="O216" s="2">
        <f t="shared" si="551"/>
        <v>0</v>
      </c>
      <c r="P216" s="2">
        <f t="shared" si="552"/>
        <v>21495027</v>
      </c>
      <c r="Q216" s="2">
        <f t="shared" si="553"/>
        <v>0</v>
      </c>
      <c r="R216" s="2"/>
      <c r="S216" s="2"/>
      <c r="T216" s="2"/>
      <c r="U216" s="2">
        <f t="shared" si="554"/>
        <v>21495027</v>
      </c>
      <c r="V216" s="74"/>
    </row>
    <row r="217" spans="1:24" s="13" customFormat="1" ht="36" x14ac:dyDescent="0.25">
      <c r="A217" s="265"/>
      <c r="B217" s="253" t="s">
        <v>88</v>
      </c>
      <c r="C217" s="265"/>
      <c r="D217" s="265"/>
      <c r="E217" s="219">
        <v>852</v>
      </c>
      <c r="F217" s="1" t="s">
        <v>36</v>
      </c>
      <c r="G217" s="1" t="s">
        <v>17</v>
      </c>
      <c r="H217" s="1" t="s">
        <v>112</v>
      </c>
      <c r="I217" s="1" t="s">
        <v>89</v>
      </c>
      <c r="J217" s="2">
        <f>20548915+946112</f>
        <v>21495027</v>
      </c>
      <c r="K217" s="2"/>
      <c r="L217" s="2">
        <f t="shared" si="465"/>
        <v>21495027</v>
      </c>
      <c r="M217" s="2"/>
      <c r="N217" s="2">
        <f t="shared" si="544"/>
        <v>21495027</v>
      </c>
      <c r="O217" s="2"/>
      <c r="P217" s="2">
        <f>N217+O217</f>
        <v>21495027</v>
      </c>
      <c r="Q217" s="2"/>
      <c r="R217" s="2"/>
      <c r="S217" s="2"/>
      <c r="T217" s="2"/>
      <c r="U217" s="2">
        <f t="shared" si="545"/>
        <v>21495027</v>
      </c>
      <c r="V217" s="31"/>
    </row>
    <row r="218" spans="1:24" s="13" customFormat="1" ht="37.5" customHeight="1" x14ac:dyDescent="0.25">
      <c r="A218" s="509" t="s">
        <v>113</v>
      </c>
      <c r="B218" s="509"/>
      <c r="C218" s="265"/>
      <c r="D218" s="265"/>
      <c r="E218" s="219">
        <v>852</v>
      </c>
      <c r="F218" s="1" t="s">
        <v>36</v>
      </c>
      <c r="G218" s="1" t="s">
        <v>17</v>
      </c>
      <c r="H218" s="1" t="s">
        <v>114</v>
      </c>
      <c r="I218" s="1"/>
      <c r="J218" s="2">
        <f t="shared" ref="J218:J219" si="555">J219</f>
        <v>624000</v>
      </c>
      <c r="K218" s="2">
        <f t="shared" ref="K218:K219" si="556">K219</f>
        <v>0</v>
      </c>
      <c r="L218" s="2">
        <f t="shared" ref="L218:L219" si="557">L219</f>
        <v>624000</v>
      </c>
      <c r="M218" s="2">
        <f t="shared" ref="M218:M219" si="558">M219</f>
        <v>0</v>
      </c>
      <c r="N218" s="2">
        <f t="shared" ref="N218:N219" si="559">N219</f>
        <v>624000</v>
      </c>
      <c r="O218" s="2">
        <f t="shared" ref="O218:O219" si="560">O219</f>
        <v>0</v>
      </c>
      <c r="P218" s="2">
        <f t="shared" ref="P218:P222" si="561">P219</f>
        <v>624000</v>
      </c>
      <c r="Q218" s="2">
        <f t="shared" ref="Q218:Q222" si="562">Q219</f>
        <v>0</v>
      </c>
      <c r="R218" s="2"/>
      <c r="S218" s="2"/>
      <c r="T218" s="2"/>
      <c r="U218" s="2">
        <f t="shared" ref="U218:U219" si="563">U219</f>
        <v>624000</v>
      </c>
      <c r="V218" s="74"/>
    </row>
    <row r="219" spans="1:24" s="13" customFormat="1" ht="24" x14ac:dyDescent="0.25">
      <c r="A219" s="265"/>
      <c r="B219" s="253" t="s">
        <v>91</v>
      </c>
      <c r="C219" s="265"/>
      <c r="D219" s="265"/>
      <c r="E219" s="219">
        <v>852</v>
      </c>
      <c r="F219" s="1" t="s">
        <v>36</v>
      </c>
      <c r="G219" s="1" t="s">
        <v>17</v>
      </c>
      <c r="H219" s="1" t="s">
        <v>114</v>
      </c>
      <c r="I219" s="1" t="s">
        <v>87</v>
      </c>
      <c r="J219" s="2">
        <f t="shared" si="555"/>
        <v>624000</v>
      </c>
      <c r="K219" s="2">
        <f t="shared" si="556"/>
        <v>0</v>
      </c>
      <c r="L219" s="2">
        <f t="shared" si="557"/>
        <v>624000</v>
      </c>
      <c r="M219" s="2">
        <f t="shared" si="558"/>
        <v>0</v>
      </c>
      <c r="N219" s="2">
        <f t="shared" si="559"/>
        <v>624000</v>
      </c>
      <c r="O219" s="2">
        <f t="shared" si="560"/>
        <v>0</v>
      </c>
      <c r="P219" s="2">
        <f t="shared" si="561"/>
        <v>624000</v>
      </c>
      <c r="Q219" s="2">
        <f t="shared" si="562"/>
        <v>0</v>
      </c>
      <c r="R219" s="2"/>
      <c r="S219" s="2"/>
      <c r="T219" s="2"/>
      <c r="U219" s="2">
        <f t="shared" si="563"/>
        <v>624000</v>
      </c>
      <c r="V219" s="74"/>
    </row>
    <row r="220" spans="1:24" s="13" customFormat="1" ht="36" x14ac:dyDescent="0.25">
      <c r="A220" s="265"/>
      <c r="B220" s="253" t="s">
        <v>88</v>
      </c>
      <c r="C220" s="265"/>
      <c r="D220" s="265"/>
      <c r="E220" s="219">
        <v>852</v>
      </c>
      <c r="F220" s="1" t="s">
        <v>36</v>
      </c>
      <c r="G220" s="1" t="s">
        <v>17</v>
      </c>
      <c r="H220" s="1" t="s">
        <v>114</v>
      </c>
      <c r="I220" s="1" t="s">
        <v>89</v>
      </c>
      <c r="J220" s="2">
        <v>624000</v>
      </c>
      <c r="K220" s="2"/>
      <c r="L220" s="2">
        <f t="shared" si="465"/>
        <v>624000</v>
      </c>
      <c r="M220" s="2"/>
      <c r="N220" s="2">
        <f t="shared" si="544"/>
        <v>624000</v>
      </c>
      <c r="O220" s="2"/>
      <c r="P220" s="2">
        <f>N220+O220</f>
        <v>624000</v>
      </c>
      <c r="Q220" s="2"/>
      <c r="R220" s="2"/>
      <c r="S220" s="2"/>
      <c r="T220" s="2"/>
      <c r="U220" s="2">
        <f t="shared" si="545"/>
        <v>624000</v>
      </c>
      <c r="V220" s="31"/>
    </row>
    <row r="221" spans="1:24" s="13" customFormat="1" x14ac:dyDescent="0.25">
      <c r="A221" s="509" t="s">
        <v>117</v>
      </c>
      <c r="B221" s="509"/>
      <c r="C221" s="441"/>
      <c r="D221" s="441"/>
      <c r="E221" s="219">
        <v>852</v>
      </c>
      <c r="F221" s="1" t="s">
        <v>36</v>
      </c>
      <c r="G221" s="1" t="s">
        <v>17</v>
      </c>
      <c r="H221" s="1" t="s">
        <v>118</v>
      </c>
      <c r="I221" s="1"/>
      <c r="J221" s="2"/>
      <c r="K221" s="2"/>
      <c r="L221" s="2"/>
      <c r="M221" s="2"/>
      <c r="N221" s="2"/>
      <c r="O221" s="2"/>
      <c r="P221" s="2">
        <f t="shared" si="561"/>
        <v>0</v>
      </c>
      <c r="Q221" s="2">
        <f t="shared" si="562"/>
        <v>37591</v>
      </c>
      <c r="R221" s="2"/>
      <c r="S221" s="2"/>
      <c r="T221" s="2"/>
      <c r="U221" s="2">
        <f t="shared" si="545"/>
        <v>37591</v>
      </c>
      <c r="V221" s="31"/>
    </row>
    <row r="222" spans="1:24" s="13" customFormat="1" ht="24" x14ac:dyDescent="0.25">
      <c r="A222" s="440"/>
      <c r="B222" s="217" t="s">
        <v>91</v>
      </c>
      <c r="C222" s="441"/>
      <c r="D222" s="441"/>
      <c r="E222" s="219">
        <v>852</v>
      </c>
      <c r="F222" s="1" t="s">
        <v>36</v>
      </c>
      <c r="G222" s="1" t="s">
        <v>17</v>
      </c>
      <c r="H222" s="1" t="s">
        <v>118</v>
      </c>
      <c r="I222" s="1" t="s">
        <v>87</v>
      </c>
      <c r="J222" s="2"/>
      <c r="K222" s="2"/>
      <c r="L222" s="2"/>
      <c r="M222" s="2"/>
      <c r="N222" s="2"/>
      <c r="O222" s="2"/>
      <c r="P222" s="2">
        <f t="shared" si="561"/>
        <v>0</v>
      </c>
      <c r="Q222" s="2">
        <f t="shared" si="562"/>
        <v>37591</v>
      </c>
      <c r="R222" s="2"/>
      <c r="S222" s="2"/>
      <c r="T222" s="2"/>
      <c r="U222" s="2">
        <f t="shared" si="545"/>
        <v>37591</v>
      </c>
      <c r="V222" s="31"/>
    </row>
    <row r="223" spans="1:24" s="13" customFormat="1" x14ac:dyDescent="0.25">
      <c r="A223" s="440"/>
      <c r="B223" s="217" t="s">
        <v>119</v>
      </c>
      <c r="C223" s="441"/>
      <c r="D223" s="441"/>
      <c r="E223" s="219">
        <v>852</v>
      </c>
      <c r="F223" s="1" t="s">
        <v>36</v>
      </c>
      <c r="G223" s="1" t="s">
        <v>17</v>
      </c>
      <c r="H223" s="1" t="s">
        <v>118</v>
      </c>
      <c r="I223" s="1" t="s">
        <v>120</v>
      </c>
      <c r="J223" s="2"/>
      <c r="K223" s="2"/>
      <c r="L223" s="2"/>
      <c r="M223" s="2"/>
      <c r="N223" s="2"/>
      <c r="O223" s="2"/>
      <c r="P223" s="2">
        <f>N223+O223</f>
        <v>0</v>
      </c>
      <c r="Q223" s="2">
        <v>37591</v>
      </c>
      <c r="R223" s="2"/>
      <c r="S223" s="2">
        <v>37591</v>
      </c>
      <c r="T223" s="2"/>
      <c r="U223" s="2">
        <f t="shared" si="545"/>
        <v>37591</v>
      </c>
      <c r="V223" s="31"/>
    </row>
    <row r="224" spans="1:24" ht="26.25" customHeight="1" x14ac:dyDescent="0.25">
      <c r="A224" s="509" t="s">
        <v>121</v>
      </c>
      <c r="B224" s="509"/>
      <c r="C224" s="253"/>
      <c r="D224" s="253"/>
      <c r="E224" s="219">
        <v>852</v>
      </c>
      <c r="F224" s="18" t="s">
        <v>36</v>
      </c>
      <c r="G224" s="1" t="s">
        <v>17</v>
      </c>
      <c r="H224" s="18" t="s">
        <v>122</v>
      </c>
      <c r="I224" s="1"/>
      <c r="J224" s="2">
        <f t="shared" ref="J224:J225" si="564">J225</f>
        <v>361000</v>
      </c>
      <c r="K224" s="2">
        <f t="shared" ref="K224:K225" si="565">K225</f>
        <v>0</v>
      </c>
      <c r="L224" s="2">
        <f t="shared" ref="L224:L225" si="566">L225</f>
        <v>361000</v>
      </c>
      <c r="M224" s="2">
        <f t="shared" ref="M224:M225" si="567">M225</f>
        <v>0</v>
      </c>
      <c r="N224" s="2">
        <f t="shared" ref="N224:N225" si="568">N225</f>
        <v>361000</v>
      </c>
      <c r="O224" s="2">
        <f t="shared" ref="O224:O225" si="569">O225</f>
        <v>0</v>
      </c>
      <c r="P224" s="2">
        <f t="shared" ref="P224:P225" si="570">P225</f>
        <v>361000</v>
      </c>
      <c r="Q224" s="2">
        <f t="shared" ref="Q224:Q225" si="571">Q225</f>
        <v>-102591</v>
      </c>
      <c r="R224" s="2"/>
      <c r="S224" s="2"/>
      <c r="T224" s="2"/>
      <c r="U224" s="2">
        <f t="shared" ref="U224:U225" si="572">U225</f>
        <v>258409</v>
      </c>
      <c r="V224" s="74"/>
    </row>
    <row r="225" spans="1:22" ht="24" x14ac:dyDescent="0.25">
      <c r="A225" s="253"/>
      <c r="B225" s="217" t="s">
        <v>91</v>
      </c>
      <c r="C225" s="253"/>
      <c r="D225" s="253"/>
      <c r="E225" s="219">
        <v>852</v>
      </c>
      <c r="F225" s="1" t="s">
        <v>36</v>
      </c>
      <c r="G225" s="1" t="s">
        <v>17</v>
      </c>
      <c r="H225" s="18" t="s">
        <v>122</v>
      </c>
      <c r="I225" s="1" t="s">
        <v>87</v>
      </c>
      <c r="J225" s="2">
        <f t="shared" si="564"/>
        <v>361000</v>
      </c>
      <c r="K225" s="2">
        <f t="shared" si="565"/>
        <v>0</v>
      </c>
      <c r="L225" s="2">
        <f t="shared" si="566"/>
        <v>361000</v>
      </c>
      <c r="M225" s="2">
        <f t="shared" si="567"/>
        <v>0</v>
      </c>
      <c r="N225" s="2">
        <f t="shared" si="568"/>
        <v>361000</v>
      </c>
      <c r="O225" s="2">
        <f t="shared" si="569"/>
        <v>0</v>
      </c>
      <c r="P225" s="2">
        <f t="shared" si="570"/>
        <v>361000</v>
      </c>
      <c r="Q225" s="2">
        <f t="shared" si="571"/>
        <v>-102591</v>
      </c>
      <c r="R225" s="2"/>
      <c r="S225" s="2"/>
      <c r="T225" s="2"/>
      <c r="U225" s="2">
        <f t="shared" si="572"/>
        <v>258409</v>
      </c>
      <c r="V225" s="74"/>
    </row>
    <row r="226" spans="1:22" x14ac:dyDescent="0.25">
      <c r="A226" s="253"/>
      <c r="B226" s="217" t="s">
        <v>119</v>
      </c>
      <c r="C226" s="253"/>
      <c r="D226" s="253"/>
      <c r="E226" s="219">
        <v>852</v>
      </c>
      <c r="F226" s="1" t="s">
        <v>36</v>
      </c>
      <c r="G226" s="1" t="s">
        <v>17</v>
      </c>
      <c r="H226" s="18" t="s">
        <v>122</v>
      </c>
      <c r="I226" s="1" t="s">
        <v>120</v>
      </c>
      <c r="J226" s="2">
        <v>361000</v>
      </c>
      <c r="K226" s="2"/>
      <c r="L226" s="2">
        <f t="shared" si="465"/>
        <v>361000</v>
      </c>
      <c r="M226" s="2"/>
      <c r="N226" s="2">
        <f t="shared" si="544"/>
        <v>361000</v>
      </c>
      <c r="O226" s="2"/>
      <c r="P226" s="2">
        <f>N226+O226</f>
        <v>361000</v>
      </c>
      <c r="Q226" s="2">
        <v>-102591</v>
      </c>
      <c r="R226" s="2"/>
      <c r="S226" s="2">
        <v>-102591</v>
      </c>
      <c r="T226" s="2"/>
      <c r="U226" s="2">
        <f t="shared" si="545"/>
        <v>258409</v>
      </c>
      <c r="V226" s="89"/>
    </row>
    <row r="227" spans="1:22" s="13" customFormat="1" x14ac:dyDescent="0.25">
      <c r="A227" s="508" t="s">
        <v>82</v>
      </c>
      <c r="B227" s="508"/>
      <c r="C227" s="265"/>
      <c r="D227" s="265"/>
      <c r="E227" s="219">
        <v>852</v>
      </c>
      <c r="F227" s="11" t="s">
        <v>36</v>
      </c>
      <c r="G227" s="11" t="s">
        <v>72</v>
      </c>
      <c r="H227" s="11"/>
      <c r="I227" s="11"/>
      <c r="J227" s="12">
        <f>J228+J231+J234+J237+J240+J246+J249</f>
        <v>93548636</v>
      </c>
      <c r="K227" s="12">
        <f t="shared" ref="K227:L227" si="573">K228+K231+K234+K237+K240+K246+K249</f>
        <v>325480</v>
      </c>
      <c r="L227" s="12">
        <f t="shared" si="573"/>
        <v>93874116</v>
      </c>
      <c r="M227" s="12">
        <f t="shared" ref="M227" si="574">M228+M231+M234+M237+M240+M246+M249</f>
        <v>808050</v>
      </c>
      <c r="N227" s="12">
        <f>N228+N231+N234+N237+N240+N243+N246+N249</f>
        <v>94682166</v>
      </c>
      <c r="O227" s="12">
        <f t="shared" ref="O227:P227" si="575">O228+O231+O234+O237+O240+O243+O246+O249</f>
        <v>247500</v>
      </c>
      <c r="P227" s="12">
        <f t="shared" si="575"/>
        <v>94929666</v>
      </c>
      <c r="Q227" s="12">
        <f t="shared" ref="Q227:U227" si="576">Q228+Q231+Q234+Q237+Q240+Q243+Q246+Q249</f>
        <v>24000</v>
      </c>
      <c r="R227" s="12">
        <f>SUM(R228:R251)</f>
        <v>0</v>
      </c>
      <c r="S227" s="12">
        <f t="shared" ref="S227:T227" si="577">SUM(S228:S251)</f>
        <v>24000</v>
      </c>
      <c r="T227" s="12">
        <f t="shared" si="577"/>
        <v>0</v>
      </c>
      <c r="U227" s="12">
        <f t="shared" si="576"/>
        <v>94953666</v>
      </c>
      <c r="V227" s="31"/>
    </row>
    <row r="228" spans="1:22" x14ac:dyDescent="0.25">
      <c r="A228" s="509" t="s">
        <v>123</v>
      </c>
      <c r="B228" s="509"/>
      <c r="C228" s="253"/>
      <c r="D228" s="253"/>
      <c r="E228" s="219">
        <v>852</v>
      </c>
      <c r="F228" s="1" t="s">
        <v>36</v>
      </c>
      <c r="G228" s="1" t="s">
        <v>72</v>
      </c>
      <c r="H228" s="1" t="s">
        <v>124</v>
      </c>
      <c r="I228" s="1"/>
      <c r="J228" s="2">
        <f t="shared" ref="J228:J229" si="578">J229</f>
        <v>13985000</v>
      </c>
      <c r="K228" s="2">
        <f t="shared" ref="K228:K229" si="579">K229</f>
        <v>0</v>
      </c>
      <c r="L228" s="2">
        <f t="shared" ref="L228:L229" si="580">L229</f>
        <v>13985000</v>
      </c>
      <c r="M228" s="2">
        <f t="shared" ref="M228:M229" si="581">M229</f>
        <v>-49248</v>
      </c>
      <c r="N228" s="2">
        <f t="shared" ref="N228:N229" si="582">N229</f>
        <v>13935752</v>
      </c>
      <c r="O228" s="2">
        <f t="shared" ref="O228:O229" si="583">O229</f>
        <v>0</v>
      </c>
      <c r="P228" s="2">
        <f t="shared" ref="P228:P229" si="584">P229</f>
        <v>13935752</v>
      </c>
      <c r="Q228" s="2">
        <f t="shared" ref="Q228:Q229" si="585">Q229</f>
        <v>0</v>
      </c>
      <c r="R228" s="2"/>
      <c r="S228" s="2"/>
      <c r="T228" s="2"/>
      <c r="U228" s="2">
        <f t="shared" ref="U228:U229" si="586">U229</f>
        <v>13935752</v>
      </c>
      <c r="V228" s="74"/>
    </row>
    <row r="229" spans="1:22" ht="24.75" customHeight="1" x14ac:dyDescent="0.25">
      <c r="A229" s="253"/>
      <c r="B229" s="253" t="s">
        <v>91</v>
      </c>
      <c r="C229" s="253"/>
      <c r="D229" s="253"/>
      <c r="E229" s="219">
        <v>852</v>
      </c>
      <c r="F229" s="1" t="s">
        <v>36</v>
      </c>
      <c r="G229" s="18" t="s">
        <v>72</v>
      </c>
      <c r="H229" s="1" t="s">
        <v>124</v>
      </c>
      <c r="I229" s="1" t="s">
        <v>87</v>
      </c>
      <c r="J229" s="2">
        <f t="shared" si="578"/>
        <v>13985000</v>
      </c>
      <c r="K229" s="2">
        <f t="shared" si="579"/>
        <v>0</v>
      </c>
      <c r="L229" s="2">
        <f t="shared" si="580"/>
        <v>13985000</v>
      </c>
      <c r="M229" s="2">
        <f t="shared" si="581"/>
        <v>-49248</v>
      </c>
      <c r="N229" s="2">
        <f t="shared" si="582"/>
        <v>13935752</v>
      </c>
      <c r="O229" s="2">
        <f t="shared" si="583"/>
        <v>0</v>
      </c>
      <c r="P229" s="2">
        <f t="shared" si="584"/>
        <v>13935752</v>
      </c>
      <c r="Q229" s="2">
        <f t="shared" si="585"/>
        <v>0</v>
      </c>
      <c r="R229" s="2"/>
      <c r="S229" s="2"/>
      <c r="T229" s="2"/>
      <c r="U229" s="2">
        <f t="shared" si="586"/>
        <v>13935752</v>
      </c>
      <c r="V229" s="74"/>
    </row>
    <row r="230" spans="1:22" ht="36" x14ac:dyDescent="0.25">
      <c r="A230" s="253"/>
      <c r="B230" s="253" t="s">
        <v>88</v>
      </c>
      <c r="C230" s="253"/>
      <c r="D230" s="253"/>
      <c r="E230" s="219">
        <v>852</v>
      </c>
      <c r="F230" s="1" t="s">
        <v>36</v>
      </c>
      <c r="G230" s="18" t="s">
        <v>72</v>
      </c>
      <c r="H230" s="1" t="s">
        <v>124</v>
      </c>
      <c r="I230" s="1" t="s">
        <v>89</v>
      </c>
      <c r="J230" s="2">
        <v>13985000</v>
      </c>
      <c r="K230" s="2"/>
      <c r="L230" s="2">
        <f t="shared" si="465"/>
        <v>13985000</v>
      </c>
      <c r="M230" s="2">
        <v>-49248</v>
      </c>
      <c r="N230" s="2">
        <f t="shared" ref="N230:N236" si="587">L230+M230</f>
        <v>13935752</v>
      </c>
      <c r="O230" s="2"/>
      <c r="P230" s="2">
        <f>N230+O230</f>
        <v>13935752</v>
      </c>
      <c r="Q230" s="2"/>
      <c r="R230" s="2"/>
      <c r="S230" s="2"/>
      <c r="T230" s="2"/>
      <c r="U230" s="2">
        <f t="shared" ref="U230:U236" si="588">P230+Q230</f>
        <v>13935752</v>
      </c>
      <c r="V230" s="89"/>
    </row>
    <row r="231" spans="1:22" x14ac:dyDescent="0.25">
      <c r="A231" s="509" t="s">
        <v>125</v>
      </c>
      <c r="B231" s="509"/>
      <c r="C231" s="253"/>
      <c r="D231" s="253"/>
      <c r="E231" s="219">
        <v>852</v>
      </c>
      <c r="F231" s="18" t="s">
        <v>36</v>
      </c>
      <c r="G231" s="18" t="s">
        <v>72</v>
      </c>
      <c r="H231" s="18" t="s">
        <v>126</v>
      </c>
      <c r="I231" s="1"/>
      <c r="J231" s="2">
        <f t="shared" ref="J231:J232" si="589">J232</f>
        <v>8331600</v>
      </c>
      <c r="K231" s="2">
        <f t="shared" ref="K231:K232" si="590">K232</f>
        <v>0</v>
      </c>
      <c r="L231" s="2">
        <f t="shared" ref="L231:L232" si="591">L232</f>
        <v>8331600</v>
      </c>
      <c r="M231" s="2">
        <f t="shared" ref="M231:M232" si="592">M232</f>
        <v>0</v>
      </c>
      <c r="N231" s="2">
        <f t="shared" ref="N231:N232" si="593">N232</f>
        <v>8331600</v>
      </c>
      <c r="O231" s="2">
        <f t="shared" ref="O231:O232" si="594">O232</f>
        <v>0</v>
      </c>
      <c r="P231" s="2">
        <f t="shared" ref="P231:P232" si="595">P232</f>
        <v>8331600</v>
      </c>
      <c r="Q231" s="2">
        <f t="shared" ref="Q231:Q232" si="596">Q232</f>
        <v>-329104</v>
      </c>
      <c r="R231" s="2"/>
      <c r="S231" s="2"/>
      <c r="T231" s="2"/>
      <c r="U231" s="2">
        <f t="shared" ref="U231:U232" si="597">U232</f>
        <v>8002496</v>
      </c>
      <c r="V231" s="74"/>
    </row>
    <row r="232" spans="1:22" ht="22.5" customHeight="1" x14ac:dyDescent="0.25">
      <c r="A232" s="253"/>
      <c r="B232" s="253" t="s">
        <v>91</v>
      </c>
      <c r="C232" s="253"/>
      <c r="D232" s="253"/>
      <c r="E232" s="219">
        <v>852</v>
      </c>
      <c r="F232" s="1" t="s">
        <v>36</v>
      </c>
      <c r="G232" s="18" t="s">
        <v>72</v>
      </c>
      <c r="H232" s="18" t="s">
        <v>126</v>
      </c>
      <c r="I232" s="1" t="s">
        <v>87</v>
      </c>
      <c r="J232" s="2">
        <f t="shared" si="589"/>
        <v>8331600</v>
      </c>
      <c r="K232" s="2">
        <f t="shared" si="590"/>
        <v>0</v>
      </c>
      <c r="L232" s="2">
        <f t="shared" si="591"/>
        <v>8331600</v>
      </c>
      <c r="M232" s="2">
        <f t="shared" si="592"/>
        <v>0</v>
      </c>
      <c r="N232" s="2">
        <f t="shared" si="593"/>
        <v>8331600</v>
      </c>
      <c r="O232" s="2">
        <f t="shared" si="594"/>
        <v>0</v>
      </c>
      <c r="P232" s="2">
        <f t="shared" si="595"/>
        <v>8331600</v>
      </c>
      <c r="Q232" s="2">
        <f t="shared" si="596"/>
        <v>-329104</v>
      </c>
      <c r="R232" s="2"/>
      <c r="S232" s="2"/>
      <c r="T232" s="2"/>
      <c r="U232" s="2">
        <f t="shared" si="597"/>
        <v>8002496</v>
      </c>
      <c r="V232" s="74"/>
    </row>
    <row r="233" spans="1:22" ht="35.25" customHeight="1" x14ac:dyDescent="0.25">
      <c r="A233" s="253"/>
      <c r="B233" s="253" t="s">
        <v>88</v>
      </c>
      <c r="C233" s="253"/>
      <c r="D233" s="253"/>
      <c r="E233" s="219">
        <v>852</v>
      </c>
      <c r="F233" s="1" t="s">
        <v>36</v>
      </c>
      <c r="G233" s="18" t="s">
        <v>72</v>
      </c>
      <c r="H233" s="18" t="s">
        <v>126</v>
      </c>
      <c r="I233" s="1" t="s">
        <v>89</v>
      </c>
      <c r="J233" s="2">
        <v>8331600</v>
      </c>
      <c r="K233" s="2"/>
      <c r="L233" s="2">
        <f t="shared" si="465"/>
        <v>8331600</v>
      </c>
      <c r="M233" s="2"/>
      <c r="N233" s="2">
        <f t="shared" si="587"/>
        <v>8331600</v>
      </c>
      <c r="O233" s="2"/>
      <c r="P233" s="2">
        <f>N233+O233</f>
        <v>8331600</v>
      </c>
      <c r="Q233" s="2">
        <f>-280124-48980</f>
        <v>-329104</v>
      </c>
      <c r="R233" s="2"/>
      <c r="S233" s="2">
        <v>-329104</v>
      </c>
      <c r="T233" s="2"/>
      <c r="U233" s="2">
        <f t="shared" si="588"/>
        <v>8002496</v>
      </c>
      <c r="V233" s="89"/>
    </row>
    <row r="234" spans="1:22" s="13" customFormat="1" ht="36.75" customHeight="1" x14ac:dyDescent="0.25">
      <c r="A234" s="509" t="s">
        <v>635</v>
      </c>
      <c r="B234" s="509"/>
      <c r="C234" s="265"/>
      <c r="D234" s="265"/>
      <c r="E234" s="219">
        <v>852</v>
      </c>
      <c r="F234" s="1" t="s">
        <v>36</v>
      </c>
      <c r="G234" s="1" t="s">
        <v>72</v>
      </c>
      <c r="H234" s="18" t="s">
        <v>128</v>
      </c>
      <c r="I234" s="1"/>
      <c r="J234" s="2">
        <f t="shared" ref="J234:J235" si="598">J235</f>
        <v>66777336</v>
      </c>
      <c r="K234" s="2">
        <f t="shared" ref="K234:K235" si="599">K235</f>
        <v>0</v>
      </c>
      <c r="L234" s="2">
        <f t="shared" ref="L234:L235" si="600">L235</f>
        <v>66777336</v>
      </c>
      <c r="M234" s="2">
        <f t="shared" ref="M234:M235" si="601">M235</f>
        <v>0</v>
      </c>
      <c r="N234" s="2">
        <f t="shared" ref="N234:N235" si="602">N235</f>
        <v>66777336</v>
      </c>
      <c r="O234" s="2">
        <f t="shared" ref="O234:O235" si="603">O235</f>
        <v>0</v>
      </c>
      <c r="P234" s="2">
        <f t="shared" ref="P234:P235" si="604">P235</f>
        <v>66777336</v>
      </c>
      <c r="Q234" s="2">
        <f t="shared" ref="Q234:Q235" si="605">Q235</f>
        <v>0</v>
      </c>
      <c r="R234" s="2"/>
      <c r="S234" s="2"/>
      <c r="T234" s="2"/>
      <c r="U234" s="2">
        <f t="shared" ref="U234:U235" si="606">U235</f>
        <v>66777336</v>
      </c>
      <c r="V234" s="74"/>
    </row>
    <row r="235" spans="1:22" s="13" customFormat="1" ht="24" customHeight="1" x14ac:dyDescent="0.25">
      <c r="A235" s="253"/>
      <c r="B235" s="253" t="s">
        <v>91</v>
      </c>
      <c r="C235" s="265"/>
      <c r="D235" s="265"/>
      <c r="E235" s="219">
        <v>852</v>
      </c>
      <c r="F235" s="1" t="s">
        <v>36</v>
      </c>
      <c r="G235" s="1" t="s">
        <v>72</v>
      </c>
      <c r="H235" s="1" t="s">
        <v>128</v>
      </c>
      <c r="I235" s="1" t="s">
        <v>87</v>
      </c>
      <c r="J235" s="2">
        <f t="shared" si="598"/>
        <v>66777336</v>
      </c>
      <c r="K235" s="2">
        <f t="shared" si="599"/>
        <v>0</v>
      </c>
      <c r="L235" s="2">
        <f t="shared" si="600"/>
        <v>66777336</v>
      </c>
      <c r="M235" s="2">
        <f t="shared" si="601"/>
        <v>0</v>
      </c>
      <c r="N235" s="2">
        <f t="shared" si="602"/>
        <v>66777336</v>
      </c>
      <c r="O235" s="2">
        <f t="shared" si="603"/>
        <v>0</v>
      </c>
      <c r="P235" s="2">
        <f t="shared" si="604"/>
        <v>66777336</v>
      </c>
      <c r="Q235" s="2">
        <f t="shared" si="605"/>
        <v>0</v>
      </c>
      <c r="R235" s="2"/>
      <c r="S235" s="2"/>
      <c r="T235" s="2"/>
      <c r="U235" s="2">
        <f t="shared" si="606"/>
        <v>66777336</v>
      </c>
      <c r="V235" s="74"/>
    </row>
    <row r="236" spans="1:22" s="13" customFormat="1" ht="36.75" customHeight="1" x14ac:dyDescent="0.25">
      <c r="A236" s="253"/>
      <c r="B236" s="253" t="s">
        <v>88</v>
      </c>
      <c r="C236" s="265"/>
      <c r="D236" s="265"/>
      <c r="E236" s="219">
        <v>852</v>
      </c>
      <c r="F236" s="1" t="s">
        <v>36</v>
      </c>
      <c r="G236" s="1" t="s">
        <v>72</v>
      </c>
      <c r="H236" s="1" t="s">
        <v>128</v>
      </c>
      <c r="I236" s="1" t="s">
        <v>89</v>
      </c>
      <c r="J236" s="2">
        <v>66777336</v>
      </c>
      <c r="K236" s="2"/>
      <c r="L236" s="2">
        <f t="shared" si="465"/>
        <v>66777336</v>
      </c>
      <c r="M236" s="2"/>
      <c r="N236" s="2">
        <f t="shared" si="587"/>
        <v>66777336</v>
      </c>
      <c r="O236" s="2"/>
      <c r="P236" s="2">
        <f>N236+O236</f>
        <v>66777336</v>
      </c>
      <c r="Q236" s="2"/>
      <c r="R236" s="2"/>
      <c r="S236" s="2"/>
      <c r="T236" s="2"/>
      <c r="U236" s="2">
        <f t="shared" si="588"/>
        <v>66777336</v>
      </c>
      <c r="V236" s="31"/>
    </row>
    <row r="237" spans="1:22" s="13" customFormat="1" ht="13.5" customHeight="1" x14ac:dyDescent="0.25">
      <c r="A237" s="516" t="s">
        <v>602</v>
      </c>
      <c r="B237" s="517"/>
      <c r="C237" s="326"/>
      <c r="D237" s="326"/>
      <c r="E237" s="219">
        <v>852</v>
      </c>
      <c r="F237" s="1" t="s">
        <v>36</v>
      </c>
      <c r="G237" s="18" t="s">
        <v>72</v>
      </c>
      <c r="H237" s="1" t="s">
        <v>603</v>
      </c>
      <c r="I237" s="1"/>
      <c r="J237" s="2">
        <f t="shared" ref="J237:J238" si="607">J238</f>
        <v>0</v>
      </c>
      <c r="K237" s="2">
        <f t="shared" ref="K237:K238" si="608">K238</f>
        <v>0</v>
      </c>
      <c r="L237" s="2">
        <f t="shared" ref="L237:L238" si="609">L238</f>
        <v>0</v>
      </c>
      <c r="M237" s="2">
        <f t="shared" ref="M237:M238" si="610">M238</f>
        <v>808050</v>
      </c>
      <c r="N237" s="2">
        <f t="shared" ref="N237:N238" si="611">N238</f>
        <v>808050</v>
      </c>
      <c r="O237" s="2">
        <f t="shared" ref="O237:O238" si="612">O238</f>
        <v>0</v>
      </c>
      <c r="P237" s="2">
        <f t="shared" ref="P237:P238" si="613">P238</f>
        <v>808050</v>
      </c>
      <c r="Q237" s="2">
        <f t="shared" ref="Q237:Q238" si="614">Q238</f>
        <v>0</v>
      </c>
      <c r="R237" s="2"/>
      <c r="S237" s="2"/>
      <c r="T237" s="2"/>
      <c r="U237" s="2">
        <f t="shared" ref="U237:U238" si="615">U238</f>
        <v>808050</v>
      </c>
      <c r="V237" s="74"/>
    </row>
    <row r="238" spans="1:22" s="13" customFormat="1" ht="24" customHeight="1" x14ac:dyDescent="0.25">
      <c r="A238" s="325"/>
      <c r="B238" s="325" t="s">
        <v>91</v>
      </c>
      <c r="C238" s="326"/>
      <c r="D238" s="326"/>
      <c r="E238" s="219">
        <v>852</v>
      </c>
      <c r="F238" s="1" t="s">
        <v>36</v>
      </c>
      <c r="G238" s="18" t="s">
        <v>72</v>
      </c>
      <c r="H238" s="1" t="s">
        <v>603</v>
      </c>
      <c r="I238" s="1" t="s">
        <v>87</v>
      </c>
      <c r="J238" s="2">
        <f t="shared" si="607"/>
        <v>0</v>
      </c>
      <c r="K238" s="2">
        <f t="shared" si="608"/>
        <v>0</v>
      </c>
      <c r="L238" s="2">
        <f t="shared" si="609"/>
        <v>0</v>
      </c>
      <c r="M238" s="2">
        <f t="shared" si="610"/>
        <v>808050</v>
      </c>
      <c r="N238" s="2">
        <f t="shared" si="611"/>
        <v>808050</v>
      </c>
      <c r="O238" s="2">
        <f t="shared" si="612"/>
        <v>0</v>
      </c>
      <c r="P238" s="2">
        <f t="shared" si="613"/>
        <v>808050</v>
      </c>
      <c r="Q238" s="2">
        <f t="shared" si="614"/>
        <v>0</v>
      </c>
      <c r="R238" s="2"/>
      <c r="S238" s="2"/>
      <c r="T238" s="2"/>
      <c r="U238" s="2">
        <f t="shared" si="615"/>
        <v>808050</v>
      </c>
      <c r="V238" s="74"/>
    </row>
    <row r="239" spans="1:22" s="13" customFormat="1" ht="17.25" customHeight="1" x14ac:dyDescent="0.25">
      <c r="A239" s="325"/>
      <c r="B239" s="17" t="s">
        <v>119</v>
      </c>
      <c r="C239" s="326"/>
      <c r="D239" s="326"/>
      <c r="E239" s="219">
        <v>852</v>
      </c>
      <c r="F239" s="1" t="s">
        <v>36</v>
      </c>
      <c r="G239" s="18" t="s">
        <v>72</v>
      </c>
      <c r="H239" s="1" t="s">
        <v>603</v>
      </c>
      <c r="I239" s="1" t="s">
        <v>120</v>
      </c>
      <c r="J239" s="2"/>
      <c r="K239" s="2"/>
      <c r="L239" s="2">
        <f>J239+K239</f>
        <v>0</v>
      </c>
      <c r="M239" s="2">
        <v>808050</v>
      </c>
      <c r="N239" s="2">
        <f>L239+M239</f>
        <v>808050</v>
      </c>
      <c r="O239" s="2"/>
      <c r="P239" s="2">
        <f>N239+O239</f>
        <v>808050</v>
      </c>
      <c r="Q239" s="2"/>
      <c r="R239" s="2"/>
      <c r="S239" s="2"/>
      <c r="T239" s="2"/>
      <c r="U239" s="2">
        <f>P239+Q239</f>
        <v>808050</v>
      </c>
      <c r="V239" s="31"/>
    </row>
    <row r="240" spans="1:22" s="13" customFormat="1" ht="37.5" customHeight="1" x14ac:dyDescent="0.25">
      <c r="A240" s="509" t="s">
        <v>113</v>
      </c>
      <c r="B240" s="509"/>
      <c r="C240" s="265"/>
      <c r="D240" s="265"/>
      <c r="E240" s="219">
        <v>852</v>
      </c>
      <c r="F240" s="1" t="s">
        <v>36</v>
      </c>
      <c r="G240" s="1" t="s">
        <v>72</v>
      </c>
      <c r="H240" s="1" t="s">
        <v>114</v>
      </c>
      <c r="I240" s="1"/>
      <c r="J240" s="2">
        <f t="shared" ref="J240:J241" si="616">J241</f>
        <v>2667200</v>
      </c>
      <c r="K240" s="2">
        <f t="shared" ref="K240:K241" si="617">K241</f>
        <v>0</v>
      </c>
      <c r="L240" s="2">
        <f t="shared" ref="L240:L241" si="618">L241</f>
        <v>2667200</v>
      </c>
      <c r="M240" s="2">
        <f t="shared" ref="M240:M241" si="619">M241</f>
        <v>0</v>
      </c>
      <c r="N240" s="2">
        <f t="shared" ref="N240:N241" si="620">N241</f>
        <v>2667200</v>
      </c>
      <c r="O240" s="2">
        <f t="shared" ref="O240:O241" si="621">O241</f>
        <v>0</v>
      </c>
      <c r="P240" s="2">
        <f t="shared" ref="P240:P241" si="622">P241</f>
        <v>2667200</v>
      </c>
      <c r="Q240" s="2">
        <f t="shared" ref="Q240:Q241" si="623">Q241</f>
        <v>0</v>
      </c>
      <c r="R240" s="2"/>
      <c r="S240" s="2"/>
      <c r="T240" s="2"/>
      <c r="U240" s="2">
        <f t="shared" ref="U240:U241" si="624">U241</f>
        <v>2667200</v>
      </c>
      <c r="V240" s="74"/>
    </row>
    <row r="241" spans="1:22" s="13" customFormat="1" ht="24.75" customHeight="1" x14ac:dyDescent="0.25">
      <c r="A241" s="265"/>
      <c r="B241" s="217" t="s">
        <v>91</v>
      </c>
      <c r="C241" s="25"/>
      <c r="D241" s="25"/>
      <c r="E241" s="26">
        <v>852</v>
      </c>
      <c r="F241" s="27" t="s">
        <v>36</v>
      </c>
      <c r="G241" s="1" t="s">
        <v>72</v>
      </c>
      <c r="H241" s="27" t="s">
        <v>114</v>
      </c>
      <c r="I241" s="1" t="s">
        <v>87</v>
      </c>
      <c r="J241" s="2">
        <f t="shared" si="616"/>
        <v>2667200</v>
      </c>
      <c r="K241" s="2">
        <f t="shared" si="617"/>
        <v>0</v>
      </c>
      <c r="L241" s="2">
        <f t="shared" si="618"/>
        <v>2667200</v>
      </c>
      <c r="M241" s="2">
        <f t="shared" si="619"/>
        <v>0</v>
      </c>
      <c r="N241" s="2">
        <f t="shared" si="620"/>
        <v>2667200</v>
      </c>
      <c r="O241" s="2">
        <f t="shared" si="621"/>
        <v>0</v>
      </c>
      <c r="P241" s="2">
        <f t="shared" si="622"/>
        <v>2667200</v>
      </c>
      <c r="Q241" s="2">
        <f t="shared" si="623"/>
        <v>0</v>
      </c>
      <c r="R241" s="2"/>
      <c r="S241" s="2"/>
      <c r="T241" s="2"/>
      <c r="U241" s="2">
        <f t="shared" si="624"/>
        <v>2667200</v>
      </c>
      <c r="V241" s="74"/>
    </row>
    <row r="242" spans="1:22" s="13" customFormat="1" ht="36" customHeight="1" x14ac:dyDescent="0.25">
      <c r="A242" s="265"/>
      <c r="B242" s="253" t="s">
        <v>88</v>
      </c>
      <c r="C242" s="265"/>
      <c r="D242" s="265"/>
      <c r="E242" s="219">
        <v>852</v>
      </c>
      <c r="F242" s="1" t="s">
        <v>36</v>
      </c>
      <c r="G242" s="18" t="s">
        <v>72</v>
      </c>
      <c r="H242" s="1" t="s">
        <v>114</v>
      </c>
      <c r="I242" s="1" t="s">
        <v>89</v>
      </c>
      <c r="J242" s="2">
        <v>2667200</v>
      </c>
      <c r="K242" s="2"/>
      <c r="L242" s="2">
        <f t="shared" si="465"/>
        <v>2667200</v>
      </c>
      <c r="M242" s="2"/>
      <c r="N242" s="2">
        <f t="shared" ref="N242:N251" si="625">L242+M242</f>
        <v>2667200</v>
      </c>
      <c r="O242" s="2"/>
      <c r="P242" s="2">
        <f>N242+O242</f>
        <v>2667200</v>
      </c>
      <c r="Q242" s="2"/>
      <c r="R242" s="2"/>
      <c r="S242" s="2"/>
      <c r="T242" s="2"/>
      <c r="U242" s="2">
        <f t="shared" ref="U242:U251" si="626">P242+Q242</f>
        <v>2667200</v>
      </c>
      <c r="V242" s="31"/>
    </row>
    <row r="243" spans="1:22" s="13" customFormat="1" ht="14.25" customHeight="1" x14ac:dyDescent="0.25">
      <c r="A243" s="509" t="s">
        <v>652</v>
      </c>
      <c r="B243" s="509"/>
      <c r="C243" s="416"/>
      <c r="D243" s="416"/>
      <c r="E243" s="219">
        <v>852</v>
      </c>
      <c r="F243" s="1" t="s">
        <v>36</v>
      </c>
      <c r="G243" s="18" t="s">
        <v>72</v>
      </c>
      <c r="H243" s="1" t="s">
        <v>651</v>
      </c>
      <c r="I243" s="1"/>
      <c r="J243" s="2">
        <f t="shared" ref="J243:J244" si="627">J244</f>
        <v>0</v>
      </c>
      <c r="K243" s="2">
        <f t="shared" ref="K243:K244" si="628">K244</f>
        <v>0</v>
      </c>
      <c r="L243" s="2">
        <f t="shared" ref="L243:L244" si="629">L244</f>
        <v>0</v>
      </c>
      <c r="M243" s="2">
        <f t="shared" ref="M243:M244" si="630">M244</f>
        <v>0</v>
      </c>
      <c r="N243" s="2">
        <f t="shared" ref="N243:N244" si="631">N244</f>
        <v>0</v>
      </c>
      <c r="O243" s="2">
        <f t="shared" ref="O243:O244" si="632">O244</f>
        <v>247500</v>
      </c>
      <c r="P243" s="2">
        <f t="shared" ref="P243:P244" si="633">P244</f>
        <v>247500</v>
      </c>
      <c r="Q243" s="2">
        <f t="shared" ref="Q243:Q244" si="634">Q244</f>
        <v>0</v>
      </c>
      <c r="R243" s="2"/>
      <c r="S243" s="2"/>
      <c r="T243" s="2"/>
      <c r="U243" s="2">
        <f t="shared" ref="U243:U244" si="635">U244</f>
        <v>247500</v>
      </c>
      <c r="V243" s="74"/>
    </row>
    <row r="244" spans="1:22" s="13" customFormat="1" ht="23.25" customHeight="1" x14ac:dyDescent="0.25">
      <c r="A244" s="416"/>
      <c r="B244" s="217" t="s">
        <v>91</v>
      </c>
      <c r="C244" s="416"/>
      <c r="D244" s="416"/>
      <c r="E244" s="219">
        <v>852</v>
      </c>
      <c r="F244" s="1" t="s">
        <v>36</v>
      </c>
      <c r="G244" s="18" t="s">
        <v>72</v>
      </c>
      <c r="H244" s="1" t="s">
        <v>651</v>
      </c>
      <c r="I244" s="1" t="s">
        <v>87</v>
      </c>
      <c r="J244" s="2">
        <f t="shared" si="627"/>
        <v>0</v>
      </c>
      <c r="K244" s="2">
        <f t="shared" si="628"/>
        <v>0</v>
      </c>
      <c r="L244" s="2">
        <f t="shared" si="629"/>
        <v>0</v>
      </c>
      <c r="M244" s="2">
        <f t="shared" si="630"/>
        <v>0</v>
      </c>
      <c r="N244" s="2">
        <f t="shared" si="631"/>
        <v>0</v>
      </c>
      <c r="O244" s="2">
        <f t="shared" si="632"/>
        <v>247500</v>
      </c>
      <c r="P244" s="2">
        <f t="shared" si="633"/>
        <v>247500</v>
      </c>
      <c r="Q244" s="2">
        <f t="shared" si="634"/>
        <v>0</v>
      </c>
      <c r="R244" s="2"/>
      <c r="S244" s="2"/>
      <c r="T244" s="2"/>
      <c r="U244" s="2">
        <f t="shared" si="635"/>
        <v>247500</v>
      </c>
      <c r="V244" s="74"/>
    </row>
    <row r="245" spans="1:22" s="13" customFormat="1" ht="15.75" customHeight="1" x14ac:dyDescent="0.25">
      <c r="A245" s="416"/>
      <c r="B245" s="217" t="s">
        <v>119</v>
      </c>
      <c r="C245" s="416"/>
      <c r="D245" s="416"/>
      <c r="E245" s="219">
        <v>852</v>
      </c>
      <c r="F245" s="1" t="s">
        <v>36</v>
      </c>
      <c r="G245" s="18" t="s">
        <v>72</v>
      </c>
      <c r="H245" s="1" t="s">
        <v>651</v>
      </c>
      <c r="I245" s="1" t="s">
        <v>120</v>
      </c>
      <c r="J245" s="2"/>
      <c r="K245" s="2"/>
      <c r="L245" s="2"/>
      <c r="M245" s="2"/>
      <c r="N245" s="2"/>
      <c r="O245" s="2">
        <v>247500</v>
      </c>
      <c r="P245" s="2">
        <f>N245+O245</f>
        <v>247500</v>
      </c>
      <c r="Q245" s="2"/>
      <c r="R245" s="2"/>
      <c r="S245" s="2"/>
      <c r="T245" s="2"/>
      <c r="U245" s="2">
        <f t="shared" si="626"/>
        <v>247500</v>
      </c>
      <c r="V245" s="31"/>
    </row>
    <row r="246" spans="1:22" ht="15" customHeight="1" x14ac:dyDescent="0.25">
      <c r="A246" s="509" t="s">
        <v>117</v>
      </c>
      <c r="B246" s="509"/>
      <c r="C246" s="253"/>
      <c r="D246" s="253"/>
      <c r="E246" s="219">
        <v>852</v>
      </c>
      <c r="F246" s="1" t="s">
        <v>36</v>
      </c>
      <c r="G246" s="18" t="s">
        <v>72</v>
      </c>
      <c r="H246" s="1" t="s">
        <v>118</v>
      </c>
      <c r="I246" s="1"/>
      <c r="J246" s="2">
        <f t="shared" ref="J246:J247" si="636">J247</f>
        <v>1110000</v>
      </c>
      <c r="K246" s="2">
        <f t="shared" ref="K246:K247" si="637">K247</f>
        <v>154200</v>
      </c>
      <c r="L246" s="2">
        <f t="shared" ref="L246:L247" si="638">L247</f>
        <v>1264200</v>
      </c>
      <c r="M246" s="2">
        <f t="shared" ref="M246:M247" si="639">M247</f>
        <v>49248</v>
      </c>
      <c r="N246" s="2">
        <f t="shared" ref="N246:N247" si="640">N247</f>
        <v>1313448</v>
      </c>
      <c r="O246" s="2">
        <f t="shared" ref="O246:O247" si="641">O247</f>
        <v>0</v>
      </c>
      <c r="P246" s="2">
        <f t="shared" ref="P246:P247" si="642">P247</f>
        <v>1313448</v>
      </c>
      <c r="Q246" s="2">
        <f t="shared" ref="Q246:Q247" si="643">Q247</f>
        <v>48980</v>
      </c>
      <c r="R246" s="2"/>
      <c r="S246" s="2"/>
      <c r="T246" s="2"/>
      <c r="U246" s="2">
        <f t="shared" ref="U246:U247" si="644">U247</f>
        <v>1362428</v>
      </c>
      <c r="V246" s="74"/>
    </row>
    <row r="247" spans="1:22" ht="24.75" customHeight="1" x14ac:dyDescent="0.25">
      <c r="A247" s="253"/>
      <c r="B247" s="217" t="s">
        <v>91</v>
      </c>
      <c r="C247" s="253"/>
      <c r="D247" s="253"/>
      <c r="E247" s="219">
        <v>852</v>
      </c>
      <c r="F247" s="1" t="s">
        <v>36</v>
      </c>
      <c r="G247" s="18" t="s">
        <v>72</v>
      </c>
      <c r="H247" s="1" t="s">
        <v>118</v>
      </c>
      <c r="I247" s="1" t="s">
        <v>87</v>
      </c>
      <c r="J247" s="2">
        <f t="shared" si="636"/>
        <v>1110000</v>
      </c>
      <c r="K247" s="2">
        <f t="shared" si="637"/>
        <v>154200</v>
      </c>
      <c r="L247" s="2">
        <f t="shared" si="638"/>
        <v>1264200</v>
      </c>
      <c r="M247" s="2">
        <f t="shared" si="639"/>
        <v>49248</v>
      </c>
      <c r="N247" s="2">
        <f t="shared" si="640"/>
        <v>1313448</v>
      </c>
      <c r="O247" s="2">
        <f t="shared" si="641"/>
        <v>0</v>
      </c>
      <c r="P247" s="2">
        <f t="shared" si="642"/>
        <v>1313448</v>
      </c>
      <c r="Q247" s="2">
        <f t="shared" si="643"/>
        <v>48980</v>
      </c>
      <c r="R247" s="2"/>
      <c r="S247" s="2"/>
      <c r="T247" s="2"/>
      <c r="U247" s="2">
        <f t="shared" si="644"/>
        <v>1362428</v>
      </c>
      <c r="V247" s="74"/>
    </row>
    <row r="248" spans="1:22" x14ac:dyDescent="0.25">
      <c r="A248" s="253"/>
      <c r="B248" s="217" t="s">
        <v>119</v>
      </c>
      <c r="C248" s="253"/>
      <c r="D248" s="253"/>
      <c r="E248" s="219">
        <v>852</v>
      </c>
      <c r="F248" s="1" t="s">
        <v>36</v>
      </c>
      <c r="G248" s="18" t="s">
        <v>72</v>
      </c>
      <c r="H248" s="1" t="s">
        <v>118</v>
      </c>
      <c r="I248" s="1" t="s">
        <v>120</v>
      </c>
      <c r="J248" s="2">
        <f>1110000</f>
        <v>1110000</v>
      </c>
      <c r="K248" s="2">
        <f>121700+32500</f>
        <v>154200</v>
      </c>
      <c r="L248" s="2">
        <f t="shared" si="465"/>
        <v>1264200</v>
      </c>
      <c r="M248" s="2">
        <v>49248</v>
      </c>
      <c r="N248" s="2">
        <f t="shared" si="625"/>
        <v>1313448</v>
      </c>
      <c r="O248" s="2"/>
      <c r="P248" s="2">
        <f>N248+O248</f>
        <v>1313448</v>
      </c>
      <c r="Q248" s="439">
        <v>48980</v>
      </c>
      <c r="R248" s="2"/>
      <c r="S248" s="2">
        <v>48980</v>
      </c>
      <c r="T248" s="2"/>
      <c r="U248" s="2">
        <f t="shared" si="626"/>
        <v>1362428</v>
      </c>
      <c r="V248" s="89"/>
    </row>
    <row r="249" spans="1:22" ht="26.25" customHeight="1" x14ac:dyDescent="0.25">
      <c r="A249" s="509" t="s">
        <v>121</v>
      </c>
      <c r="B249" s="509"/>
      <c r="C249" s="253"/>
      <c r="D249" s="253"/>
      <c r="E249" s="219">
        <v>852</v>
      </c>
      <c r="F249" s="18" t="s">
        <v>36</v>
      </c>
      <c r="G249" s="18" t="s">
        <v>72</v>
      </c>
      <c r="H249" s="18" t="s">
        <v>122</v>
      </c>
      <c r="I249" s="1"/>
      <c r="J249" s="2">
        <f t="shared" ref="J249:J250" si="645">J250</f>
        <v>677500</v>
      </c>
      <c r="K249" s="2">
        <f t="shared" ref="K249:K250" si="646">K250</f>
        <v>171280</v>
      </c>
      <c r="L249" s="2">
        <f t="shared" ref="L249:L250" si="647">L250</f>
        <v>848780</v>
      </c>
      <c r="M249" s="2">
        <f t="shared" ref="M249:M250" si="648">M250</f>
        <v>0</v>
      </c>
      <c r="N249" s="2">
        <f t="shared" ref="N249:N250" si="649">N250</f>
        <v>848780</v>
      </c>
      <c r="O249" s="2">
        <f t="shared" ref="O249:O250" si="650">O250</f>
        <v>0</v>
      </c>
      <c r="P249" s="2">
        <f t="shared" ref="P249:P250" si="651">P250</f>
        <v>848780</v>
      </c>
      <c r="Q249" s="2">
        <f t="shared" ref="Q249:Q250" si="652">Q250</f>
        <v>304124</v>
      </c>
      <c r="R249" s="2"/>
      <c r="S249" s="2"/>
      <c r="T249" s="2"/>
      <c r="U249" s="2">
        <f t="shared" ref="U249:U250" si="653">U250</f>
        <v>1152904</v>
      </c>
      <c r="V249" s="74"/>
    </row>
    <row r="250" spans="1:22" ht="27" customHeight="1" x14ac:dyDescent="0.25">
      <c r="A250" s="253"/>
      <c r="B250" s="217" t="s">
        <v>91</v>
      </c>
      <c r="C250" s="253"/>
      <c r="D250" s="253"/>
      <c r="E250" s="219">
        <v>852</v>
      </c>
      <c r="F250" s="1" t="s">
        <v>36</v>
      </c>
      <c r="G250" s="18" t="s">
        <v>72</v>
      </c>
      <c r="H250" s="18" t="s">
        <v>122</v>
      </c>
      <c r="I250" s="1" t="s">
        <v>87</v>
      </c>
      <c r="J250" s="2">
        <f t="shared" si="645"/>
        <v>677500</v>
      </c>
      <c r="K250" s="2">
        <f t="shared" si="646"/>
        <v>171280</v>
      </c>
      <c r="L250" s="2">
        <f t="shared" si="647"/>
        <v>848780</v>
      </c>
      <c r="M250" s="2">
        <f t="shared" si="648"/>
        <v>0</v>
      </c>
      <c r="N250" s="2">
        <f t="shared" si="649"/>
        <v>848780</v>
      </c>
      <c r="O250" s="2">
        <f t="shared" si="650"/>
        <v>0</v>
      </c>
      <c r="P250" s="2">
        <f t="shared" si="651"/>
        <v>848780</v>
      </c>
      <c r="Q250" s="2">
        <f t="shared" si="652"/>
        <v>304124</v>
      </c>
      <c r="R250" s="2"/>
      <c r="S250" s="2"/>
      <c r="T250" s="2"/>
      <c r="U250" s="2">
        <f t="shared" si="653"/>
        <v>1152904</v>
      </c>
      <c r="V250" s="74"/>
    </row>
    <row r="251" spans="1:22" x14ac:dyDescent="0.25">
      <c r="A251" s="253"/>
      <c r="B251" s="217" t="s">
        <v>119</v>
      </c>
      <c r="C251" s="253"/>
      <c r="D251" s="253"/>
      <c r="E251" s="219">
        <v>852</v>
      </c>
      <c r="F251" s="1" t="s">
        <v>36</v>
      </c>
      <c r="G251" s="18" t="s">
        <v>72</v>
      </c>
      <c r="H251" s="18" t="s">
        <v>122</v>
      </c>
      <c r="I251" s="1" t="s">
        <v>120</v>
      </c>
      <c r="J251" s="2">
        <v>677500</v>
      </c>
      <c r="K251" s="2">
        <v>171280</v>
      </c>
      <c r="L251" s="2">
        <f t="shared" si="465"/>
        <v>848780</v>
      </c>
      <c r="M251" s="2"/>
      <c r="N251" s="2">
        <f t="shared" si="625"/>
        <v>848780</v>
      </c>
      <c r="O251" s="2"/>
      <c r="P251" s="2">
        <f>N251+O251</f>
        <v>848780</v>
      </c>
      <c r="Q251" s="2">
        <v>304124</v>
      </c>
      <c r="R251" s="2"/>
      <c r="S251" s="2">
        <v>304124</v>
      </c>
      <c r="T251" s="2"/>
      <c r="U251" s="2">
        <f t="shared" si="626"/>
        <v>1152904</v>
      </c>
      <c r="V251" s="89"/>
    </row>
    <row r="252" spans="1:22" x14ac:dyDescent="0.25">
      <c r="A252" s="508" t="s">
        <v>129</v>
      </c>
      <c r="B252" s="508"/>
      <c r="C252" s="265"/>
      <c r="D252" s="265"/>
      <c r="E252" s="219">
        <v>852</v>
      </c>
      <c r="F252" s="11" t="s">
        <v>36</v>
      </c>
      <c r="G252" s="11" t="s">
        <v>36</v>
      </c>
      <c r="H252" s="11"/>
      <c r="I252" s="11"/>
      <c r="J252" s="12">
        <f t="shared" ref="J252:U254" si="654">J253</f>
        <v>122200</v>
      </c>
      <c r="K252" s="12">
        <f t="shared" si="654"/>
        <v>0</v>
      </c>
      <c r="L252" s="12">
        <f t="shared" si="654"/>
        <v>122200</v>
      </c>
      <c r="M252" s="12">
        <f t="shared" si="654"/>
        <v>0</v>
      </c>
      <c r="N252" s="12">
        <f t="shared" si="654"/>
        <v>122200</v>
      </c>
      <c r="O252" s="12">
        <f t="shared" si="654"/>
        <v>0</v>
      </c>
      <c r="P252" s="12">
        <f t="shared" si="654"/>
        <v>122200</v>
      </c>
      <c r="Q252" s="12">
        <f t="shared" si="654"/>
        <v>0</v>
      </c>
      <c r="R252" s="12"/>
      <c r="S252" s="12"/>
      <c r="T252" s="12"/>
      <c r="U252" s="12">
        <f t="shared" si="654"/>
        <v>122200</v>
      </c>
      <c r="V252" s="89"/>
    </row>
    <row r="253" spans="1:22" ht="26.25" customHeight="1" x14ac:dyDescent="0.25">
      <c r="A253" s="509" t="s">
        <v>130</v>
      </c>
      <c r="B253" s="509"/>
      <c r="C253" s="253"/>
      <c r="D253" s="253"/>
      <c r="E253" s="219">
        <v>852</v>
      </c>
      <c r="F253" s="1" t="s">
        <v>36</v>
      </c>
      <c r="G253" s="1" t="s">
        <v>36</v>
      </c>
      <c r="H253" s="18" t="s">
        <v>430</v>
      </c>
      <c r="I253" s="1"/>
      <c r="J253" s="2">
        <f t="shared" si="654"/>
        <v>122200</v>
      </c>
      <c r="K253" s="2">
        <f t="shared" si="654"/>
        <v>0</v>
      </c>
      <c r="L253" s="2">
        <f t="shared" si="654"/>
        <v>122200</v>
      </c>
      <c r="M253" s="2">
        <f t="shared" si="654"/>
        <v>0</v>
      </c>
      <c r="N253" s="2">
        <f t="shared" si="654"/>
        <v>122200</v>
      </c>
      <c r="O253" s="2">
        <f t="shared" si="654"/>
        <v>0</v>
      </c>
      <c r="P253" s="2">
        <f t="shared" si="654"/>
        <v>122200</v>
      </c>
      <c r="Q253" s="2">
        <f t="shared" si="654"/>
        <v>0</v>
      </c>
      <c r="R253" s="2"/>
      <c r="S253" s="2"/>
      <c r="T253" s="2"/>
      <c r="U253" s="2">
        <f t="shared" si="654"/>
        <v>122200</v>
      </c>
      <c r="V253" s="74"/>
    </row>
    <row r="254" spans="1:22" ht="14.25" customHeight="1" x14ac:dyDescent="0.25">
      <c r="A254" s="15"/>
      <c r="B254" s="253" t="s">
        <v>27</v>
      </c>
      <c r="C254" s="252"/>
      <c r="D254" s="252"/>
      <c r="E254" s="219">
        <v>852</v>
      </c>
      <c r="F254" s="1" t="s">
        <v>36</v>
      </c>
      <c r="G254" s="1" t="s">
        <v>36</v>
      </c>
      <c r="H254" s="18" t="s">
        <v>430</v>
      </c>
      <c r="I254" s="1" t="s">
        <v>28</v>
      </c>
      <c r="J254" s="2">
        <f t="shared" si="654"/>
        <v>122200</v>
      </c>
      <c r="K254" s="2">
        <f t="shared" si="654"/>
        <v>0</v>
      </c>
      <c r="L254" s="2">
        <f t="shared" si="654"/>
        <v>122200</v>
      </c>
      <c r="M254" s="2">
        <f t="shared" si="654"/>
        <v>0</v>
      </c>
      <c r="N254" s="2">
        <f t="shared" si="654"/>
        <v>122200</v>
      </c>
      <c r="O254" s="2">
        <f t="shared" si="654"/>
        <v>0</v>
      </c>
      <c r="P254" s="2">
        <f t="shared" si="654"/>
        <v>122200</v>
      </c>
      <c r="Q254" s="2">
        <f t="shared" si="654"/>
        <v>0</v>
      </c>
      <c r="R254" s="2"/>
      <c r="S254" s="2"/>
      <c r="T254" s="2"/>
      <c r="U254" s="2">
        <f t="shared" si="654"/>
        <v>122200</v>
      </c>
      <c r="V254" s="74"/>
    </row>
    <row r="255" spans="1:22" ht="24" x14ac:dyDescent="0.25">
      <c r="A255" s="15"/>
      <c r="B255" s="253" t="s">
        <v>29</v>
      </c>
      <c r="C255" s="253"/>
      <c r="D255" s="253"/>
      <c r="E255" s="219">
        <v>852</v>
      </c>
      <c r="F255" s="1" t="s">
        <v>36</v>
      </c>
      <c r="G255" s="1" t="s">
        <v>36</v>
      </c>
      <c r="H255" s="18" t="s">
        <v>430</v>
      </c>
      <c r="I255" s="1" t="s">
        <v>30</v>
      </c>
      <c r="J255" s="2">
        <v>122200</v>
      </c>
      <c r="K255" s="2"/>
      <c r="L255" s="2">
        <f t="shared" si="465"/>
        <v>122200</v>
      </c>
      <c r="M255" s="2"/>
      <c r="N255" s="2">
        <f t="shared" ref="N255" si="655">L255+M255</f>
        <v>122200</v>
      </c>
      <c r="O255" s="2"/>
      <c r="P255" s="2">
        <f>N255+O255</f>
        <v>122200</v>
      </c>
      <c r="Q255" s="2"/>
      <c r="R255" s="2"/>
      <c r="S255" s="2"/>
      <c r="T255" s="2"/>
      <c r="U255" s="2">
        <f t="shared" ref="U255" si="656">P255+Q255</f>
        <v>122200</v>
      </c>
      <c r="V255" s="89"/>
    </row>
    <row r="256" spans="1:22" x14ac:dyDescent="0.25">
      <c r="A256" s="508" t="s">
        <v>131</v>
      </c>
      <c r="B256" s="508"/>
      <c r="C256" s="265"/>
      <c r="D256" s="265"/>
      <c r="E256" s="219">
        <v>852</v>
      </c>
      <c r="F256" s="11" t="s">
        <v>36</v>
      </c>
      <c r="G256" s="11" t="s">
        <v>57</v>
      </c>
      <c r="H256" s="11"/>
      <c r="I256" s="11"/>
      <c r="J256" s="12">
        <f t="shared" ref="J256:O256" si="657">J257+J260+J270</f>
        <v>12067360</v>
      </c>
      <c r="K256" s="12">
        <f t="shared" si="657"/>
        <v>0</v>
      </c>
      <c r="L256" s="12">
        <f t="shared" si="657"/>
        <v>12067360</v>
      </c>
      <c r="M256" s="12">
        <f t="shared" si="657"/>
        <v>57314</v>
      </c>
      <c r="N256" s="12">
        <f t="shared" si="657"/>
        <v>12124674</v>
      </c>
      <c r="O256" s="12">
        <f t="shared" si="657"/>
        <v>0</v>
      </c>
      <c r="P256" s="12">
        <f>P257+P260+P270+P273</f>
        <v>12124674</v>
      </c>
      <c r="Q256" s="12">
        <f t="shared" ref="Q256:U256" si="658">Q257+Q260+Q270+Q273</f>
        <v>425100</v>
      </c>
      <c r="R256" s="12">
        <f>SUM(R257:R275)</f>
        <v>0</v>
      </c>
      <c r="S256" s="12">
        <f t="shared" ref="S256:T256" si="659">SUM(S257:S275)</f>
        <v>425100</v>
      </c>
      <c r="T256" s="12">
        <f t="shared" si="659"/>
        <v>0</v>
      </c>
      <c r="U256" s="12">
        <f t="shared" si="658"/>
        <v>12549774</v>
      </c>
      <c r="V256" s="89"/>
    </row>
    <row r="257" spans="1:22" ht="25.5" customHeight="1" x14ac:dyDescent="0.25">
      <c r="A257" s="509" t="s">
        <v>26</v>
      </c>
      <c r="B257" s="509"/>
      <c r="C257" s="219"/>
      <c r="D257" s="219"/>
      <c r="E257" s="219">
        <v>852</v>
      </c>
      <c r="F257" s="1" t="s">
        <v>36</v>
      </c>
      <c r="G257" s="1" t="s">
        <v>57</v>
      </c>
      <c r="H257" s="1" t="s">
        <v>434</v>
      </c>
      <c r="I257" s="1"/>
      <c r="J257" s="2">
        <f t="shared" ref="J257:J258" si="660">J258</f>
        <v>836500</v>
      </c>
      <c r="K257" s="2">
        <f t="shared" ref="K257:K258" si="661">K258</f>
        <v>0</v>
      </c>
      <c r="L257" s="2">
        <f t="shared" ref="L257:L258" si="662">L258</f>
        <v>836500</v>
      </c>
      <c r="M257" s="2">
        <f t="shared" ref="M257:M258" si="663">M258</f>
        <v>0</v>
      </c>
      <c r="N257" s="2">
        <f t="shared" ref="N257:N258" si="664">N258</f>
        <v>836500</v>
      </c>
      <c r="O257" s="2">
        <f t="shared" ref="O257:O258" si="665">O258</f>
        <v>0</v>
      </c>
      <c r="P257" s="2">
        <f t="shared" ref="P257:P258" si="666">P258</f>
        <v>836500</v>
      </c>
      <c r="Q257" s="2">
        <f t="shared" ref="Q257:Q258" si="667">Q258</f>
        <v>0</v>
      </c>
      <c r="R257" s="2"/>
      <c r="S257" s="2"/>
      <c r="T257" s="2"/>
      <c r="U257" s="2">
        <f t="shared" ref="U257:U258" si="668">U258</f>
        <v>836500</v>
      </c>
      <c r="V257" s="74"/>
    </row>
    <row r="258" spans="1:22" ht="36.75" customHeight="1" x14ac:dyDescent="0.25">
      <c r="A258" s="15"/>
      <c r="B258" s="252" t="s">
        <v>21</v>
      </c>
      <c r="C258" s="219"/>
      <c r="D258" s="219"/>
      <c r="E258" s="219">
        <v>852</v>
      </c>
      <c r="F258" s="1" t="s">
        <v>36</v>
      </c>
      <c r="G258" s="1" t="s">
        <v>57</v>
      </c>
      <c r="H258" s="1" t="s">
        <v>434</v>
      </c>
      <c r="I258" s="1" t="s">
        <v>23</v>
      </c>
      <c r="J258" s="2">
        <f t="shared" si="660"/>
        <v>836500</v>
      </c>
      <c r="K258" s="2">
        <f t="shared" si="661"/>
        <v>0</v>
      </c>
      <c r="L258" s="2">
        <f t="shared" si="662"/>
        <v>836500</v>
      </c>
      <c r="M258" s="2">
        <f t="shared" si="663"/>
        <v>0</v>
      </c>
      <c r="N258" s="2">
        <f t="shared" si="664"/>
        <v>836500</v>
      </c>
      <c r="O258" s="2">
        <f t="shared" si="665"/>
        <v>0</v>
      </c>
      <c r="P258" s="2">
        <f t="shared" si="666"/>
        <v>836500</v>
      </c>
      <c r="Q258" s="2">
        <f t="shared" si="667"/>
        <v>0</v>
      </c>
      <c r="R258" s="2"/>
      <c r="S258" s="2"/>
      <c r="T258" s="2"/>
      <c r="U258" s="2">
        <f t="shared" si="668"/>
        <v>836500</v>
      </c>
      <c r="V258" s="74"/>
    </row>
    <row r="259" spans="1:22" ht="15.75" customHeight="1" x14ac:dyDescent="0.25">
      <c r="A259" s="15"/>
      <c r="B259" s="252" t="s">
        <v>24</v>
      </c>
      <c r="C259" s="219"/>
      <c r="D259" s="219"/>
      <c r="E259" s="219">
        <v>852</v>
      </c>
      <c r="F259" s="1" t="s">
        <v>36</v>
      </c>
      <c r="G259" s="1" t="s">
        <v>57</v>
      </c>
      <c r="H259" s="1" t="s">
        <v>434</v>
      </c>
      <c r="I259" s="1" t="s">
        <v>25</v>
      </c>
      <c r="J259" s="2">
        <f>825100+11400</f>
        <v>836500</v>
      </c>
      <c r="K259" s="2"/>
      <c r="L259" s="2">
        <f t="shared" si="465"/>
        <v>836500</v>
      </c>
      <c r="M259" s="2"/>
      <c r="N259" s="2">
        <f t="shared" ref="N259:N272" si="669">L259+M259</f>
        <v>836500</v>
      </c>
      <c r="O259" s="2"/>
      <c r="P259" s="2">
        <f>N259+O259</f>
        <v>836500</v>
      </c>
      <c r="Q259" s="2"/>
      <c r="R259" s="2"/>
      <c r="S259" s="2"/>
      <c r="T259" s="2"/>
      <c r="U259" s="2">
        <f t="shared" ref="U259:U272" si="670">P259+Q259</f>
        <v>836500</v>
      </c>
      <c r="V259" s="89"/>
    </row>
    <row r="260" spans="1:22" x14ac:dyDescent="0.25">
      <c r="A260" s="509" t="s">
        <v>132</v>
      </c>
      <c r="B260" s="509"/>
      <c r="C260" s="253"/>
      <c r="D260" s="253"/>
      <c r="E260" s="219">
        <v>852</v>
      </c>
      <c r="F260" s="1" t="s">
        <v>36</v>
      </c>
      <c r="G260" s="1" t="s">
        <v>57</v>
      </c>
      <c r="H260" s="1" t="s">
        <v>133</v>
      </c>
      <c r="I260" s="1"/>
      <c r="J260" s="2">
        <f t="shared" ref="J260" si="671">J261+J263+J265+J267</f>
        <v>9831800</v>
      </c>
      <c r="K260" s="2">
        <f t="shared" ref="K260" si="672">K261+K263+K265+K267</f>
        <v>0</v>
      </c>
      <c r="L260" s="2">
        <f t="shared" ref="L260" si="673">L261+L263+L265+L267</f>
        <v>9831800</v>
      </c>
      <c r="M260" s="2">
        <f t="shared" ref="M260" si="674">M261+M263+M265+M267</f>
        <v>57314</v>
      </c>
      <c r="N260" s="2">
        <f t="shared" ref="N260" si="675">N261+N263+N265+N267</f>
        <v>9889114</v>
      </c>
      <c r="O260" s="2">
        <f t="shared" ref="O260" si="676">O261+O263+O265+O267</f>
        <v>0</v>
      </c>
      <c r="P260" s="2">
        <f t="shared" ref="P260" si="677">P261+P263+P265+P267</f>
        <v>9889114</v>
      </c>
      <c r="Q260" s="2">
        <f t="shared" ref="Q260" si="678">Q261+Q263+Q265+Q267</f>
        <v>384100</v>
      </c>
      <c r="R260" s="2"/>
      <c r="S260" s="2"/>
      <c r="T260" s="2"/>
      <c r="U260" s="2">
        <f t="shared" ref="U260" si="679">U261+U263+U265+U267</f>
        <v>10273214</v>
      </c>
      <c r="V260" s="74"/>
    </row>
    <row r="261" spans="1:22" ht="36.75" customHeight="1" x14ac:dyDescent="0.25">
      <c r="A261" s="15"/>
      <c r="B261" s="252" t="s">
        <v>21</v>
      </c>
      <c r="C261" s="219"/>
      <c r="D261" s="219"/>
      <c r="E261" s="219">
        <v>852</v>
      </c>
      <c r="F261" s="1" t="s">
        <v>36</v>
      </c>
      <c r="G261" s="1" t="s">
        <v>57</v>
      </c>
      <c r="H261" s="1" t="s">
        <v>133</v>
      </c>
      <c r="I261" s="1" t="s">
        <v>23</v>
      </c>
      <c r="J261" s="2">
        <f t="shared" ref="J261" si="680">J262</f>
        <v>2427300</v>
      </c>
      <c r="K261" s="2">
        <f t="shared" ref="K261" si="681">K262</f>
        <v>0</v>
      </c>
      <c r="L261" s="2">
        <f t="shared" ref="L261" si="682">L262</f>
        <v>2427300</v>
      </c>
      <c r="M261" s="2">
        <f t="shared" ref="M261" si="683">M262</f>
        <v>1824</v>
      </c>
      <c r="N261" s="2">
        <f t="shared" ref="N261" si="684">N262</f>
        <v>2429124</v>
      </c>
      <c r="O261" s="2">
        <f t="shared" ref="O261" si="685">O262</f>
        <v>0</v>
      </c>
      <c r="P261" s="2">
        <f t="shared" ref="P261" si="686">P262</f>
        <v>2429124</v>
      </c>
      <c r="Q261" s="2">
        <f t="shared" ref="Q261" si="687">Q262</f>
        <v>0</v>
      </c>
      <c r="R261" s="2"/>
      <c r="S261" s="2"/>
      <c r="T261" s="2"/>
      <c r="U261" s="2">
        <f t="shared" ref="U261" si="688">U262</f>
        <v>2429124</v>
      </c>
      <c r="V261" s="74"/>
    </row>
    <row r="262" spans="1:22" ht="15" customHeight="1" x14ac:dyDescent="0.25">
      <c r="A262" s="15"/>
      <c r="B262" s="252" t="s">
        <v>24</v>
      </c>
      <c r="C262" s="219"/>
      <c r="D262" s="219"/>
      <c r="E262" s="219">
        <v>852</v>
      </c>
      <c r="F262" s="1" t="s">
        <v>36</v>
      </c>
      <c r="G262" s="1" t="s">
        <v>57</v>
      </c>
      <c r="H262" s="1" t="s">
        <v>133</v>
      </c>
      <c r="I262" s="1" t="s">
        <v>25</v>
      </c>
      <c r="J262" s="2">
        <f>1864300+563000</f>
        <v>2427300</v>
      </c>
      <c r="K262" s="2"/>
      <c r="L262" s="2">
        <f t="shared" ref="L262:L323" si="689">J262+K262</f>
        <v>2427300</v>
      </c>
      <c r="M262" s="2">
        <v>1824</v>
      </c>
      <c r="N262" s="2">
        <f t="shared" si="669"/>
        <v>2429124</v>
      </c>
      <c r="O262" s="2"/>
      <c r="P262" s="2">
        <f>N262+O262</f>
        <v>2429124</v>
      </c>
      <c r="Q262" s="2"/>
      <c r="R262" s="2"/>
      <c r="S262" s="2"/>
      <c r="T262" s="2"/>
      <c r="U262" s="2">
        <f t="shared" si="670"/>
        <v>2429124</v>
      </c>
      <c r="V262" s="89"/>
    </row>
    <row r="263" spans="1:22" ht="15" customHeight="1" x14ac:dyDescent="0.25">
      <c r="A263" s="252"/>
      <c r="B263" s="253" t="s">
        <v>27</v>
      </c>
      <c r="C263" s="252"/>
      <c r="D263" s="252"/>
      <c r="E263" s="219">
        <v>852</v>
      </c>
      <c r="F263" s="1" t="s">
        <v>36</v>
      </c>
      <c r="G263" s="1" t="s">
        <v>57</v>
      </c>
      <c r="H263" s="1" t="s">
        <v>133</v>
      </c>
      <c r="I263" s="1" t="s">
        <v>28</v>
      </c>
      <c r="J263" s="2">
        <f t="shared" ref="J263" si="690">J264</f>
        <v>505100</v>
      </c>
      <c r="K263" s="2">
        <f t="shared" ref="K263" si="691">K264</f>
        <v>0</v>
      </c>
      <c r="L263" s="2">
        <f t="shared" ref="L263" si="692">L264</f>
        <v>505100</v>
      </c>
      <c r="M263" s="2">
        <f t="shared" ref="M263" si="693">M264</f>
        <v>-1824</v>
      </c>
      <c r="N263" s="2">
        <f t="shared" ref="N263" si="694">N264</f>
        <v>503276</v>
      </c>
      <c r="O263" s="2">
        <f t="shared" ref="O263" si="695">O264</f>
        <v>0</v>
      </c>
      <c r="P263" s="2">
        <f t="shared" ref="P263" si="696">P264</f>
        <v>503276</v>
      </c>
      <c r="Q263" s="2">
        <f t="shared" ref="Q263" si="697">Q264</f>
        <v>0</v>
      </c>
      <c r="R263" s="2"/>
      <c r="S263" s="2"/>
      <c r="T263" s="2"/>
      <c r="U263" s="2">
        <f t="shared" ref="U263" si="698">U264</f>
        <v>503276</v>
      </c>
      <c r="V263" s="74"/>
    </row>
    <row r="264" spans="1:22" ht="26.25" customHeight="1" x14ac:dyDescent="0.25">
      <c r="A264" s="252"/>
      <c r="B264" s="253" t="s">
        <v>29</v>
      </c>
      <c r="C264" s="253"/>
      <c r="D264" s="253"/>
      <c r="E264" s="219">
        <v>852</v>
      </c>
      <c r="F264" s="1" t="s">
        <v>36</v>
      </c>
      <c r="G264" s="1" t="s">
        <v>57</v>
      </c>
      <c r="H264" s="1" t="s">
        <v>133</v>
      </c>
      <c r="I264" s="1" t="s">
        <v>30</v>
      </c>
      <c r="J264" s="2">
        <f>2944406-J262-J268-6</f>
        <v>505100</v>
      </c>
      <c r="K264" s="2"/>
      <c r="L264" s="2">
        <f t="shared" si="689"/>
        <v>505100</v>
      </c>
      <c r="M264" s="2">
        <f>-1824</f>
        <v>-1824</v>
      </c>
      <c r="N264" s="2">
        <f t="shared" si="669"/>
        <v>503276</v>
      </c>
      <c r="O264" s="2"/>
      <c r="P264" s="2">
        <f>N264+O264</f>
        <v>503276</v>
      </c>
      <c r="Q264" s="2"/>
      <c r="R264" s="2"/>
      <c r="S264" s="2"/>
      <c r="T264" s="2"/>
      <c r="U264" s="2">
        <f t="shared" si="670"/>
        <v>503276</v>
      </c>
      <c r="V264" s="89"/>
    </row>
    <row r="265" spans="1:22" ht="24" customHeight="1" x14ac:dyDescent="0.25">
      <c r="A265" s="253"/>
      <c r="B265" s="253" t="s">
        <v>91</v>
      </c>
      <c r="C265" s="253"/>
      <c r="D265" s="253"/>
      <c r="E265" s="219">
        <v>852</v>
      </c>
      <c r="F265" s="1" t="s">
        <v>36</v>
      </c>
      <c r="G265" s="1" t="s">
        <v>57</v>
      </c>
      <c r="H265" s="1" t="s">
        <v>133</v>
      </c>
      <c r="I265" s="1" t="s">
        <v>87</v>
      </c>
      <c r="J265" s="2">
        <f t="shared" ref="J265" si="699">J266</f>
        <v>6887400</v>
      </c>
      <c r="K265" s="2">
        <f t="shared" ref="K265" si="700">K266</f>
        <v>0</v>
      </c>
      <c r="L265" s="2">
        <f t="shared" ref="L265" si="701">L266</f>
        <v>6887400</v>
      </c>
      <c r="M265" s="2">
        <f t="shared" ref="M265" si="702">M266</f>
        <v>57314</v>
      </c>
      <c r="N265" s="2">
        <f t="shared" ref="N265" si="703">N266</f>
        <v>6944714</v>
      </c>
      <c r="O265" s="2">
        <f t="shared" ref="O265" si="704">O266</f>
        <v>0</v>
      </c>
      <c r="P265" s="2">
        <f t="shared" ref="P265" si="705">P266</f>
        <v>6944714</v>
      </c>
      <c r="Q265" s="2">
        <f t="shared" ref="Q265" si="706">Q266</f>
        <v>384100</v>
      </c>
      <c r="R265" s="2"/>
      <c r="S265" s="2"/>
      <c r="T265" s="2"/>
      <c r="U265" s="2">
        <f t="shared" ref="U265" si="707">U266</f>
        <v>7328814</v>
      </c>
      <c r="V265" s="74"/>
    </row>
    <row r="266" spans="1:22" ht="36.75" customHeight="1" x14ac:dyDescent="0.25">
      <c r="A266" s="253"/>
      <c r="B266" s="253" t="s">
        <v>88</v>
      </c>
      <c r="C266" s="253"/>
      <c r="D266" s="253"/>
      <c r="E266" s="219">
        <v>852</v>
      </c>
      <c r="F266" s="1" t="s">
        <v>36</v>
      </c>
      <c r="G266" s="1" t="s">
        <v>57</v>
      </c>
      <c r="H266" s="1" t="s">
        <v>133</v>
      </c>
      <c r="I266" s="1" t="s">
        <v>89</v>
      </c>
      <c r="J266" s="2">
        <v>6887400</v>
      </c>
      <c r="K266" s="2"/>
      <c r="L266" s="2">
        <f t="shared" si="689"/>
        <v>6887400</v>
      </c>
      <c r="M266" s="2">
        <v>57314</v>
      </c>
      <c r="N266" s="2">
        <f t="shared" si="669"/>
        <v>6944714</v>
      </c>
      <c r="O266" s="2"/>
      <c r="P266" s="2">
        <f>N266+O266</f>
        <v>6944714</v>
      </c>
      <c r="Q266" s="2">
        <v>384100</v>
      </c>
      <c r="R266" s="2"/>
      <c r="S266" s="2">
        <v>384100</v>
      </c>
      <c r="T266" s="2"/>
      <c r="U266" s="2">
        <f t="shared" si="670"/>
        <v>7328814</v>
      </c>
      <c r="V266" s="89"/>
    </row>
    <row r="267" spans="1:22" x14ac:dyDescent="0.25">
      <c r="A267" s="253"/>
      <c r="B267" s="253" t="s">
        <v>31</v>
      </c>
      <c r="C267" s="253"/>
      <c r="D267" s="253"/>
      <c r="E267" s="219">
        <v>852</v>
      </c>
      <c r="F267" s="1" t="s">
        <v>36</v>
      </c>
      <c r="G267" s="1" t="s">
        <v>57</v>
      </c>
      <c r="H267" s="1" t="s">
        <v>133</v>
      </c>
      <c r="I267" s="1" t="s">
        <v>32</v>
      </c>
      <c r="J267" s="2">
        <f t="shared" ref="J267" si="708">J268</f>
        <v>12000</v>
      </c>
      <c r="K267" s="2">
        <f t="shared" ref="K267" si="709">K268</f>
        <v>0</v>
      </c>
      <c r="L267" s="2">
        <f t="shared" ref="L267" si="710">L268</f>
        <v>12000</v>
      </c>
      <c r="M267" s="2">
        <f t="shared" ref="M267" si="711">M268</f>
        <v>0</v>
      </c>
      <c r="N267" s="2">
        <f t="shared" ref="N267" si="712">N268</f>
        <v>12000</v>
      </c>
      <c r="O267" s="2">
        <f t="shared" ref="O267" si="713">O268</f>
        <v>0</v>
      </c>
      <c r="P267" s="2">
        <f>P268+P269</f>
        <v>12000</v>
      </c>
      <c r="Q267" s="2">
        <f t="shared" ref="Q267:U267" si="714">Q268+Q269</f>
        <v>0</v>
      </c>
      <c r="R267" s="2"/>
      <c r="S267" s="2"/>
      <c r="T267" s="2"/>
      <c r="U267" s="2">
        <f t="shared" si="714"/>
        <v>12000</v>
      </c>
      <c r="V267" s="74"/>
    </row>
    <row r="268" spans="1:22" ht="14.25" customHeight="1" x14ac:dyDescent="0.25">
      <c r="A268" s="253"/>
      <c r="B268" s="253" t="s">
        <v>33</v>
      </c>
      <c r="C268" s="253"/>
      <c r="D268" s="253"/>
      <c r="E268" s="219">
        <v>852</v>
      </c>
      <c r="F268" s="1" t="s">
        <v>36</v>
      </c>
      <c r="G268" s="1" t="s">
        <v>57</v>
      </c>
      <c r="H268" s="1" t="s">
        <v>133</v>
      </c>
      <c r="I268" s="1" t="s">
        <v>34</v>
      </c>
      <c r="J268" s="2">
        <v>12000</v>
      </c>
      <c r="K268" s="2"/>
      <c r="L268" s="2">
        <f t="shared" si="689"/>
        <v>12000</v>
      </c>
      <c r="M268" s="2"/>
      <c r="N268" s="2">
        <f t="shared" si="669"/>
        <v>12000</v>
      </c>
      <c r="O268" s="2"/>
      <c r="P268" s="2">
        <f>N268+O268</f>
        <v>12000</v>
      </c>
      <c r="Q268" s="2">
        <v>-563</v>
      </c>
      <c r="R268" s="2"/>
      <c r="S268" s="2">
        <v>-563</v>
      </c>
      <c r="T268" s="2"/>
      <c r="U268" s="2">
        <f t="shared" si="670"/>
        <v>11437</v>
      </c>
      <c r="V268" s="89"/>
    </row>
    <row r="269" spans="1:22" ht="14.25" customHeight="1" x14ac:dyDescent="0.25">
      <c r="A269" s="440"/>
      <c r="B269" s="443" t="s">
        <v>466</v>
      </c>
      <c r="C269" s="440"/>
      <c r="D269" s="440"/>
      <c r="E269" s="219">
        <v>852</v>
      </c>
      <c r="F269" s="1" t="s">
        <v>36</v>
      </c>
      <c r="G269" s="1" t="s">
        <v>57</v>
      </c>
      <c r="H269" s="1" t="s">
        <v>133</v>
      </c>
      <c r="I269" s="1" t="s">
        <v>35</v>
      </c>
      <c r="J269" s="2"/>
      <c r="K269" s="2"/>
      <c r="L269" s="2"/>
      <c r="M269" s="2"/>
      <c r="N269" s="2"/>
      <c r="O269" s="2"/>
      <c r="P269" s="2"/>
      <c r="Q269" s="2">
        <v>563</v>
      </c>
      <c r="R269" s="2"/>
      <c r="S269" s="2">
        <v>563</v>
      </c>
      <c r="T269" s="2"/>
      <c r="U269" s="2">
        <f t="shared" si="670"/>
        <v>563</v>
      </c>
      <c r="V269" s="89"/>
    </row>
    <row r="270" spans="1:22" s="13" customFormat="1" ht="38.25" customHeight="1" x14ac:dyDescent="0.25">
      <c r="A270" s="509" t="s">
        <v>113</v>
      </c>
      <c r="B270" s="509"/>
      <c r="C270" s="265"/>
      <c r="D270" s="265"/>
      <c r="E270" s="219">
        <v>852</v>
      </c>
      <c r="F270" s="1" t="s">
        <v>36</v>
      </c>
      <c r="G270" s="1" t="s">
        <v>57</v>
      </c>
      <c r="H270" s="1" t="s">
        <v>114</v>
      </c>
      <c r="I270" s="1"/>
      <c r="J270" s="2">
        <f t="shared" ref="J270:J271" si="715">J271</f>
        <v>1399060</v>
      </c>
      <c r="K270" s="2">
        <f t="shared" ref="K270:K271" si="716">K271</f>
        <v>0</v>
      </c>
      <c r="L270" s="2">
        <f t="shared" ref="L270:L271" si="717">L271</f>
        <v>1399060</v>
      </c>
      <c r="M270" s="2">
        <f t="shared" ref="M270:M271" si="718">M271</f>
        <v>0</v>
      </c>
      <c r="N270" s="2">
        <f t="shared" ref="N270:N271" si="719">N271</f>
        <v>1399060</v>
      </c>
      <c r="O270" s="2">
        <f t="shared" ref="O270:O271" si="720">O271</f>
        <v>0</v>
      </c>
      <c r="P270" s="2">
        <f t="shared" ref="P270:P274" si="721">P271</f>
        <v>1399060</v>
      </c>
      <c r="Q270" s="2">
        <f t="shared" ref="Q270:Q274" si="722">Q271</f>
        <v>0</v>
      </c>
      <c r="R270" s="2"/>
      <c r="S270" s="2"/>
      <c r="T270" s="2"/>
      <c r="U270" s="2">
        <f t="shared" ref="U270:U274" si="723">U271</f>
        <v>1399060</v>
      </c>
      <c r="V270" s="74"/>
    </row>
    <row r="271" spans="1:22" s="13" customFormat="1" ht="14.25" customHeight="1" x14ac:dyDescent="0.25">
      <c r="A271" s="253"/>
      <c r="B271" s="253" t="s">
        <v>99</v>
      </c>
      <c r="C271" s="265"/>
      <c r="D271" s="265"/>
      <c r="E271" s="219">
        <v>852</v>
      </c>
      <c r="F271" s="1" t="s">
        <v>36</v>
      </c>
      <c r="G271" s="1" t="s">
        <v>57</v>
      </c>
      <c r="H271" s="1" t="s">
        <v>114</v>
      </c>
      <c r="I271" s="1" t="s">
        <v>100</v>
      </c>
      <c r="J271" s="2">
        <f t="shared" si="715"/>
        <v>1399060</v>
      </c>
      <c r="K271" s="2">
        <f t="shared" si="716"/>
        <v>0</v>
      </c>
      <c r="L271" s="2">
        <f t="shared" si="717"/>
        <v>1399060</v>
      </c>
      <c r="M271" s="2">
        <f t="shared" si="718"/>
        <v>0</v>
      </c>
      <c r="N271" s="2">
        <f t="shared" si="719"/>
        <v>1399060</v>
      </c>
      <c r="O271" s="2">
        <f t="shared" si="720"/>
        <v>0</v>
      </c>
      <c r="P271" s="2">
        <f t="shared" si="721"/>
        <v>1399060</v>
      </c>
      <c r="Q271" s="2">
        <f t="shared" si="722"/>
        <v>0</v>
      </c>
      <c r="R271" s="2"/>
      <c r="S271" s="2"/>
      <c r="T271" s="2"/>
      <c r="U271" s="2">
        <f t="shared" si="723"/>
        <v>1399060</v>
      </c>
      <c r="V271" s="74"/>
    </row>
    <row r="272" spans="1:22" s="13" customFormat="1" ht="26.25" customHeight="1" x14ac:dyDescent="0.25">
      <c r="A272" s="253"/>
      <c r="B272" s="253" t="s">
        <v>134</v>
      </c>
      <c r="C272" s="265"/>
      <c r="D272" s="265"/>
      <c r="E272" s="219">
        <v>852</v>
      </c>
      <c r="F272" s="1" t="s">
        <v>36</v>
      </c>
      <c r="G272" s="1" t="s">
        <v>57</v>
      </c>
      <c r="H272" s="1" t="s">
        <v>114</v>
      </c>
      <c r="I272" s="1" t="s">
        <v>101</v>
      </c>
      <c r="J272" s="2">
        <v>1399060</v>
      </c>
      <c r="K272" s="2"/>
      <c r="L272" s="2">
        <f t="shared" si="689"/>
        <v>1399060</v>
      </c>
      <c r="M272" s="2"/>
      <c r="N272" s="2">
        <f t="shared" si="669"/>
        <v>1399060</v>
      </c>
      <c r="O272" s="2"/>
      <c r="P272" s="2">
        <f>N272+O272</f>
        <v>1399060</v>
      </c>
      <c r="Q272" s="2"/>
      <c r="R272" s="2"/>
      <c r="S272" s="2"/>
      <c r="T272" s="2"/>
      <c r="U272" s="2">
        <f t="shared" si="670"/>
        <v>1399060</v>
      </c>
      <c r="V272" s="31"/>
    </row>
    <row r="273" spans="1:22" s="13" customFormat="1" ht="26.25" customHeight="1" x14ac:dyDescent="0.25">
      <c r="A273" s="509" t="s">
        <v>121</v>
      </c>
      <c r="B273" s="509"/>
      <c r="C273" s="440"/>
      <c r="D273" s="440"/>
      <c r="E273" s="219">
        <v>852</v>
      </c>
      <c r="F273" s="18" t="s">
        <v>36</v>
      </c>
      <c r="G273" s="18" t="s">
        <v>57</v>
      </c>
      <c r="H273" s="18" t="s">
        <v>122</v>
      </c>
      <c r="I273" s="1"/>
      <c r="J273" s="2"/>
      <c r="K273" s="2"/>
      <c r="L273" s="2"/>
      <c r="M273" s="2"/>
      <c r="N273" s="2"/>
      <c r="O273" s="2"/>
      <c r="P273" s="2">
        <f t="shared" si="721"/>
        <v>0</v>
      </c>
      <c r="Q273" s="2">
        <f t="shared" si="722"/>
        <v>41000</v>
      </c>
      <c r="R273" s="2"/>
      <c r="S273" s="2"/>
      <c r="T273" s="2"/>
      <c r="U273" s="2">
        <f t="shared" si="723"/>
        <v>41000</v>
      </c>
      <c r="V273" s="31"/>
    </row>
    <row r="274" spans="1:22" s="13" customFormat="1" ht="26.25" customHeight="1" x14ac:dyDescent="0.25">
      <c r="A274" s="440"/>
      <c r="B274" s="217" t="s">
        <v>91</v>
      </c>
      <c r="C274" s="440"/>
      <c r="D274" s="440"/>
      <c r="E274" s="219">
        <v>852</v>
      </c>
      <c r="F274" s="1" t="s">
        <v>36</v>
      </c>
      <c r="G274" s="18" t="s">
        <v>57</v>
      </c>
      <c r="H274" s="18" t="s">
        <v>122</v>
      </c>
      <c r="I274" s="1" t="s">
        <v>87</v>
      </c>
      <c r="J274" s="2"/>
      <c r="K274" s="2"/>
      <c r="L274" s="2"/>
      <c r="M274" s="2"/>
      <c r="N274" s="2"/>
      <c r="O274" s="2"/>
      <c r="P274" s="2">
        <f t="shared" si="721"/>
        <v>0</v>
      </c>
      <c r="Q274" s="2">
        <f t="shared" si="722"/>
        <v>41000</v>
      </c>
      <c r="R274" s="2"/>
      <c r="S274" s="2"/>
      <c r="T274" s="2"/>
      <c r="U274" s="2">
        <f t="shared" si="723"/>
        <v>41000</v>
      </c>
      <c r="V274" s="31"/>
    </row>
    <row r="275" spans="1:22" s="13" customFormat="1" ht="12.75" customHeight="1" x14ac:dyDescent="0.25">
      <c r="A275" s="440"/>
      <c r="B275" s="217" t="s">
        <v>119</v>
      </c>
      <c r="C275" s="440"/>
      <c r="D275" s="440"/>
      <c r="E275" s="219">
        <v>852</v>
      </c>
      <c r="F275" s="1" t="s">
        <v>36</v>
      </c>
      <c r="G275" s="18" t="s">
        <v>57</v>
      </c>
      <c r="H275" s="18" t="s">
        <v>122</v>
      </c>
      <c r="I275" s="1" t="s">
        <v>120</v>
      </c>
      <c r="J275" s="2"/>
      <c r="K275" s="2"/>
      <c r="L275" s="2"/>
      <c r="M275" s="2"/>
      <c r="N275" s="2"/>
      <c r="O275" s="2"/>
      <c r="P275" s="2">
        <f>N275+O275</f>
        <v>0</v>
      </c>
      <c r="Q275" s="2">
        <v>41000</v>
      </c>
      <c r="R275" s="2"/>
      <c r="S275" s="2">
        <v>41000</v>
      </c>
      <c r="T275" s="2"/>
      <c r="U275" s="2">
        <f t="shared" ref="U275" si="724">P275+Q275</f>
        <v>41000</v>
      </c>
      <c r="V275" s="31"/>
    </row>
    <row r="276" spans="1:22" x14ac:dyDescent="0.25">
      <c r="A276" s="503" t="s">
        <v>96</v>
      </c>
      <c r="B276" s="503"/>
      <c r="C276" s="261"/>
      <c r="D276" s="261"/>
      <c r="E276" s="219">
        <v>852</v>
      </c>
      <c r="F276" s="7" t="s">
        <v>0</v>
      </c>
      <c r="G276" s="7"/>
      <c r="H276" s="7"/>
      <c r="I276" s="7"/>
      <c r="J276" s="8">
        <f t="shared" ref="J276:P276" si="725">J277+J281+J293</f>
        <v>9232836</v>
      </c>
      <c r="K276" s="8">
        <f t="shared" si="725"/>
        <v>0</v>
      </c>
      <c r="L276" s="8">
        <f t="shared" si="725"/>
        <v>9232836</v>
      </c>
      <c r="M276" s="8">
        <f t="shared" si="725"/>
        <v>168136</v>
      </c>
      <c r="N276" s="8">
        <f t="shared" si="725"/>
        <v>9400972</v>
      </c>
      <c r="O276" s="8">
        <f t="shared" si="725"/>
        <v>0</v>
      </c>
      <c r="P276" s="8">
        <f t="shared" si="725"/>
        <v>9400972</v>
      </c>
      <c r="Q276" s="8">
        <f t="shared" ref="Q276:U276" si="726">Q277+Q281+Q293</f>
        <v>44677.91</v>
      </c>
      <c r="R276" s="8">
        <f t="shared" si="726"/>
        <v>44677.91</v>
      </c>
      <c r="S276" s="8">
        <f t="shared" si="726"/>
        <v>0</v>
      </c>
      <c r="T276" s="8">
        <f t="shared" si="726"/>
        <v>0</v>
      </c>
      <c r="U276" s="8">
        <f t="shared" si="726"/>
        <v>9445649.9100000001</v>
      </c>
      <c r="V276" s="89"/>
    </row>
    <row r="277" spans="1:22" x14ac:dyDescent="0.25">
      <c r="A277" s="508" t="s">
        <v>102</v>
      </c>
      <c r="B277" s="508"/>
      <c r="C277" s="255"/>
      <c r="D277" s="255"/>
      <c r="E277" s="219">
        <v>852</v>
      </c>
      <c r="F277" s="11" t="s">
        <v>0</v>
      </c>
      <c r="G277" s="11" t="s">
        <v>3</v>
      </c>
      <c r="H277" s="11"/>
      <c r="I277" s="11"/>
      <c r="J277" s="12">
        <f t="shared" ref="J277:U279" si="727">J278</f>
        <v>93000</v>
      </c>
      <c r="K277" s="12">
        <f t="shared" si="727"/>
        <v>0</v>
      </c>
      <c r="L277" s="12">
        <f t="shared" si="727"/>
        <v>93000</v>
      </c>
      <c r="M277" s="12">
        <f t="shared" si="727"/>
        <v>0</v>
      </c>
      <c r="N277" s="12">
        <f t="shared" si="727"/>
        <v>93000</v>
      </c>
      <c r="O277" s="12">
        <f t="shared" si="727"/>
        <v>0</v>
      </c>
      <c r="P277" s="12">
        <f t="shared" si="727"/>
        <v>93000</v>
      </c>
      <c r="Q277" s="12">
        <f t="shared" si="727"/>
        <v>79000</v>
      </c>
      <c r="R277" s="12">
        <f>SUM(R278:R280)</f>
        <v>79000</v>
      </c>
      <c r="S277" s="12">
        <f t="shared" ref="S277:T277" si="728">SUM(S278:S280)</f>
        <v>0</v>
      </c>
      <c r="T277" s="12">
        <f t="shared" si="728"/>
        <v>0</v>
      </c>
      <c r="U277" s="12">
        <f t="shared" si="727"/>
        <v>172000</v>
      </c>
      <c r="V277" s="89"/>
    </row>
    <row r="278" spans="1:22" ht="24" customHeight="1" x14ac:dyDescent="0.25">
      <c r="A278" s="509" t="s">
        <v>135</v>
      </c>
      <c r="B278" s="509"/>
      <c r="C278" s="255"/>
      <c r="D278" s="255"/>
      <c r="E278" s="219">
        <v>852</v>
      </c>
      <c r="F278" s="1" t="s">
        <v>0</v>
      </c>
      <c r="G278" s="1" t="s">
        <v>3</v>
      </c>
      <c r="H278" s="1" t="s">
        <v>136</v>
      </c>
      <c r="I278" s="11"/>
      <c r="J278" s="2">
        <f t="shared" si="727"/>
        <v>93000</v>
      </c>
      <c r="K278" s="2">
        <f t="shared" si="727"/>
        <v>0</v>
      </c>
      <c r="L278" s="2">
        <f t="shared" si="727"/>
        <v>93000</v>
      </c>
      <c r="M278" s="2">
        <f t="shared" si="727"/>
        <v>0</v>
      </c>
      <c r="N278" s="2">
        <f t="shared" si="727"/>
        <v>93000</v>
      </c>
      <c r="O278" s="2">
        <f t="shared" si="727"/>
        <v>0</v>
      </c>
      <c r="P278" s="2">
        <f t="shared" si="727"/>
        <v>93000</v>
      </c>
      <c r="Q278" s="2">
        <f t="shared" si="727"/>
        <v>79000</v>
      </c>
      <c r="R278" s="2"/>
      <c r="S278" s="2"/>
      <c r="T278" s="2"/>
      <c r="U278" s="2">
        <f t="shared" si="727"/>
        <v>172000</v>
      </c>
      <c r="V278" s="74"/>
    </row>
    <row r="279" spans="1:22" ht="15" customHeight="1" x14ac:dyDescent="0.25">
      <c r="A279" s="15"/>
      <c r="B279" s="252" t="s">
        <v>99</v>
      </c>
      <c r="C279" s="252"/>
      <c r="D279" s="252"/>
      <c r="E279" s="219">
        <v>852</v>
      </c>
      <c r="F279" s="1" t="s">
        <v>0</v>
      </c>
      <c r="G279" s="1" t="s">
        <v>3</v>
      </c>
      <c r="H279" s="1" t="s">
        <v>136</v>
      </c>
      <c r="I279" s="1" t="s">
        <v>100</v>
      </c>
      <c r="J279" s="2">
        <f t="shared" si="727"/>
        <v>93000</v>
      </c>
      <c r="K279" s="2">
        <f t="shared" si="727"/>
        <v>0</v>
      </c>
      <c r="L279" s="2">
        <f t="shared" si="727"/>
        <v>93000</v>
      </c>
      <c r="M279" s="2">
        <f t="shared" si="727"/>
        <v>0</v>
      </c>
      <c r="N279" s="2">
        <f t="shared" si="727"/>
        <v>93000</v>
      </c>
      <c r="O279" s="2">
        <f t="shared" si="727"/>
        <v>0</v>
      </c>
      <c r="P279" s="2">
        <f t="shared" si="727"/>
        <v>93000</v>
      </c>
      <c r="Q279" s="2">
        <f t="shared" si="727"/>
        <v>79000</v>
      </c>
      <c r="R279" s="2"/>
      <c r="S279" s="2"/>
      <c r="T279" s="2"/>
      <c r="U279" s="2">
        <f t="shared" si="727"/>
        <v>172000</v>
      </c>
      <c r="V279" s="74"/>
    </row>
    <row r="280" spans="1:22" ht="24.75" customHeight="1" x14ac:dyDescent="0.25">
      <c r="A280" s="253"/>
      <c r="B280" s="252" t="s">
        <v>134</v>
      </c>
      <c r="C280" s="252"/>
      <c r="D280" s="252"/>
      <c r="E280" s="219">
        <v>852</v>
      </c>
      <c r="F280" s="1" t="s">
        <v>0</v>
      </c>
      <c r="G280" s="1" t="s">
        <v>3</v>
      </c>
      <c r="H280" s="1" t="s">
        <v>136</v>
      </c>
      <c r="I280" s="1" t="s">
        <v>101</v>
      </c>
      <c r="J280" s="2">
        <v>93000</v>
      </c>
      <c r="K280" s="2"/>
      <c r="L280" s="2">
        <f t="shared" si="689"/>
        <v>93000</v>
      </c>
      <c r="M280" s="2"/>
      <c r="N280" s="2">
        <f t="shared" ref="N280" si="729">L280+M280</f>
        <v>93000</v>
      </c>
      <c r="O280" s="2"/>
      <c r="P280" s="2">
        <f>N280+O280</f>
        <v>93000</v>
      </c>
      <c r="Q280" s="2">
        <v>79000</v>
      </c>
      <c r="R280" s="2">
        <v>79000</v>
      </c>
      <c r="S280" s="2"/>
      <c r="T280" s="2"/>
      <c r="U280" s="2">
        <f t="shared" ref="U280" si="730">P280+Q280</f>
        <v>172000</v>
      </c>
      <c r="V280" s="89"/>
    </row>
    <row r="281" spans="1:22" x14ac:dyDescent="0.25">
      <c r="A281" s="508" t="s">
        <v>103</v>
      </c>
      <c r="B281" s="508"/>
      <c r="C281" s="265"/>
      <c r="D281" s="265"/>
      <c r="E281" s="219">
        <v>852</v>
      </c>
      <c r="F281" s="11" t="s">
        <v>0</v>
      </c>
      <c r="G281" s="11" t="s">
        <v>6</v>
      </c>
      <c r="H281" s="11"/>
      <c r="I281" s="11"/>
      <c r="J281" s="12">
        <f t="shared" ref="J281:L281" si="731">J282+J285+J290</f>
        <v>7971036</v>
      </c>
      <c r="K281" s="12">
        <f t="shared" si="731"/>
        <v>0</v>
      </c>
      <c r="L281" s="12">
        <f t="shared" si="731"/>
        <v>7971036</v>
      </c>
      <c r="M281" s="12">
        <f t="shared" ref="M281:N281" si="732">M282+M285+M290</f>
        <v>249959</v>
      </c>
      <c r="N281" s="12">
        <f t="shared" si="732"/>
        <v>8220995</v>
      </c>
      <c r="O281" s="12">
        <f t="shared" ref="O281:P281" si="733">O282+O285+O290</f>
        <v>0</v>
      </c>
      <c r="P281" s="12">
        <f t="shared" si="733"/>
        <v>8220995</v>
      </c>
      <c r="Q281" s="12">
        <f t="shared" ref="Q281:U281" si="734">Q282+Q285+Q290</f>
        <v>-34322.089999999997</v>
      </c>
      <c r="R281" s="12">
        <f>SUM(R282:R292)</f>
        <v>-34322.089999999997</v>
      </c>
      <c r="S281" s="12">
        <f t="shared" ref="S281:T281" si="735">SUM(S282:S292)</f>
        <v>0</v>
      </c>
      <c r="T281" s="12">
        <f t="shared" si="735"/>
        <v>0</v>
      </c>
      <c r="U281" s="12">
        <f t="shared" si="734"/>
        <v>8186672.9100000001</v>
      </c>
      <c r="V281" s="89"/>
    </row>
    <row r="282" spans="1:22" ht="35.25" customHeight="1" x14ac:dyDescent="0.25">
      <c r="A282" s="509" t="s">
        <v>469</v>
      </c>
      <c r="B282" s="509"/>
      <c r="C282" s="265"/>
      <c r="D282" s="265"/>
      <c r="E282" s="219">
        <v>852</v>
      </c>
      <c r="F282" s="1" t="s">
        <v>0</v>
      </c>
      <c r="G282" s="1" t="s">
        <v>6</v>
      </c>
      <c r="H282" s="1" t="s">
        <v>141</v>
      </c>
      <c r="I282" s="11"/>
      <c r="J282" s="2">
        <f t="shared" ref="J282:J283" si="736">J283</f>
        <v>836736</v>
      </c>
      <c r="K282" s="2">
        <f t="shared" ref="K282:K283" si="737">K283</f>
        <v>0</v>
      </c>
      <c r="L282" s="2">
        <f t="shared" ref="L282:L283" si="738">L283</f>
        <v>836736</v>
      </c>
      <c r="M282" s="2">
        <f t="shared" ref="M282:M283" si="739">M283</f>
        <v>249959</v>
      </c>
      <c r="N282" s="2">
        <f t="shared" ref="N282:N283" si="740">N283</f>
        <v>1086695</v>
      </c>
      <c r="O282" s="2">
        <f t="shared" ref="O282:O283" si="741">O283</f>
        <v>0</v>
      </c>
      <c r="P282" s="2">
        <f t="shared" ref="P282:P283" si="742">P283</f>
        <v>1086695</v>
      </c>
      <c r="Q282" s="2">
        <f t="shared" ref="Q282:Q283" si="743">Q283</f>
        <v>0</v>
      </c>
      <c r="R282" s="2"/>
      <c r="S282" s="2"/>
      <c r="T282" s="2"/>
      <c r="U282" s="2">
        <f t="shared" ref="U282:U283" si="744">U283</f>
        <v>1086695</v>
      </c>
      <c r="V282" s="74"/>
    </row>
    <row r="283" spans="1:22" ht="13.5" customHeight="1" x14ac:dyDescent="0.25">
      <c r="A283" s="15"/>
      <c r="B283" s="252" t="s">
        <v>99</v>
      </c>
      <c r="C283" s="252"/>
      <c r="D283" s="252"/>
      <c r="E283" s="219">
        <v>852</v>
      </c>
      <c r="F283" s="1" t="s">
        <v>0</v>
      </c>
      <c r="G283" s="1" t="s">
        <v>6</v>
      </c>
      <c r="H283" s="1" t="s">
        <v>141</v>
      </c>
      <c r="I283" s="1" t="s">
        <v>100</v>
      </c>
      <c r="J283" s="2">
        <f t="shared" si="736"/>
        <v>836736</v>
      </c>
      <c r="K283" s="2">
        <f t="shared" si="737"/>
        <v>0</v>
      </c>
      <c r="L283" s="2">
        <f t="shared" si="738"/>
        <v>836736</v>
      </c>
      <c r="M283" s="2">
        <f t="shared" si="739"/>
        <v>249959</v>
      </c>
      <c r="N283" s="2">
        <f t="shared" si="740"/>
        <v>1086695</v>
      </c>
      <c r="O283" s="2">
        <f t="shared" si="741"/>
        <v>0</v>
      </c>
      <c r="P283" s="2">
        <f t="shared" si="742"/>
        <v>1086695</v>
      </c>
      <c r="Q283" s="2">
        <f t="shared" si="743"/>
        <v>0</v>
      </c>
      <c r="R283" s="2"/>
      <c r="S283" s="2"/>
      <c r="T283" s="2"/>
      <c r="U283" s="2">
        <f t="shared" si="744"/>
        <v>1086695</v>
      </c>
      <c r="V283" s="74"/>
    </row>
    <row r="284" spans="1:22" ht="24" customHeight="1" x14ac:dyDescent="0.25">
      <c r="A284" s="253"/>
      <c r="B284" s="252" t="s">
        <v>134</v>
      </c>
      <c r="C284" s="252"/>
      <c r="D284" s="252"/>
      <c r="E284" s="219">
        <v>852</v>
      </c>
      <c r="F284" s="1" t="s">
        <v>0</v>
      </c>
      <c r="G284" s="1" t="s">
        <v>6</v>
      </c>
      <c r="H284" s="1" t="s">
        <v>141</v>
      </c>
      <c r="I284" s="1" t="s">
        <v>101</v>
      </c>
      <c r="J284" s="2">
        <v>836736</v>
      </c>
      <c r="K284" s="2"/>
      <c r="L284" s="2">
        <f t="shared" si="689"/>
        <v>836736</v>
      </c>
      <c r="M284" s="2">
        <v>249959</v>
      </c>
      <c r="N284" s="2">
        <f t="shared" ref="N284:N292" si="745">L284+M284</f>
        <v>1086695</v>
      </c>
      <c r="O284" s="2"/>
      <c r="P284" s="2">
        <f>N284+O284</f>
        <v>1086695</v>
      </c>
      <c r="Q284" s="2"/>
      <c r="R284" s="2"/>
      <c r="S284" s="2"/>
      <c r="T284" s="2"/>
      <c r="U284" s="2">
        <f t="shared" ref="U284:U292" si="746">P284+Q284</f>
        <v>1086695</v>
      </c>
      <c r="V284" s="89"/>
    </row>
    <row r="285" spans="1:22" ht="48" customHeight="1" x14ac:dyDescent="0.25">
      <c r="A285" s="530" t="s">
        <v>2</v>
      </c>
      <c r="B285" s="530"/>
      <c r="C285" s="252"/>
      <c r="D285" s="252"/>
      <c r="E285" s="219">
        <v>852</v>
      </c>
      <c r="F285" s="1" t="s">
        <v>0</v>
      </c>
      <c r="G285" s="1" t="s">
        <v>6</v>
      </c>
      <c r="H285" s="1" t="s">
        <v>4</v>
      </c>
      <c r="I285" s="1"/>
      <c r="J285" s="2">
        <f t="shared" ref="J285" si="747">J286+J288</f>
        <v>6976300</v>
      </c>
      <c r="K285" s="2">
        <f t="shared" ref="K285" si="748">K286+K288</f>
        <v>0</v>
      </c>
      <c r="L285" s="2">
        <f t="shared" ref="L285" si="749">L286+L288</f>
        <v>6976300</v>
      </c>
      <c r="M285" s="2">
        <f t="shared" ref="M285" si="750">M286+M288</f>
        <v>0</v>
      </c>
      <c r="N285" s="2">
        <f t="shared" ref="N285" si="751">N286+N288</f>
        <v>6976300</v>
      </c>
      <c r="O285" s="2">
        <f t="shared" ref="O285" si="752">O286+O288</f>
        <v>0</v>
      </c>
      <c r="P285" s="2">
        <f t="shared" ref="P285" si="753">P286+P288</f>
        <v>6976300</v>
      </c>
      <c r="Q285" s="2">
        <f t="shared" ref="Q285" si="754">Q286+Q288</f>
        <v>0</v>
      </c>
      <c r="R285" s="2"/>
      <c r="S285" s="2"/>
      <c r="T285" s="2"/>
      <c r="U285" s="2">
        <f t="shared" ref="U285" si="755">U286+U288</f>
        <v>6976300</v>
      </c>
      <c r="V285" s="74"/>
    </row>
    <row r="286" spans="1:22" ht="12.75" customHeight="1" x14ac:dyDescent="0.25">
      <c r="A286" s="15"/>
      <c r="B286" s="253" t="s">
        <v>27</v>
      </c>
      <c r="C286" s="252"/>
      <c r="D286" s="252"/>
      <c r="E286" s="219">
        <v>852</v>
      </c>
      <c r="F286" s="1" t="s">
        <v>137</v>
      </c>
      <c r="G286" s="1" t="s">
        <v>6</v>
      </c>
      <c r="H286" s="1" t="s">
        <v>4</v>
      </c>
      <c r="I286" s="1" t="s">
        <v>28</v>
      </c>
      <c r="J286" s="2">
        <f t="shared" ref="J286" si="756">J287</f>
        <v>1795108</v>
      </c>
      <c r="K286" s="2">
        <f t="shared" ref="K286" si="757">K287</f>
        <v>0</v>
      </c>
      <c r="L286" s="2">
        <f t="shared" ref="L286" si="758">L287</f>
        <v>1795108</v>
      </c>
      <c r="M286" s="2">
        <f t="shared" ref="M286" si="759">M287</f>
        <v>0</v>
      </c>
      <c r="N286" s="2">
        <f t="shared" ref="N286" si="760">N287</f>
        <v>1795108</v>
      </c>
      <c r="O286" s="2">
        <f t="shared" ref="O286" si="761">O287</f>
        <v>0</v>
      </c>
      <c r="P286" s="2">
        <f t="shared" ref="P286" si="762">P287</f>
        <v>1795108</v>
      </c>
      <c r="Q286" s="2">
        <f t="shared" ref="Q286" si="763">Q287</f>
        <v>0</v>
      </c>
      <c r="R286" s="2"/>
      <c r="S286" s="2"/>
      <c r="T286" s="2"/>
      <c r="U286" s="2">
        <f t="shared" ref="U286" si="764">U287</f>
        <v>1795108</v>
      </c>
      <c r="V286" s="74"/>
    </row>
    <row r="287" spans="1:22" ht="25.5" customHeight="1" x14ac:dyDescent="0.25">
      <c r="A287" s="15"/>
      <c r="B287" s="253" t="s">
        <v>29</v>
      </c>
      <c r="C287" s="253"/>
      <c r="D287" s="253"/>
      <c r="E287" s="219">
        <v>852</v>
      </c>
      <c r="F287" s="1" t="s">
        <v>137</v>
      </c>
      <c r="G287" s="1" t="s">
        <v>6</v>
      </c>
      <c r="H287" s="1" t="s">
        <v>4</v>
      </c>
      <c r="I287" s="1" t="s">
        <v>30</v>
      </c>
      <c r="J287" s="2">
        <f>1697810+97298</f>
        <v>1795108</v>
      </c>
      <c r="K287" s="2"/>
      <c r="L287" s="2">
        <f t="shared" si="689"/>
        <v>1795108</v>
      </c>
      <c r="M287" s="2"/>
      <c r="N287" s="2">
        <f t="shared" si="745"/>
        <v>1795108</v>
      </c>
      <c r="O287" s="2"/>
      <c r="P287" s="2">
        <f>N287+O287</f>
        <v>1795108</v>
      </c>
      <c r="Q287" s="2"/>
      <c r="R287" s="2"/>
      <c r="S287" s="2"/>
      <c r="T287" s="2"/>
      <c r="U287" s="2">
        <f t="shared" si="746"/>
        <v>1795108</v>
      </c>
      <c r="V287" s="89"/>
    </row>
    <row r="288" spans="1:22" ht="12.75" customHeight="1" x14ac:dyDescent="0.25">
      <c r="A288" s="241"/>
      <c r="B288" s="252" t="s">
        <v>99</v>
      </c>
      <c r="C288" s="252"/>
      <c r="D288" s="252"/>
      <c r="E288" s="219">
        <v>852</v>
      </c>
      <c r="F288" s="1" t="s">
        <v>0</v>
      </c>
      <c r="G288" s="1" t="s">
        <v>6</v>
      </c>
      <c r="H288" s="1" t="s">
        <v>4</v>
      </c>
      <c r="I288" s="1" t="s">
        <v>100</v>
      </c>
      <c r="J288" s="2">
        <f t="shared" ref="J288" si="765">J289</f>
        <v>5181192</v>
      </c>
      <c r="K288" s="2">
        <f t="shared" ref="K288" si="766">K289</f>
        <v>0</v>
      </c>
      <c r="L288" s="2">
        <f t="shared" ref="L288" si="767">L289</f>
        <v>5181192</v>
      </c>
      <c r="M288" s="2">
        <f t="shared" ref="M288" si="768">M289</f>
        <v>0</v>
      </c>
      <c r="N288" s="2">
        <f t="shared" ref="N288" si="769">N289</f>
        <v>5181192</v>
      </c>
      <c r="O288" s="2">
        <f t="shared" ref="O288" si="770">O289</f>
        <v>0</v>
      </c>
      <c r="P288" s="2">
        <f t="shared" ref="P288" si="771">P289</f>
        <v>5181192</v>
      </c>
      <c r="Q288" s="2">
        <f t="shared" ref="Q288" si="772">Q289</f>
        <v>0</v>
      </c>
      <c r="R288" s="2"/>
      <c r="S288" s="2"/>
      <c r="T288" s="2"/>
      <c r="U288" s="2">
        <f t="shared" ref="U288" si="773">U289</f>
        <v>5181192</v>
      </c>
      <c r="V288" s="74"/>
    </row>
    <row r="289" spans="1:22" ht="27.75" customHeight="1" x14ac:dyDescent="0.25">
      <c r="A289" s="241"/>
      <c r="B289" s="252" t="s">
        <v>252</v>
      </c>
      <c r="C289" s="252"/>
      <c r="D289" s="252"/>
      <c r="E289" s="219">
        <v>852</v>
      </c>
      <c r="F289" s="1" t="s">
        <v>0</v>
      </c>
      <c r="G289" s="1" t="s">
        <v>6</v>
      </c>
      <c r="H289" s="1" t="s">
        <v>4</v>
      </c>
      <c r="I289" s="1" t="s">
        <v>8</v>
      </c>
      <c r="J289" s="2">
        <f>3238668+1942569-45</f>
        <v>5181192</v>
      </c>
      <c r="K289" s="2"/>
      <c r="L289" s="2">
        <f t="shared" si="689"/>
        <v>5181192</v>
      </c>
      <c r="M289" s="2"/>
      <c r="N289" s="2">
        <f t="shared" si="745"/>
        <v>5181192</v>
      </c>
      <c r="O289" s="2"/>
      <c r="P289" s="2">
        <f>N289+O289</f>
        <v>5181192</v>
      </c>
      <c r="Q289" s="2"/>
      <c r="R289" s="2"/>
      <c r="S289" s="2"/>
      <c r="T289" s="2"/>
      <c r="U289" s="2">
        <f t="shared" si="746"/>
        <v>5181192</v>
      </c>
      <c r="V289" s="89"/>
    </row>
    <row r="290" spans="1:22" ht="50.25" customHeight="1" x14ac:dyDescent="0.25">
      <c r="A290" s="509" t="s">
        <v>5</v>
      </c>
      <c r="B290" s="509"/>
      <c r="C290" s="252"/>
      <c r="D290" s="252"/>
      <c r="E290" s="219">
        <v>852</v>
      </c>
      <c r="F290" s="1" t="s">
        <v>0</v>
      </c>
      <c r="G290" s="1" t="s">
        <v>6</v>
      </c>
      <c r="H290" s="1" t="s">
        <v>7</v>
      </c>
      <c r="I290" s="1"/>
      <c r="J290" s="2">
        <f t="shared" ref="J290:J291" si="774">J291</f>
        <v>158000</v>
      </c>
      <c r="K290" s="2">
        <f t="shared" ref="K290:K291" si="775">K291</f>
        <v>0</v>
      </c>
      <c r="L290" s="2">
        <f t="shared" ref="L290:L291" si="776">L291</f>
        <v>158000</v>
      </c>
      <c r="M290" s="2">
        <f t="shared" ref="M290:M291" si="777">M291</f>
        <v>0</v>
      </c>
      <c r="N290" s="2">
        <f t="shared" ref="N290:N291" si="778">N291</f>
        <v>158000</v>
      </c>
      <c r="O290" s="2">
        <f t="shared" ref="O290:O291" si="779">O291</f>
        <v>0</v>
      </c>
      <c r="P290" s="2">
        <f t="shared" ref="P290:P291" si="780">P291</f>
        <v>158000</v>
      </c>
      <c r="Q290" s="2">
        <f t="shared" ref="Q290:Q291" si="781">Q291</f>
        <v>-34322.089999999997</v>
      </c>
      <c r="R290" s="2"/>
      <c r="S290" s="2"/>
      <c r="T290" s="2"/>
      <c r="U290" s="2">
        <f t="shared" ref="U290:U291" si="782">U291</f>
        <v>123677.91</v>
      </c>
      <c r="V290" s="74"/>
    </row>
    <row r="291" spans="1:22" ht="15" customHeight="1" x14ac:dyDescent="0.25">
      <c r="A291" s="241"/>
      <c r="B291" s="252" t="s">
        <v>99</v>
      </c>
      <c r="C291" s="252"/>
      <c r="D291" s="252"/>
      <c r="E291" s="219">
        <v>852</v>
      </c>
      <c r="F291" s="1" t="s">
        <v>0</v>
      </c>
      <c r="G291" s="1" t="s">
        <v>6</v>
      </c>
      <c r="H291" s="1" t="s">
        <v>7</v>
      </c>
      <c r="I291" s="1" t="s">
        <v>100</v>
      </c>
      <c r="J291" s="2">
        <f t="shared" si="774"/>
        <v>158000</v>
      </c>
      <c r="K291" s="2">
        <f t="shared" si="775"/>
        <v>0</v>
      </c>
      <c r="L291" s="2">
        <f t="shared" si="776"/>
        <v>158000</v>
      </c>
      <c r="M291" s="2">
        <f t="shared" si="777"/>
        <v>0</v>
      </c>
      <c r="N291" s="2">
        <f t="shared" si="778"/>
        <v>158000</v>
      </c>
      <c r="O291" s="2">
        <f t="shared" si="779"/>
        <v>0</v>
      </c>
      <c r="P291" s="2">
        <f t="shared" si="780"/>
        <v>158000</v>
      </c>
      <c r="Q291" s="2">
        <f t="shared" si="781"/>
        <v>-34322.089999999997</v>
      </c>
      <c r="R291" s="2"/>
      <c r="S291" s="2"/>
      <c r="T291" s="2"/>
      <c r="U291" s="2">
        <f t="shared" si="782"/>
        <v>123677.91</v>
      </c>
      <c r="V291" s="74"/>
    </row>
    <row r="292" spans="1:22" ht="27" customHeight="1" x14ac:dyDescent="0.25">
      <c r="A292" s="241"/>
      <c r="B292" s="252" t="s">
        <v>252</v>
      </c>
      <c r="C292" s="252"/>
      <c r="D292" s="252"/>
      <c r="E292" s="219">
        <v>852</v>
      </c>
      <c r="F292" s="1" t="s">
        <v>0</v>
      </c>
      <c r="G292" s="1" t="s">
        <v>6</v>
      </c>
      <c r="H292" s="1" t="s">
        <v>7</v>
      </c>
      <c r="I292" s="1" t="s">
        <v>8</v>
      </c>
      <c r="J292" s="2">
        <v>158000</v>
      </c>
      <c r="K292" s="2"/>
      <c r="L292" s="2">
        <f t="shared" si="689"/>
        <v>158000</v>
      </c>
      <c r="M292" s="2"/>
      <c r="N292" s="2">
        <f t="shared" si="745"/>
        <v>158000</v>
      </c>
      <c r="O292" s="2"/>
      <c r="P292" s="2">
        <f>N292+O292</f>
        <v>158000</v>
      </c>
      <c r="Q292" s="2">
        <v>-34322.089999999997</v>
      </c>
      <c r="R292" s="2">
        <v>-34322.089999999997</v>
      </c>
      <c r="S292" s="2"/>
      <c r="T292" s="2"/>
      <c r="U292" s="2">
        <f t="shared" si="746"/>
        <v>123677.91</v>
      </c>
      <c r="V292" s="89"/>
    </row>
    <row r="293" spans="1:22" x14ac:dyDescent="0.25">
      <c r="A293" s="508" t="s">
        <v>106</v>
      </c>
      <c r="B293" s="508"/>
      <c r="C293" s="265"/>
      <c r="D293" s="265"/>
      <c r="E293" s="219">
        <v>852</v>
      </c>
      <c r="F293" s="11" t="s">
        <v>0</v>
      </c>
      <c r="G293" s="11" t="s">
        <v>1</v>
      </c>
      <c r="H293" s="11"/>
      <c r="I293" s="11"/>
      <c r="J293" s="12">
        <f t="shared" ref="J293:L293" si="783">J294+J299</f>
        <v>1168800</v>
      </c>
      <c r="K293" s="12">
        <f t="shared" si="783"/>
        <v>0</v>
      </c>
      <c r="L293" s="12">
        <f t="shared" si="783"/>
        <v>1168800</v>
      </c>
      <c r="M293" s="12">
        <f t="shared" ref="M293:N293" si="784">M294+M299</f>
        <v>-81823</v>
      </c>
      <c r="N293" s="12">
        <f t="shared" si="784"/>
        <v>1086977</v>
      </c>
      <c r="O293" s="12">
        <f t="shared" ref="O293:P293" si="785">O294+O299</f>
        <v>0</v>
      </c>
      <c r="P293" s="12">
        <f t="shared" si="785"/>
        <v>1086977</v>
      </c>
      <c r="Q293" s="12">
        <f t="shared" ref="Q293:U293" si="786">Q294+Q299</f>
        <v>0</v>
      </c>
      <c r="R293" s="12"/>
      <c r="S293" s="12"/>
      <c r="T293" s="12"/>
      <c r="U293" s="12">
        <f t="shared" si="786"/>
        <v>1086977</v>
      </c>
      <c r="V293" s="89"/>
    </row>
    <row r="294" spans="1:22" ht="50.25" customHeight="1" x14ac:dyDescent="0.25">
      <c r="A294" s="509" t="s">
        <v>45</v>
      </c>
      <c r="B294" s="509"/>
      <c r="C294" s="219"/>
      <c r="D294" s="219"/>
      <c r="E294" s="219">
        <v>852</v>
      </c>
      <c r="F294" s="1" t="s">
        <v>0</v>
      </c>
      <c r="G294" s="1" t="s">
        <v>1</v>
      </c>
      <c r="H294" s="1" t="s">
        <v>142</v>
      </c>
      <c r="I294" s="1"/>
      <c r="J294" s="2">
        <f t="shared" ref="J294" si="787">J295+J297</f>
        <v>510800</v>
      </c>
      <c r="K294" s="2">
        <f t="shared" ref="K294" si="788">K295+K297</f>
        <v>0</v>
      </c>
      <c r="L294" s="2">
        <f t="shared" ref="L294" si="789">L295+L297</f>
        <v>510800</v>
      </c>
      <c r="M294" s="2">
        <f t="shared" ref="M294" si="790">M295+M297</f>
        <v>-35763</v>
      </c>
      <c r="N294" s="2">
        <f t="shared" ref="N294" si="791">N295+N297</f>
        <v>475037</v>
      </c>
      <c r="O294" s="2">
        <f t="shared" ref="O294" si="792">O295+O297</f>
        <v>0</v>
      </c>
      <c r="P294" s="2">
        <f t="shared" ref="P294" si="793">P295+P297</f>
        <v>475037</v>
      </c>
      <c r="Q294" s="2">
        <f t="shared" ref="Q294" si="794">Q295+Q297</f>
        <v>0</v>
      </c>
      <c r="R294" s="2"/>
      <c r="S294" s="2"/>
      <c r="T294" s="2"/>
      <c r="U294" s="2">
        <f t="shared" ref="U294" si="795">U295+U297</f>
        <v>475037</v>
      </c>
      <c r="V294" s="74"/>
    </row>
    <row r="295" spans="1:22" ht="36.75" customHeight="1" x14ac:dyDescent="0.25">
      <c r="A295" s="15"/>
      <c r="B295" s="252" t="s">
        <v>21</v>
      </c>
      <c r="C295" s="219"/>
      <c r="D295" s="219"/>
      <c r="E295" s="219">
        <v>852</v>
      </c>
      <c r="F295" s="18" t="s">
        <v>0</v>
      </c>
      <c r="G295" s="18" t="s">
        <v>1</v>
      </c>
      <c r="H295" s="1" t="s">
        <v>142</v>
      </c>
      <c r="I295" s="1" t="s">
        <v>23</v>
      </c>
      <c r="J295" s="2">
        <f t="shared" ref="J295" si="796">J296</f>
        <v>379550</v>
      </c>
      <c r="K295" s="2">
        <f t="shared" ref="K295" si="797">K296</f>
        <v>0</v>
      </c>
      <c r="L295" s="2">
        <f t="shared" ref="L295" si="798">L296</f>
        <v>379550</v>
      </c>
      <c r="M295" s="2">
        <f t="shared" ref="M295" si="799">M296</f>
        <v>0</v>
      </c>
      <c r="N295" s="2">
        <f t="shared" ref="N295" si="800">N296</f>
        <v>379550</v>
      </c>
      <c r="O295" s="2">
        <f t="shared" ref="O295" si="801">O296</f>
        <v>0</v>
      </c>
      <c r="P295" s="2">
        <f t="shared" ref="P295" si="802">P296</f>
        <v>379550</v>
      </c>
      <c r="Q295" s="2">
        <f t="shared" ref="Q295" si="803">Q296</f>
        <v>0</v>
      </c>
      <c r="R295" s="2"/>
      <c r="S295" s="2"/>
      <c r="T295" s="2"/>
      <c r="U295" s="2">
        <f t="shared" ref="U295" si="804">U296</f>
        <v>379550</v>
      </c>
      <c r="V295" s="74"/>
    </row>
    <row r="296" spans="1:22" ht="15" customHeight="1" x14ac:dyDescent="0.25">
      <c r="A296" s="15"/>
      <c r="B296" s="252" t="s">
        <v>24</v>
      </c>
      <c r="C296" s="219"/>
      <c r="D296" s="219"/>
      <c r="E296" s="219">
        <v>852</v>
      </c>
      <c r="F296" s="18" t="s">
        <v>0</v>
      </c>
      <c r="G296" s="18" t="s">
        <v>1</v>
      </c>
      <c r="H296" s="1" t="s">
        <v>142</v>
      </c>
      <c r="I296" s="1" t="s">
        <v>25</v>
      </c>
      <c r="J296" s="2">
        <f>431934-52384</f>
        <v>379550</v>
      </c>
      <c r="K296" s="2"/>
      <c r="L296" s="2">
        <f t="shared" si="689"/>
        <v>379550</v>
      </c>
      <c r="M296" s="313"/>
      <c r="N296" s="2">
        <f t="shared" ref="N296:N303" si="805">L296+M296</f>
        <v>379550</v>
      </c>
      <c r="O296" s="313"/>
      <c r="P296" s="2">
        <f>N296+O296</f>
        <v>379550</v>
      </c>
      <c r="Q296" s="313"/>
      <c r="R296" s="313"/>
      <c r="S296" s="313"/>
      <c r="T296" s="313"/>
      <c r="U296" s="2">
        <f t="shared" ref="U296:U303" si="806">P296+Q296</f>
        <v>379550</v>
      </c>
      <c r="V296" s="89"/>
    </row>
    <row r="297" spans="1:22" ht="15" customHeight="1" x14ac:dyDescent="0.25">
      <c r="A297" s="15"/>
      <c r="B297" s="253" t="s">
        <v>27</v>
      </c>
      <c r="C297" s="219"/>
      <c r="D297" s="219"/>
      <c r="E297" s="219">
        <v>852</v>
      </c>
      <c r="F297" s="18" t="s">
        <v>0</v>
      </c>
      <c r="G297" s="18" t="s">
        <v>1</v>
      </c>
      <c r="H297" s="1" t="s">
        <v>142</v>
      </c>
      <c r="I297" s="1" t="s">
        <v>28</v>
      </c>
      <c r="J297" s="2">
        <f t="shared" ref="J297" si="807">J298</f>
        <v>131250</v>
      </c>
      <c r="K297" s="2">
        <f t="shared" ref="K297" si="808">K298</f>
        <v>0</v>
      </c>
      <c r="L297" s="2">
        <f t="shared" ref="L297" si="809">L298</f>
        <v>131250</v>
      </c>
      <c r="M297" s="2">
        <f t="shared" ref="M297" si="810">M298</f>
        <v>-35763</v>
      </c>
      <c r="N297" s="2">
        <f t="shared" ref="N297" si="811">N298</f>
        <v>95487</v>
      </c>
      <c r="O297" s="2">
        <f t="shared" ref="O297" si="812">O298</f>
        <v>0</v>
      </c>
      <c r="P297" s="2">
        <f t="shared" ref="P297" si="813">P298</f>
        <v>95487</v>
      </c>
      <c r="Q297" s="2">
        <f t="shared" ref="Q297" si="814">Q298</f>
        <v>0</v>
      </c>
      <c r="R297" s="2"/>
      <c r="S297" s="2"/>
      <c r="T297" s="2"/>
      <c r="U297" s="2">
        <f t="shared" ref="U297" si="815">U298</f>
        <v>95487</v>
      </c>
      <c r="V297" s="74"/>
    </row>
    <row r="298" spans="1:22" ht="24" customHeight="1" x14ac:dyDescent="0.25">
      <c r="A298" s="15"/>
      <c r="B298" s="253" t="s">
        <v>29</v>
      </c>
      <c r="C298" s="219"/>
      <c r="D298" s="219"/>
      <c r="E298" s="219">
        <v>852</v>
      </c>
      <c r="F298" s="18" t="s">
        <v>0</v>
      </c>
      <c r="G298" s="18" t="s">
        <v>1</v>
      </c>
      <c r="H298" s="1" t="s">
        <v>142</v>
      </c>
      <c r="I298" s="1" t="s">
        <v>30</v>
      </c>
      <c r="J298" s="2">
        <f>78866+52384</f>
        <v>131250</v>
      </c>
      <c r="K298" s="2"/>
      <c r="L298" s="2">
        <f t="shared" si="689"/>
        <v>131250</v>
      </c>
      <c r="M298" s="313">
        <f>-35756-7</f>
        <v>-35763</v>
      </c>
      <c r="N298" s="2">
        <f t="shared" si="805"/>
        <v>95487</v>
      </c>
      <c r="O298" s="313"/>
      <c r="P298" s="2">
        <f>N298+O298</f>
        <v>95487</v>
      </c>
      <c r="Q298" s="313"/>
      <c r="R298" s="313"/>
      <c r="S298" s="313"/>
      <c r="T298" s="313"/>
      <c r="U298" s="2">
        <f t="shared" si="806"/>
        <v>95487</v>
      </c>
      <c r="V298" s="89"/>
    </row>
    <row r="299" spans="1:22" ht="49.5" customHeight="1" x14ac:dyDescent="0.25">
      <c r="A299" s="530" t="s">
        <v>2</v>
      </c>
      <c r="B299" s="530"/>
      <c r="C299" s="252"/>
      <c r="D299" s="252"/>
      <c r="E299" s="219">
        <v>852</v>
      </c>
      <c r="F299" s="1" t="s">
        <v>0</v>
      </c>
      <c r="G299" s="1" t="s">
        <v>1</v>
      </c>
      <c r="H299" s="1" t="s">
        <v>4</v>
      </c>
      <c r="I299" s="1"/>
      <c r="J299" s="2">
        <f t="shared" ref="J299" si="816">J300+J302</f>
        <v>658000</v>
      </c>
      <c r="K299" s="2">
        <f t="shared" ref="K299" si="817">K300+K302</f>
        <v>0</v>
      </c>
      <c r="L299" s="2">
        <f t="shared" ref="L299" si="818">L300+L302</f>
        <v>658000</v>
      </c>
      <c r="M299" s="2">
        <f t="shared" ref="M299" si="819">M300+M302</f>
        <v>-46060</v>
      </c>
      <c r="N299" s="2">
        <f t="shared" ref="N299" si="820">N300+N302</f>
        <v>611940</v>
      </c>
      <c r="O299" s="2">
        <f t="shared" ref="O299" si="821">O300+O302</f>
        <v>0</v>
      </c>
      <c r="P299" s="2">
        <f t="shared" ref="P299" si="822">P300+P302</f>
        <v>611940</v>
      </c>
      <c r="Q299" s="2">
        <f t="shared" ref="Q299" si="823">Q300+Q302</f>
        <v>0</v>
      </c>
      <c r="R299" s="2"/>
      <c r="S299" s="2"/>
      <c r="T299" s="2"/>
      <c r="U299" s="2">
        <f t="shared" ref="U299" si="824">U300+U302</f>
        <v>611940</v>
      </c>
      <c r="V299" s="74"/>
    </row>
    <row r="300" spans="1:22" ht="36" customHeight="1" x14ac:dyDescent="0.25">
      <c r="A300" s="253"/>
      <c r="B300" s="252" t="s">
        <v>21</v>
      </c>
      <c r="C300" s="253"/>
      <c r="D300" s="253"/>
      <c r="E300" s="219">
        <v>852</v>
      </c>
      <c r="F300" s="18" t="s">
        <v>0</v>
      </c>
      <c r="G300" s="18" t="s">
        <v>1</v>
      </c>
      <c r="H300" s="1" t="s">
        <v>4</v>
      </c>
      <c r="I300" s="1" t="s">
        <v>23</v>
      </c>
      <c r="J300" s="2">
        <f t="shared" ref="J300" si="825">J301</f>
        <v>420900</v>
      </c>
      <c r="K300" s="2">
        <f t="shared" ref="K300" si="826">K301</f>
        <v>0</v>
      </c>
      <c r="L300" s="2">
        <f t="shared" ref="L300" si="827">L301</f>
        <v>420900</v>
      </c>
      <c r="M300" s="2">
        <f t="shared" ref="M300" si="828">M301</f>
        <v>0</v>
      </c>
      <c r="N300" s="2">
        <f t="shared" ref="N300" si="829">N301</f>
        <v>420900</v>
      </c>
      <c r="O300" s="2">
        <f t="shared" ref="O300" si="830">O301</f>
        <v>0</v>
      </c>
      <c r="P300" s="2">
        <f t="shared" ref="P300" si="831">P301</f>
        <v>420900</v>
      </c>
      <c r="Q300" s="2">
        <f t="shared" ref="Q300" si="832">Q301</f>
        <v>0</v>
      </c>
      <c r="R300" s="2"/>
      <c r="S300" s="2"/>
      <c r="T300" s="2"/>
      <c r="U300" s="2">
        <f t="shared" ref="U300" si="833">U301</f>
        <v>420900</v>
      </c>
      <c r="V300" s="74"/>
    </row>
    <row r="301" spans="1:22" ht="15" customHeight="1" x14ac:dyDescent="0.25">
      <c r="A301" s="15"/>
      <c r="B301" s="252" t="s">
        <v>24</v>
      </c>
      <c r="C301" s="252"/>
      <c r="D301" s="252"/>
      <c r="E301" s="219">
        <v>852</v>
      </c>
      <c r="F301" s="18" t="s">
        <v>0</v>
      </c>
      <c r="G301" s="18" t="s">
        <v>1</v>
      </c>
      <c r="H301" s="1" t="s">
        <v>4</v>
      </c>
      <c r="I301" s="1" t="s">
        <v>25</v>
      </c>
      <c r="J301" s="2">
        <v>420900</v>
      </c>
      <c r="K301" s="2"/>
      <c r="L301" s="2">
        <f t="shared" si="689"/>
        <v>420900</v>
      </c>
      <c r="M301" s="2"/>
      <c r="N301" s="2">
        <f t="shared" si="805"/>
        <v>420900</v>
      </c>
      <c r="O301" s="2"/>
      <c r="P301" s="2">
        <f>N301+O301</f>
        <v>420900</v>
      </c>
      <c r="Q301" s="2"/>
      <c r="R301" s="2"/>
      <c r="S301" s="2"/>
      <c r="T301" s="2"/>
      <c r="U301" s="2">
        <f t="shared" si="806"/>
        <v>420900</v>
      </c>
      <c r="V301" s="89"/>
    </row>
    <row r="302" spans="1:22" ht="15" customHeight="1" x14ac:dyDescent="0.25">
      <c r="A302" s="15"/>
      <c r="B302" s="253" t="s">
        <v>27</v>
      </c>
      <c r="C302" s="252"/>
      <c r="D302" s="252"/>
      <c r="E302" s="219">
        <v>852</v>
      </c>
      <c r="F302" s="18" t="s">
        <v>0</v>
      </c>
      <c r="G302" s="18" t="s">
        <v>1</v>
      </c>
      <c r="H302" s="1" t="s">
        <v>4</v>
      </c>
      <c r="I302" s="1" t="s">
        <v>28</v>
      </c>
      <c r="J302" s="2">
        <f t="shared" ref="J302" si="834">J303</f>
        <v>237100</v>
      </c>
      <c r="K302" s="2">
        <f t="shared" ref="K302" si="835">K303</f>
        <v>0</v>
      </c>
      <c r="L302" s="2">
        <f t="shared" ref="L302" si="836">L303</f>
        <v>237100</v>
      </c>
      <c r="M302" s="2">
        <f t="shared" ref="M302" si="837">M303</f>
        <v>-46060</v>
      </c>
      <c r="N302" s="2">
        <f t="shared" ref="N302" si="838">N303</f>
        <v>191040</v>
      </c>
      <c r="O302" s="2">
        <f t="shared" ref="O302" si="839">O303</f>
        <v>0</v>
      </c>
      <c r="P302" s="2">
        <f t="shared" ref="P302" si="840">P303</f>
        <v>191040</v>
      </c>
      <c r="Q302" s="2">
        <f t="shared" ref="Q302" si="841">Q303</f>
        <v>0</v>
      </c>
      <c r="R302" s="2"/>
      <c r="S302" s="2"/>
      <c r="T302" s="2"/>
      <c r="U302" s="2">
        <f t="shared" ref="U302" si="842">U303</f>
        <v>191040</v>
      </c>
      <c r="V302" s="74"/>
    </row>
    <row r="303" spans="1:22" ht="27.75" customHeight="1" x14ac:dyDescent="0.25">
      <c r="A303" s="15"/>
      <c r="B303" s="253" t="s">
        <v>29</v>
      </c>
      <c r="C303" s="253"/>
      <c r="D303" s="253"/>
      <c r="E303" s="219">
        <v>852</v>
      </c>
      <c r="F303" s="18" t="s">
        <v>0</v>
      </c>
      <c r="G303" s="18" t="s">
        <v>1</v>
      </c>
      <c r="H303" s="1" t="s">
        <v>4</v>
      </c>
      <c r="I303" s="1" t="s">
        <v>30</v>
      </c>
      <c r="J303" s="2">
        <v>237100</v>
      </c>
      <c r="K303" s="2"/>
      <c r="L303" s="2">
        <f t="shared" si="689"/>
        <v>237100</v>
      </c>
      <c r="M303" s="2">
        <v>-46060</v>
      </c>
      <c r="N303" s="2">
        <f t="shared" si="805"/>
        <v>191040</v>
      </c>
      <c r="O303" s="2"/>
      <c r="P303" s="2">
        <f>N303+O303</f>
        <v>191040</v>
      </c>
      <c r="Q303" s="2"/>
      <c r="R303" s="2"/>
      <c r="S303" s="2"/>
      <c r="T303" s="2"/>
      <c r="U303" s="2">
        <f t="shared" si="806"/>
        <v>191040</v>
      </c>
      <c r="V303" s="89"/>
    </row>
    <row r="304" spans="1:22" ht="18" customHeight="1" x14ac:dyDescent="0.25">
      <c r="A304" s="531" t="s">
        <v>143</v>
      </c>
      <c r="B304" s="531"/>
      <c r="C304" s="270"/>
      <c r="D304" s="270"/>
      <c r="E304" s="268">
        <v>853</v>
      </c>
      <c r="F304" s="1"/>
      <c r="G304" s="1"/>
      <c r="H304" s="1"/>
      <c r="I304" s="1"/>
      <c r="J304" s="8">
        <f>J305+J319+J324+J338+J347+J364</f>
        <v>19120517</v>
      </c>
      <c r="K304" s="8">
        <f>K305+K319+K324+K338+K347+K364</f>
        <v>0</v>
      </c>
      <c r="L304" s="8">
        <f t="shared" ref="L304:U304" si="843">L305+L319+L324+L329+L338+L347+L364</f>
        <v>19120517</v>
      </c>
      <c r="M304" s="8">
        <f t="shared" si="843"/>
        <v>-666401</v>
      </c>
      <c r="N304" s="8">
        <f t="shared" si="843"/>
        <v>18454116</v>
      </c>
      <c r="O304" s="8">
        <f t="shared" si="843"/>
        <v>-7950</v>
      </c>
      <c r="P304" s="8">
        <f t="shared" si="843"/>
        <v>18446166</v>
      </c>
      <c r="Q304" s="8">
        <f t="shared" si="843"/>
        <v>2752363.6</v>
      </c>
      <c r="R304" s="8">
        <f t="shared" si="843"/>
        <v>0</v>
      </c>
      <c r="S304" s="8">
        <f t="shared" si="843"/>
        <v>2752363.6</v>
      </c>
      <c r="T304" s="8">
        <f t="shared" si="843"/>
        <v>0</v>
      </c>
      <c r="U304" s="8">
        <f t="shared" si="843"/>
        <v>21198529.600000001</v>
      </c>
      <c r="V304" s="74"/>
    </row>
    <row r="305" spans="1:22" s="10" customFormat="1" x14ac:dyDescent="0.25">
      <c r="A305" s="503" t="s">
        <v>16</v>
      </c>
      <c r="B305" s="503"/>
      <c r="C305" s="258"/>
      <c r="D305" s="258"/>
      <c r="E305" s="28">
        <v>853</v>
      </c>
      <c r="F305" s="7" t="s">
        <v>17</v>
      </c>
      <c r="G305" s="7"/>
      <c r="H305" s="7"/>
      <c r="I305" s="7"/>
      <c r="J305" s="8">
        <f t="shared" ref="J305:P305" si="844">J306+J315</f>
        <v>3735500</v>
      </c>
      <c r="K305" s="8">
        <f t="shared" si="844"/>
        <v>0</v>
      </c>
      <c r="L305" s="8">
        <f t="shared" si="844"/>
        <v>3735500</v>
      </c>
      <c r="M305" s="8">
        <f t="shared" si="844"/>
        <v>0</v>
      </c>
      <c r="N305" s="8">
        <f t="shared" si="844"/>
        <v>3735500</v>
      </c>
      <c r="O305" s="8">
        <f t="shared" si="844"/>
        <v>0</v>
      </c>
      <c r="P305" s="8">
        <f t="shared" si="844"/>
        <v>3735500</v>
      </c>
      <c r="Q305" s="8">
        <f t="shared" ref="Q305:U305" si="845">Q306+Q315</f>
        <v>0</v>
      </c>
      <c r="R305" s="8"/>
      <c r="S305" s="8"/>
      <c r="T305" s="8"/>
      <c r="U305" s="8">
        <f t="shared" si="845"/>
        <v>3735500</v>
      </c>
      <c r="V305" s="435"/>
    </row>
    <row r="306" spans="1:22" s="13" customFormat="1" ht="27.75" customHeight="1" x14ac:dyDescent="0.25">
      <c r="A306" s="508" t="s">
        <v>144</v>
      </c>
      <c r="B306" s="508"/>
      <c r="C306" s="254"/>
      <c r="D306" s="254"/>
      <c r="E306" s="28">
        <v>853</v>
      </c>
      <c r="F306" s="11" t="s">
        <v>17</v>
      </c>
      <c r="G306" s="11" t="s">
        <v>1</v>
      </c>
      <c r="H306" s="11"/>
      <c r="I306" s="11"/>
      <c r="J306" s="12">
        <f t="shared" ref="J306:U306" si="846">J307</f>
        <v>3735300</v>
      </c>
      <c r="K306" s="12">
        <f t="shared" si="846"/>
        <v>0</v>
      </c>
      <c r="L306" s="12">
        <f t="shared" si="846"/>
        <v>3735300</v>
      </c>
      <c r="M306" s="12">
        <f t="shared" si="846"/>
        <v>0</v>
      </c>
      <c r="N306" s="12">
        <f t="shared" si="846"/>
        <v>3735300</v>
      </c>
      <c r="O306" s="12">
        <f t="shared" si="846"/>
        <v>0</v>
      </c>
      <c r="P306" s="12">
        <f t="shared" si="846"/>
        <v>3735300</v>
      </c>
      <c r="Q306" s="12">
        <f t="shared" si="846"/>
        <v>0</v>
      </c>
      <c r="R306" s="12"/>
      <c r="S306" s="12"/>
      <c r="T306" s="12"/>
      <c r="U306" s="12">
        <f t="shared" si="846"/>
        <v>3735300</v>
      </c>
      <c r="V306" s="31"/>
    </row>
    <row r="307" spans="1:22" ht="27.75" customHeight="1" x14ac:dyDescent="0.25">
      <c r="A307" s="509" t="s">
        <v>26</v>
      </c>
      <c r="B307" s="509"/>
      <c r="C307" s="219"/>
      <c r="D307" s="219"/>
      <c r="E307" s="28">
        <v>853</v>
      </c>
      <c r="F307" s="1" t="s">
        <v>22</v>
      </c>
      <c r="G307" s="1" t="s">
        <v>1</v>
      </c>
      <c r="H307" s="1" t="s">
        <v>251</v>
      </c>
      <c r="I307" s="1"/>
      <c r="J307" s="2">
        <f t="shared" ref="J307:O307" si="847">J308+J310+J312</f>
        <v>3735300</v>
      </c>
      <c r="K307" s="2">
        <f t="shared" si="847"/>
        <v>0</v>
      </c>
      <c r="L307" s="2">
        <f t="shared" si="847"/>
        <v>3735300</v>
      </c>
      <c r="M307" s="2">
        <f t="shared" si="847"/>
        <v>0</v>
      </c>
      <c r="N307" s="2">
        <f t="shared" si="847"/>
        <v>3735300</v>
      </c>
      <c r="O307" s="2">
        <f t="shared" si="847"/>
        <v>0</v>
      </c>
      <c r="P307" s="2">
        <f>P308+P310+P312</f>
        <v>3735300</v>
      </c>
      <c r="Q307" s="2">
        <f t="shared" ref="Q307:U307" si="848">Q308+Q310+Q312</f>
        <v>0</v>
      </c>
      <c r="R307" s="2"/>
      <c r="S307" s="2"/>
      <c r="T307" s="2"/>
      <c r="U307" s="2">
        <f t="shared" si="848"/>
        <v>3735300</v>
      </c>
      <c r="V307" s="89"/>
    </row>
    <row r="308" spans="1:22" ht="36" customHeight="1" x14ac:dyDescent="0.25">
      <c r="A308" s="15"/>
      <c r="B308" s="252" t="s">
        <v>21</v>
      </c>
      <c r="C308" s="219"/>
      <c r="D308" s="219"/>
      <c r="E308" s="28">
        <v>853</v>
      </c>
      <c r="F308" s="1" t="s">
        <v>17</v>
      </c>
      <c r="G308" s="1" t="s">
        <v>1</v>
      </c>
      <c r="H308" s="1" t="s">
        <v>251</v>
      </c>
      <c r="I308" s="1" t="s">
        <v>23</v>
      </c>
      <c r="J308" s="2">
        <f t="shared" ref="J308:O308" si="849">J309</f>
        <v>3406500</v>
      </c>
      <c r="K308" s="2">
        <f t="shared" si="849"/>
        <v>0</v>
      </c>
      <c r="L308" s="2">
        <f t="shared" si="849"/>
        <v>3406500</v>
      </c>
      <c r="M308" s="2">
        <f t="shared" si="849"/>
        <v>0</v>
      </c>
      <c r="N308" s="2">
        <f t="shared" si="849"/>
        <v>3406500</v>
      </c>
      <c r="O308" s="2">
        <f t="shared" si="849"/>
        <v>0</v>
      </c>
      <c r="P308" s="2">
        <f>P309</f>
        <v>3406500</v>
      </c>
      <c r="Q308" s="2">
        <f t="shared" ref="Q308:U308" si="850">Q309</f>
        <v>0</v>
      </c>
      <c r="R308" s="2"/>
      <c r="S308" s="2"/>
      <c r="T308" s="2"/>
      <c r="U308" s="2">
        <f t="shared" si="850"/>
        <v>3406500</v>
      </c>
      <c r="V308" s="89"/>
    </row>
    <row r="309" spans="1:22" ht="14.25" customHeight="1" x14ac:dyDescent="0.25">
      <c r="A309" s="15"/>
      <c r="B309" s="252" t="s">
        <v>24</v>
      </c>
      <c r="C309" s="219"/>
      <c r="D309" s="219"/>
      <c r="E309" s="28">
        <v>853</v>
      </c>
      <c r="F309" s="1" t="s">
        <v>17</v>
      </c>
      <c r="G309" s="1" t="s">
        <v>1</v>
      </c>
      <c r="H309" s="1" t="s">
        <v>251</v>
      </c>
      <c r="I309" s="1" t="s">
        <v>25</v>
      </c>
      <c r="J309" s="2">
        <f>3406447+53</f>
        <v>3406500</v>
      </c>
      <c r="K309" s="2"/>
      <c r="L309" s="2">
        <f t="shared" si="689"/>
        <v>3406500</v>
      </c>
      <c r="M309" s="2"/>
      <c r="N309" s="2">
        <f t="shared" ref="N309:N314" si="851">L309+M309</f>
        <v>3406500</v>
      </c>
      <c r="O309" s="2"/>
      <c r="P309" s="2">
        <f>N309+O309</f>
        <v>3406500</v>
      </c>
      <c r="Q309" s="2"/>
      <c r="R309" s="2"/>
      <c r="S309" s="2"/>
      <c r="T309" s="2"/>
      <c r="U309" s="2">
        <f t="shared" ref="U309:U314" si="852">P309+Q309</f>
        <v>3406500</v>
      </c>
      <c r="V309" s="89"/>
    </row>
    <row r="310" spans="1:22" ht="14.25" customHeight="1" x14ac:dyDescent="0.25">
      <c r="A310" s="15"/>
      <c r="B310" s="253" t="s">
        <v>27</v>
      </c>
      <c r="C310" s="219"/>
      <c r="D310" s="219"/>
      <c r="E310" s="28">
        <v>853</v>
      </c>
      <c r="F310" s="1" t="s">
        <v>17</v>
      </c>
      <c r="G310" s="1" t="s">
        <v>1</v>
      </c>
      <c r="H310" s="1" t="s">
        <v>251</v>
      </c>
      <c r="I310" s="1" t="s">
        <v>28</v>
      </c>
      <c r="J310" s="2">
        <f t="shared" ref="J310:O310" si="853">J311</f>
        <v>314800</v>
      </c>
      <c r="K310" s="2">
        <f t="shared" si="853"/>
        <v>0</v>
      </c>
      <c r="L310" s="2">
        <f t="shared" si="853"/>
        <v>314800</v>
      </c>
      <c r="M310" s="2">
        <f t="shared" si="853"/>
        <v>0</v>
      </c>
      <c r="N310" s="2">
        <f t="shared" si="853"/>
        <v>314800</v>
      </c>
      <c r="O310" s="2">
        <f t="shared" si="853"/>
        <v>0</v>
      </c>
      <c r="P310" s="2">
        <f>P311</f>
        <v>314800</v>
      </c>
      <c r="Q310" s="2">
        <f t="shared" ref="Q310:U310" si="854">Q311</f>
        <v>0</v>
      </c>
      <c r="R310" s="2"/>
      <c r="S310" s="2"/>
      <c r="T310" s="2"/>
      <c r="U310" s="2">
        <f t="shared" si="854"/>
        <v>314800</v>
      </c>
      <c r="V310" s="89"/>
    </row>
    <row r="311" spans="1:22" ht="26.25" customHeight="1" x14ac:dyDescent="0.25">
      <c r="A311" s="15"/>
      <c r="B311" s="253" t="s">
        <v>29</v>
      </c>
      <c r="C311" s="219"/>
      <c r="D311" s="219"/>
      <c r="E311" s="28">
        <v>853</v>
      </c>
      <c r="F311" s="1" t="s">
        <v>17</v>
      </c>
      <c r="G311" s="1" t="s">
        <v>1</v>
      </c>
      <c r="H311" s="1" t="s">
        <v>251</v>
      </c>
      <c r="I311" s="1" t="s">
        <v>30</v>
      </c>
      <c r="J311" s="2">
        <f>318400-3600</f>
        <v>314800</v>
      </c>
      <c r="K311" s="2"/>
      <c r="L311" s="2">
        <f t="shared" si="689"/>
        <v>314800</v>
      </c>
      <c r="M311" s="2"/>
      <c r="N311" s="2">
        <f t="shared" si="851"/>
        <v>314800</v>
      </c>
      <c r="O311" s="2"/>
      <c r="P311" s="2">
        <f>N311+O311</f>
        <v>314800</v>
      </c>
      <c r="Q311" s="2"/>
      <c r="R311" s="2"/>
      <c r="S311" s="2"/>
      <c r="T311" s="2"/>
      <c r="U311" s="2">
        <f t="shared" si="852"/>
        <v>314800</v>
      </c>
      <c r="V311" s="89"/>
    </row>
    <row r="312" spans="1:22" x14ac:dyDescent="0.25">
      <c r="A312" s="15"/>
      <c r="B312" s="253" t="s">
        <v>31</v>
      </c>
      <c r="C312" s="219"/>
      <c r="D312" s="219"/>
      <c r="E312" s="28">
        <v>853</v>
      </c>
      <c r="F312" s="1" t="s">
        <v>17</v>
      </c>
      <c r="G312" s="1" t="s">
        <v>1</v>
      </c>
      <c r="H312" s="1" t="s">
        <v>251</v>
      </c>
      <c r="I312" s="1" t="s">
        <v>32</v>
      </c>
      <c r="J312" s="2">
        <f t="shared" ref="J312:O312" si="855">J313+J314</f>
        <v>14000</v>
      </c>
      <c r="K312" s="2">
        <f t="shared" si="855"/>
        <v>0</v>
      </c>
      <c r="L312" s="2">
        <f t="shared" si="855"/>
        <v>14000</v>
      </c>
      <c r="M312" s="2">
        <f t="shared" si="855"/>
        <v>0</v>
      </c>
      <c r="N312" s="2">
        <f t="shared" si="855"/>
        <v>14000</v>
      </c>
      <c r="O312" s="2">
        <f t="shared" si="855"/>
        <v>0</v>
      </c>
      <c r="P312" s="2">
        <f>P313+P314</f>
        <v>14000</v>
      </c>
      <c r="Q312" s="2">
        <f t="shared" ref="Q312:U312" si="856">Q313+Q314</f>
        <v>0</v>
      </c>
      <c r="R312" s="2"/>
      <c r="S312" s="2"/>
      <c r="T312" s="2"/>
      <c r="U312" s="2">
        <f t="shared" si="856"/>
        <v>14000</v>
      </c>
      <c r="V312" s="89"/>
    </row>
    <row r="313" spans="1:22" ht="13.5" customHeight="1" x14ac:dyDescent="0.25">
      <c r="A313" s="15"/>
      <c r="B313" s="253" t="s">
        <v>33</v>
      </c>
      <c r="C313" s="219"/>
      <c r="D313" s="219"/>
      <c r="E313" s="63">
        <v>853</v>
      </c>
      <c r="F313" s="1" t="s">
        <v>17</v>
      </c>
      <c r="G313" s="1" t="s">
        <v>1</v>
      </c>
      <c r="H313" s="1" t="s">
        <v>251</v>
      </c>
      <c r="I313" s="1" t="s">
        <v>34</v>
      </c>
      <c r="J313" s="2">
        <f>14000-130</f>
        <v>13870</v>
      </c>
      <c r="K313" s="2"/>
      <c r="L313" s="2">
        <f t="shared" si="689"/>
        <v>13870</v>
      </c>
      <c r="M313" s="2"/>
      <c r="N313" s="2">
        <f t="shared" si="851"/>
        <v>13870</v>
      </c>
      <c r="O313" s="2"/>
      <c r="P313" s="2">
        <f>N313+O313</f>
        <v>13870</v>
      </c>
      <c r="Q313" s="2"/>
      <c r="R313" s="2"/>
      <c r="S313" s="2"/>
      <c r="T313" s="2"/>
      <c r="U313" s="2">
        <f t="shared" si="852"/>
        <v>13870</v>
      </c>
      <c r="V313" s="89"/>
    </row>
    <row r="314" spans="1:22" ht="13.5" customHeight="1" x14ac:dyDescent="0.25">
      <c r="A314" s="15"/>
      <c r="B314" s="252" t="s">
        <v>466</v>
      </c>
      <c r="C314" s="219"/>
      <c r="D314" s="219"/>
      <c r="E314" s="63">
        <v>853</v>
      </c>
      <c r="F314" s="1" t="s">
        <v>17</v>
      </c>
      <c r="G314" s="1" t="s">
        <v>1</v>
      </c>
      <c r="H314" s="1" t="s">
        <v>251</v>
      </c>
      <c r="I314" s="1" t="s">
        <v>35</v>
      </c>
      <c r="J314" s="2">
        <v>130</v>
      </c>
      <c r="K314" s="2"/>
      <c r="L314" s="2">
        <f t="shared" si="689"/>
        <v>130</v>
      </c>
      <c r="M314" s="2"/>
      <c r="N314" s="2">
        <f t="shared" si="851"/>
        <v>130</v>
      </c>
      <c r="O314" s="2"/>
      <c r="P314" s="2">
        <f>N314+O314</f>
        <v>130</v>
      </c>
      <c r="Q314" s="2"/>
      <c r="R314" s="2"/>
      <c r="S314" s="2"/>
      <c r="T314" s="2"/>
      <c r="U314" s="2">
        <f t="shared" si="852"/>
        <v>130</v>
      </c>
      <c r="V314" s="89"/>
    </row>
    <row r="315" spans="1:22" s="13" customFormat="1" x14ac:dyDescent="0.25">
      <c r="A315" s="508" t="s">
        <v>43</v>
      </c>
      <c r="B315" s="508"/>
      <c r="C315" s="265"/>
      <c r="D315" s="265"/>
      <c r="E315" s="63">
        <v>853</v>
      </c>
      <c r="F315" s="11" t="s">
        <v>17</v>
      </c>
      <c r="G315" s="11" t="s">
        <v>44</v>
      </c>
      <c r="H315" s="11"/>
      <c r="I315" s="11"/>
      <c r="J315" s="12">
        <f t="shared" ref="J315:U317" si="857">J316</f>
        <v>200</v>
      </c>
      <c r="K315" s="12">
        <f t="shared" si="857"/>
        <v>0</v>
      </c>
      <c r="L315" s="12">
        <f t="shared" si="857"/>
        <v>200</v>
      </c>
      <c r="M315" s="12">
        <f t="shared" si="857"/>
        <v>0</v>
      </c>
      <c r="N315" s="12">
        <f t="shared" si="857"/>
        <v>200</v>
      </c>
      <c r="O315" s="12">
        <f t="shared" si="857"/>
        <v>0</v>
      </c>
      <c r="P315" s="12">
        <f t="shared" si="857"/>
        <v>200</v>
      </c>
      <c r="Q315" s="12">
        <f t="shared" si="857"/>
        <v>0</v>
      </c>
      <c r="R315" s="12"/>
      <c r="S315" s="12"/>
      <c r="T315" s="12"/>
      <c r="U315" s="12">
        <f t="shared" si="857"/>
        <v>200</v>
      </c>
      <c r="V315" s="31"/>
    </row>
    <row r="316" spans="1:22" ht="49.5" customHeight="1" x14ac:dyDescent="0.25">
      <c r="A316" s="509" t="s">
        <v>45</v>
      </c>
      <c r="B316" s="509"/>
      <c r="C316" s="219"/>
      <c r="D316" s="219"/>
      <c r="E316" s="63">
        <v>853</v>
      </c>
      <c r="F316" s="1" t="s">
        <v>17</v>
      </c>
      <c r="G316" s="1" t="s">
        <v>44</v>
      </c>
      <c r="H316" s="1" t="s">
        <v>450</v>
      </c>
      <c r="I316" s="1"/>
      <c r="J316" s="2">
        <f t="shared" si="857"/>
        <v>200</v>
      </c>
      <c r="K316" s="2">
        <f t="shared" si="857"/>
        <v>0</v>
      </c>
      <c r="L316" s="2">
        <f t="shared" si="857"/>
        <v>200</v>
      </c>
      <c r="M316" s="2">
        <f t="shared" si="857"/>
        <v>0</v>
      </c>
      <c r="N316" s="2">
        <f t="shared" si="857"/>
        <v>200</v>
      </c>
      <c r="O316" s="2">
        <f t="shared" si="857"/>
        <v>0</v>
      </c>
      <c r="P316" s="2">
        <f>P317</f>
        <v>200</v>
      </c>
      <c r="Q316" s="2">
        <f t="shared" si="857"/>
        <v>0</v>
      </c>
      <c r="R316" s="2"/>
      <c r="S316" s="2"/>
      <c r="T316" s="2"/>
      <c r="U316" s="2">
        <f t="shared" si="857"/>
        <v>200</v>
      </c>
      <c r="V316" s="89"/>
    </row>
    <row r="317" spans="1:22" x14ac:dyDescent="0.25">
      <c r="A317" s="15"/>
      <c r="B317" s="252" t="s">
        <v>145</v>
      </c>
      <c r="C317" s="259"/>
      <c r="D317" s="259"/>
      <c r="E317" s="28">
        <v>853</v>
      </c>
      <c r="F317" s="1" t="s">
        <v>17</v>
      </c>
      <c r="G317" s="18" t="s">
        <v>44</v>
      </c>
      <c r="H317" s="1" t="s">
        <v>450</v>
      </c>
      <c r="I317" s="1" t="s">
        <v>146</v>
      </c>
      <c r="J317" s="2">
        <f t="shared" si="857"/>
        <v>200</v>
      </c>
      <c r="K317" s="2">
        <f t="shared" si="857"/>
        <v>0</v>
      </c>
      <c r="L317" s="2">
        <f t="shared" si="857"/>
        <v>200</v>
      </c>
      <c r="M317" s="2">
        <f t="shared" si="857"/>
        <v>0</v>
      </c>
      <c r="N317" s="2">
        <f t="shared" si="857"/>
        <v>200</v>
      </c>
      <c r="O317" s="2">
        <f t="shared" si="857"/>
        <v>0</v>
      </c>
      <c r="P317" s="2">
        <f>P318</f>
        <v>200</v>
      </c>
      <c r="Q317" s="2">
        <f t="shared" si="857"/>
        <v>0</v>
      </c>
      <c r="R317" s="2"/>
      <c r="S317" s="2"/>
      <c r="T317" s="2"/>
      <c r="U317" s="2">
        <f t="shared" si="857"/>
        <v>200</v>
      </c>
      <c r="V317" s="89"/>
    </row>
    <row r="318" spans="1:22" x14ac:dyDescent="0.25">
      <c r="A318" s="15"/>
      <c r="B318" s="252" t="s">
        <v>147</v>
      </c>
      <c r="C318" s="259"/>
      <c r="D318" s="259"/>
      <c r="E318" s="28">
        <v>853</v>
      </c>
      <c r="F318" s="1" t="s">
        <v>17</v>
      </c>
      <c r="G318" s="18" t="s">
        <v>44</v>
      </c>
      <c r="H318" s="1" t="s">
        <v>450</v>
      </c>
      <c r="I318" s="1" t="s">
        <v>148</v>
      </c>
      <c r="J318" s="2">
        <v>200</v>
      </c>
      <c r="K318" s="2"/>
      <c r="L318" s="2">
        <f t="shared" si="689"/>
        <v>200</v>
      </c>
      <c r="M318" s="2"/>
      <c r="N318" s="2">
        <f t="shared" ref="N318" si="858">L318+M318</f>
        <v>200</v>
      </c>
      <c r="O318" s="2"/>
      <c r="P318" s="2">
        <f>N318+O318</f>
        <v>200</v>
      </c>
      <c r="Q318" s="2"/>
      <c r="R318" s="2"/>
      <c r="S318" s="2"/>
      <c r="T318" s="2"/>
      <c r="U318" s="2">
        <f t="shared" ref="U318" si="859">P318+Q318</f>
        <v>200</v>
      </c>
      <c r="V318" s="89"/>
    </row>
    <row r="319" spans="1:22" s="10" customFormat="1" x14ac:dyDescent="0.25">
      <c r="A319" s="503" t="s">
        <v>149</v>
      </c>
      <c r="B319" s="503"/>
      <c r="C319" s="261"/>
      <c r="D319" s="29"/>
      <c r="E319" s="28">
        <v>853</v>
      </c>
      <c r="F319" s="7" t="s">
        <v>72</v>
      </c>
      <c r="G319" s="7"/>
      <c r="H319" s="7"/>
      <c r="I319" s="7"/>
      <c r="J319" s="8">
        <f t="shared" ref="J319:U322" si="860">J320</f>
        <v>800617</v>
      </c>
      <c r="K319" s="8">
        <f t="shared" si="860"/>
        <v>0</v>
      </c>
      <c r="L319" s="8">
        <f t="shared" si="860"/>
        <v>800617</v>
      </c>
      <c r="M319" s="8">
        <f t="shared" si="860"/>
        <v>-74105</v>
      </c>
      <c r="N319" s="8">
        <f t="shared" si="860"/>
        <v>726512</v>
      </c>
      <c r="O319" s="8">
        <f t="shared" si="860"/>
        <v>0</v>
      </c>
      <c r="P319" s="8">
        <f t="shared" si="860"/>
        <v>726512</v>
      </c>
      <c r="Q319" s="8">
        <f t="shared" si="860"/>
        <v>0</v>
      </c>
      <c r="R319" s="8"/>
      <c r="S319" s="8"/>
      <c r="T319" s="8"/>
      <c r="U319" s="8">
        <f t="shared" si="860"/>
        <v>726512</v>
      </c>
      <c r="V319" s="435"/>
    </row>
    <row r="320" spans="1:22" s="31" customFormat="1" x14ac:dyDescent="0.25">
      <c r="A320" s="532" t="s">
        <v>150</v>
      </c>
      <c r="B320" s="532"/>
      <c r="C320" s="262"/>
      <c r="D320" s="30"/>
      <c r="E320" s="28">
        <v>853</v>
      </c>
      <c r="F320" s="11" t="s">
        <v>72</v>
      </c>
      <c r="G320" s="11" t="s">
        <v>3</v>
      </c>
      <c r="H320" s="11"/>
      <c r="I320" s="11"/>
      <c r="J320" s="12">
        <f t="shared" si="860"/>
        <v>800617</v>
      </c>
      <c r="K320" s="12">
        <f t="shared" si="860"/>
        <v>0</v>
      </c>
      <c r="L320" s="12">
        <f t="shared" si="860"/>
        <v>800617</v>
      </c>
      <c r="M320" s="12">
        <f t="shared" si="860"/>
        <v>-74105</v>
      </c>
      <c r="N320" s="12">
        <f t="shared" si="860"/>
        <v>726512</v>
      </c>
      <c r="O320" s="12">
        <f t="shared" si="860"/>
        <v>0</v>
      </c>
      <c r="P320" s="12">
        <f t="shared" si="860"/>
        <v>726512</v>
      </c>
      <c r="Q320" s="12">
        <f t="shared" si="860"/>
        <v>0</v>
      </c>
      <c r="R320" s="12"/>
      <c r="S320" s="12"/>
      <c r="T320" s="12"/>
      <c r="U320" s="12">
        <f t="shared" si="860"/>
        <v>726512</v>
      </c>
    </row>
    <row r="321" spans="1:22" s="23" customFormat="1" ht="51" customHeight="1" x14ac:dyDescent="0.25">
      <c r="A321" s="533" t="s">
        <v>499</v>
      </c>
      <c r="B321" s="533"/>
      <c r="C321" s="252"/>
      <c r="E321" s="28">
        <v>853</v>
      </c>
      <c r="F321" s="111" t="s">
        <v>72</v>
      </c>
      <c r="G321" s="111" t="s">
        <v>3</v>
      </c>
      <c r="H321" s="111" t="s">
        <v>438</v>
      </c>
      <c r="I321" s="178" t="s">
        <v>151</v>
      </c>
      <c r="J321" s="2">
        <f t="shared" si="860"/>
        <v>800617</v>
      </c>
      <c r="K321" s="2">
        <f t="shared" si="860"/>
        <v>0</v>
      </c>
      <c r="L321" s="2">
        <f t="shared" si="860"/>
        <v>800617</v>
      </c>
      <c r="M321" s="2">
        <f t="shared" si="860"/>
        <v>-74105</v>
      </c>
      <c r="N321" s="2">
        <f t="shared" si="860"/>
        <v>726512</v>
      </c>
      <c r="O321" s="2">
        <f t="shared" si="860"/>
        <v>0</v>
      </c>
      <c r="P321" s="2">
        <f>P322</f>
        <v>726512</v>
      </c>
      <c r="Q321" s="2">
        <f t="shared" si="860"/>
        <v>0</v>
      </c>
      <c r="R321" s="2"/>
      <c r="S321" s="2"/>
      <c r="T321" s="2"/>
      <c r="U321" s="2">
        <f t="shared" si="860"/>
        <v>726512</v>
      </c>
      <c r="V321" s="437"/>
    </row>
    <row r="322" spans="1:22" s="23" customFormat="1" x14ac:dyDescent="0.25">
      <c r="A322" s="252"/>
      <c r="B322" s="253" t="s">
        <v>145</v>
      </c>
      <c r="C322" s="252"/>
      <c r="E322" s="28">
        <v>853</v>
      </c>
      <c r="F322" s="111" t="s">
        <v>72</v>
      </c>
      <c r="G322" s="111" t="s">
        <v>3</v>
      </c>
      <c r="H322" s="111" t="s">
        <v>438</v>
      </c>
      <c r="I322" s="111" t="s">
        <v>146</v>
      </c>
      <c r="J322" s="2">
        <f t="shared" si="860"/>
        <v>800617</v>
      </c>
      <c r="K322" s="2">
        <f t="shared" si="860"/>
        <v>0</v>
      </c>
      <c r="L322" s="2">
        <f t="shared" si="860"/>
        <v>800617</v>
      </c>
      <c r="M322" s="2">
        <f t="shared" si="860"/>
        <v>-74105</v>
      </c>
      <c r="N322" s="2">
        <f t="shared" si="860"/>
        <v>726512</v>
      </c>
      <c r="O322" s="2">
        <f t="shared" si="860"/>
        <v>0</v>
      </c>
      <c r="P322" s="2">
        <f>P323</f>
        <v>726512</v>
      </c>
      <c r="Q322" s="2">
        <f t="shared" si="860"/>
        <v>0</v>
      </c>
      <c r="R322" s="2"/>
      <c r="S322" s="2"/>
      <c r="T322" s="2"/>
      <c r="U322" s="2">
        <f t="shared" si="860"/>
        <v>726512</v>
      </c>
      <c r="V322" s="437"/>
    </row>
    <row r="323" spans="1:22" s="23" customFormat="1" x14ac:dyDescent="0.25">
      <c r="A323" s="252"/>
      <c r="B323" s="253" t="s">
        <v>147</v>
      </c>
      <c r="C323" s="252"/>
      <c r="E323" s="28">
        <v>853</v>
      </c>
      <c r="F323" s="111" t="s">
        <v>72</v>
      </c>
      <c r="G323" s="111" t="s">
        <v>3</v>
      </c>
      <c r="H323" s="111" t="s">
        <v>438</v>
      </c>
      <c r="I323" s="111" t="s">
        <v>148</v>
      </c>
      <c r="J323" s="37">
        <v>800617</v>
      </c>
      <c r="K323" s="37"/>
      <c r="L323" s="2">
        <f t="shared" si="689"/>
        <v>800617</v>
      </c>
      <c r="M323" s="37">
        <v>-74105</v>
      </c>
      <c r="N323" s="2">
        <f t="shared" ref="N323" si="861">L323+M323</f>
        <v>726512</v>
      </c>
      <c r="O323" s="37"/>
      <c r="P323" s="2">
        <f>N323+O323</f>
        <v>726512</v>
      </c>
      <c r="Q323" s="37"/>
      <c r="R323" s="37"/>
      <c r="S323" s="37"/>
      <c r="T323" s="37"/>
      <c r="U323" s="2">
        <f t="shared" ref="U323" si="862">P323+Q323</f>
        <v>726512</v>
      </c>
      <c r="V323" s="437"/>
    </row>
    <row r="324" spans="1:22" s="10" customFormat="1" x14ac:dyDescent="0.25">
      <c r="A324" s="503" t="s">
        <v>61</v>
      </c>
      <c r="B324" s="503"/>
      <c r="C324" s="301"/>
      <c r="D324" s="301"/>
      <c r="E324" s="28">
        <v>853</v>
      </c>
      <c r="F324" s="7" t="s">
        <v>6</v>
      </c>
      <c r="G324" s="7"/>
      <c r="H324" s="7"/>
      <c r="I324" s="7"/>
      <c r="J324" s="8">
        <f>J325</f>
        <v>0</v>
      </c>
      <c r="K324" s="8">
        <f t="shared" ref="K324:U327" si="863">K325</f>
        <v>0</v>
      </c>
      <c r="L324" s="8">
        <f t="shared" si="863"/>
        <v>0</v>
      </c>
      <c r="M324" s="8">
        <f t="shared" si="863"/>
        <v>0</v>
      </c>
      <c r="N324" s="8">
        <f t="shared" si="863"/>
        <v>0</v>
      </c>
      <c r="O324" s="8">
        <f t="shared" si="863"/>
        <v>0</v>
      </c>
      <c r="P324" s="8">
        <f t="shared" si="863"/>
        <v>0</v>
      </c>
      <c r="Q324" s="8">
        <f t="shared" si="863"/>
        <v>2478000</v>
      </c>
      <c r="R324" s="8">
        <f>SUM(R325:R328)</f>
        <v>0</v>
      </c>
      <c r="S324" s="8">
        <f t="shared" ref="S324:T324" si="864">SUM(S325:S328)</f>
        <v>2478000</v>
      </c>
      <c r="T324" s="8">
        <f t="shared" si="864"/>
        <v>0</v>
      </c>
      <c r="U324" s="8">
        <f t="shared" si="863"/>
        <v>2478000</v>
      </c>
      <c r="V324" s="435"/>
    </row>
    <row r="325" spans="1:22" s="13" customFormat="1" x14ac:dyDescent="0.25">
      <c r="A325" s="508" t="s">
        <v>248</v>
      </c>
      <c r="B325" s="508"/>
      <c r="C325" s="302"/>
      <c r="D325" s="302"/>
      <c r="E325" s="28">
        <v>853</v>
      </c>
      <c r="F325" s="11" t="s">
        <v>6</v>
      </c>
      <c r="G325" s="11" t="s">
        <v>57</v>
      </c>
      <c r="H325" s="11"/>
      <c r="I325" s="11"/>
      <c r="J325" s="12">
        <f>J326</f>
        <v>0</v>
      </c>
      <c r="K325" s="12">
        <f t="shared" si="863"/>
        <v>0</v>
      </c>
      <c r="L325" s="12">
        <f t="shared" si="863"/>
        <v>0</v>
      </c>
      <c r="M325" s="12">
        <f t="shared" si="863"/>
        <v>0</v>
      </c>
      <c r="N325" s="12">
        <f t="shared" si="863"/>
        <v>0</v>
      </c>
      <c r="O325" s="12">
        <f t="shared" si="863"/>
        <v>0</v>
      </c>
      <c r="P325" s="12">
        <f t="shared" si="863"/>
        <v>0</v>
      </c>
      <c r="Q325" s="12">
        <f t="shared" si="863"/>
        <v>2478000</v>
      </c>
      <c r="R325" s="12"/>
      <c r="S325" s="12"/>
      <c r="T325" s="12"/>
      <c r="U325" s="12">
        <f t="shared" si="863"/>
        <v>2478000</v>
      </c>
      <c r="V325" s="31"/>
    </row>
    <row r="326" spans="1:22" ht="119.25" customHeight="1" x14ac:dyDescent="0.25">
      <c r="A326" s="509" t="s">
        <v>670</v>
      </c>
      <c r="B326" s="509"/>
      <c r="C326" s="300"/>
      <c r="D326" s="300"/>
      <c r="E326" s="28">
        <v>853</v>
      </c>
      <c r="F326" s="18" t="s">
        <v>6</v>
      </c>
      <c r="G326" s="18" t="s">
        <v>57</v>
      </c>
      <c r="H326" s="18" t="s">
        <v>666</v>
      </c>
      <c r="I326" s="18"/>
      <c r="J326" s="2">
        <f>J327</f>
        <v>0</v>
      </c>
      <c r="K326" s="2">
        <f t="shared" si="863"/>
        <v>0</v>
      </c>
      <c r="L326" s="2">
        <f t="shared" si="863"/>
        <v>0</v>
      </c>
      <c r="M326" s="2">
        <f t="shared" si="863"/>
        <v>0</v>
      </c>
      <c r="N326" s="2">
        <f t="shared" si="863"/>
        <v>0</v>
      </c>
      <c r="O326" s="2">
        <f t="shared" si="863"/>
        <v>0</v>
      </c>
      <c r="P326" s="2">
        <f t="shared" si="863"/>
        <v>0</v>
      </c>
      <c r="Q326" s="2">
        <f t="shared" si="863"/>
        <v>2478000</v>
      </c>
      <c r="R326" s="2"/>
      <c r="S326" s="2"/>
      <c r="T326" s="2"/>
      <c r="U326" s="2">
        <f t="shared" si="863"/>
        <v>2478000</v>
      </c>
      <c r="V326" s="89"/>
    </row>
    <row r="327" spans="1:22" ht="12.75" customHeight="1" x14ac:dyDescent="0.25">
      <c r="A327" s="300"/>
      <c r="B327" s="299" t="s">
        <v>145</v>
      </c>
      <c r="C327" s="300"/>
      <c r="D327" s="300"/>
      <c r="E327" s="28">
        <v>853</v>
      </c>
      <c r="F327" s="18" t="s">
        <v>6</v>
      </c>
      <c r="G327" s="18" t="s">
        <v>57</v>
      </c>
      <c r="H327" s="18" t="s">
        <v>666</v>
      </c>
      <c r="I327" s="1" t="s">
        <v>146</v>
      </c>
      <c r="J327" s="2">
        <f>J328</f>
        <v>0</v>
      </c>
      <c r="K327" s="2">
        <f t="shared" si="863"/>
        <v>0</v>
      </c>
      <c r="L327" s="2">
        <f t="shared" si="863"/>
        <v>0</v>
      </c>
      <c r="M327" s="2">
        <f t="shared" si="863"/>
        <v>0</v>
      </c>
      <c r="N327" s="2">
        <f t="shared" si="863"/>
        <v>0</v>
      </c>
      <c r="O327" s="2">
        <f t="shared" si="863"/>
        <v>0</v>
      </c>
      <c r="P327" s="2">
        <f t="shared" si="863"/>
        <v>0</v>
      </c>
      <c r="Q327" s="2">
        <f t="shared" si="863"/>
        <v>2478000</v>
      </c>
      <c r="R327" s="2"/>
      <c r="S327" s="2"/>
      <c r="T327" s="2"/>
      <c r="U327" s="2">
        <f t="shared" si="863"/>
        <v>2478000</v>
      </c>
      <c r="V327" s="89"/>
    </row>
    <row r="328" spans="1:22" ht="12.75" customHeight="1" x14ac:dyDescent="0.25">
      <c r="A328" s="300"/>
      <c r="B328" s="300" t="s">
        <v>157</v>
      </c>
      <c r="C328" s="300"/>
      <c r="D328" s="300"/>
      <c r="E328" s="28">
        <v>853</v>
      </c>
      <c r="F328" s="18" t="s">
        <v>6</v>
      </c>
      <c r="G328" s="18" t="s">
        <v>57</v>
      </c>
      <c r="H328" s="18" t="s">
        <v>666</v>
      </c>
      <c r="I328" s="1" t="s">
        <v>158</v>
      </c>
      <c r="J328" s="2"/>
      <c r="K328" s="313">
        <v>0</v>
      </c>
      <c r="L328" s="2">
        <f>J328+K328</f>
        <v>0</v>
      </c>
      <c r="M328" s="313">
        <v>0</v>
      </c>
      <c r="N328" s="2">
        <f>L328+M328</f>
        <v>0</v>
      </c>
      <c r="O328" s="313">
        <v>0</v>
      </c>
      <c r="P328" s="2">
        <f>N328+O328</f>
        <v>0</v>
      </c>
      <c r="Q328" s="313">
        <v>2478000</v>
      </c>
      <c r="R328" s="313"/>
      <c r="S328" s="313">
        <v>2478000</v>
      </c>
      <c r="T328" s="313"/>
      <c r="U328" s="2">
        <f>P328+Q328</f>
        <v>2478000</v>
      </c>
      <c r="V328" s="89"/>
    </row>
    <row r="329" spans="1:22" s="10" customFormat="1" ht="13.5" customHeight="1" x14ac:dyDescent="0.25">
      <c r="A329" s="199" t="s">
        <v>70</v>
      </c>
      <c r="B329" s="365"/>
      <c r="C329" s="365"/>
      <c r="E329" s="28">
        <v>853</v>
      </c>
      <c r="F329" s="34" t="s">
        <v>63</v>
      </c>
      <c r="G329" s="34"/>
      <c r="H329" s="34"/>
      <c r="I329" s="7"/>
      <c r="J329" s="8">
        <f>J330+J337</f>
        <v>0</v>
      </c>
      <c r="K329" s="8">
        <f>K330+K337</f>
        <v>0</v>
      </c>
      <c r="L329" s="8">
        <f t="shared" ref="L329:U329" si="865">L330+L334</f>
        <v>0</v>
      </c>
      <c r="M329" s="8">
        <f t="shared" si="865"/>
        <v>68404</v>
      </c>
      <c r="N329" s="8">
        <f t="shared" si="865"/>
        <v>68404</v>
      </c>
      <c r="O329" s="8">
        <f t="shared" si="865"/>
        <v>0</v>
      </c>
      <c r="P329" s="8">
        <f t="shared" si="865"/>
        <v>68404</v>
      </c>
      <c r="Q329" s="8">
        <f t="shared" si="865"/>
        <v>274363.59999999998</v>
      </c>
      <c r="R329" s="8">
        <f>SUM(R330:R337)</f>
        <v>0</v>
      </c>
      <c r="S329" s="8">
        <f t="shared" ref="S329:T329" si="866">SUM(S330:S337)</f>
        <v>274363.59999999998</v>
      </c>
      <c r="T329" s="8">
        <f t="shared" si="866"/>
        <v>0</v>
      </c>
      <c r="U329" s="8">
        <f t="shared" si="865"/>
        <v>342767.6</v>
      </c>
      <c r="V329" s="435"/>
    </row>
    <row r="330" spans="1:22" s="13" customFormat="1" ht="13.5" customHeight="1" x14ac:dyDescent="0.25">
      <c r="A330" s="512" t="s">
        <v>247</v>
      </c>
      <c r="B330" s="512"/>
      <c r="C330" s="366"/>
      <c r="E330" s="28">
        <v>853</v>
      </c>
      <c r="F330" s="20" t="s">
        <v>63</v>
      </c>
      <c r="G330" s="101" t="s">
        <v>17</v>
      </c>
      <c r="H330" s="20"/>
      <c r="I330" s="11"/>
      <c r="J330" s="12">
        <f>J331</f>
        <v>0</v>
      </c>
      <c r="K330" s="12">
        <f t="shared" ref="K330" si="867">K331</f>
        <v>0</v>
      </c>
      <c r="L330" s="12">
        <f>L331</f>
        <v>0</v>
      </c>
      <c r="M330" s="12">
        <f t="shared" ref="M330:U331" si="868">M331</f>
        <v>68104</v>
      </c>
      <c r="N330" s="12">
        <f t="shared" si="868"/>
        <v>68104</v>
      </c>
      <c r="O330" s="12">
        <f t="shared" si="868"/>
        <v>0</v>
      </c>
      <c r="P330" s="12">
        <f t="shared" si="868"/>
        <v>68104</v>
      </c>
      <c r="Q330" s="12">
        <f t="shared" si="868"/>
        <v>68100.600000000006</v>
      </c>
      <c r="R330" s="12"/>
      <c r="S330" s="12"/>
      <c r="T330" s="12"/>
      <c r="U330" s="12">
        <f t="shared" si="868"/>
        <v>136204.6</v>
      </c>
      <c r="V330" s="31"/>
    </row>
    <row r="331" spans="1:22" s="13" customFormat="1" ht="78.75" customHeight="1" x14ac:dyDescent="0.25">
      <c r="A331" s="516" t="s">
        <v>623</v>
      </c>
      <c r="B331" s="517"/>
      <c r="C331" s="362"/>
      <c r="D331" s="91"/>
      <c r="E331" s="28">
        <v>853</v>
      </c>
      <c r="F331" s="18" t="s">
        <v>63</v>
      </c>
      <c r="G331" s="100" t="s">
        <v>17</v>
      </c>
      <c r="H331" s="18" t="s">
        <v>667</v>
      </c>
      <c r="I331" s="1"/>
      <c r="J331" s="2"/>
      <c r="K331" s="2"/>
      <c r="L331" s="2">
        <f t="shared" ref="L331" si="869">L332</f>
        <v>0</v>
      </c>
      <c r="M331" s="2">
        <f t="shared" si="868"/>
        <v>68104</v>
      </c>
      <c r="N331" s="2">
        <f t="shared" si="868"/>
        <v>68104</v>
      </c>
      <c r="O331" s="2">
        <f t="shared" si="868"/>
        <v>0</v>
      </c>
      <c r="P331" s="2">
        <f>P332</f>
        <v>68104</v>
      </c>
      <c r="Q331" s="2">
        <f t="shared" si="868"/>
        <v>68100.600000000006</v>
      </c>
      <c r="R331" s="2"/>
      <c r="S331" s="2"/>
      <c r="T331" s="2"/>
      <c r="U331" s="2">
        <f t="shared" si="868"/>
        <v>136204.6</v>
      </c>
      <c r="V331" s="31"/>
    </row>
    <row r="332" spans="1:22" s="13" customFormat="1" ht="14.25" customHeight="1" x14ac:dyDescent="0.25">
      <c r="A332" s="362"/>
      <c r="B332" s="363" t="s">
        <v>145</v>
      </c>
      <c r="C332" s="362"/>
      <c r="D332" s="91"/>
      <c r="E332" s="28">
        <v>853</v>
      </c>
      <c r="F332" s="18" t="s">
        <v>63</v>
      </c>
      <c r="G332" s="100" t="s">
        <v>17</v>
      </c>
      <c r="H332" s="18" t="s">
        <v>667</v>
      </c>
      <c r="I332" s="1" t="s">
        <v>146</v>
      </c>
      <c r="J332" s="2">
        <f t="shared" ref="J332:L332" si="870">J333</f>
        <v>0</v>
      </c>
      <c r="K332" s="2">
        <f t="shared" si="870"/>
        <v>0</v>
      </c>
      <c r="L332" s="2">
        <f t="shared" si="870"/>
        <v>0</v>
      </c>
      <c r="M332" s="2">
        <f t="shared" ref="M332:U332" si="871">M333</f>
        <v>68104</v>
      </c>
      <c r="N332" s="2">
        <f t="shared" si="871"/>
        <v>68104</v>
      </c>
      <c r="O332" s="2">
        <f t="shared" si="871"/>
        <v>0</v>
      </c>
      <c r="P332" s="2">
        <f>P333</f>
        <v>68104</v>
      </c>
      <c r="Q332" s="2">
        <f t="shared" si="871"/>
        <v>68100.600000000006</v>
      </c>
      <c r="R332" s="2"/>
      <c r="S332" s="2"/>
      <c r="T332" s="2"/>
      <c r="U332" s="2">
        <f t="shared" si="871"/>
        <v>136204.6</v>
      </c>
      <c r="V332" s="31"/>
    </row>
    <row r="333" spans="1:22" s="13" customFormat="1" ht="14.25" customHeight="1" x14ac:dyDescent="0.25">
      <c r="A333" s="362"/>
      <c r="B333" s="362" t="s">
        <v>157</v>
      </c>
      <c r="C333" s="362"/>
      <c r="D333" s="91"/>
      <c r="E333" s="28">
        <v>853</v>
      </c>
      <c r="F333" s="18" t="s">
        <v>63</v>
      </c>
      <c r="G333" s="100" t="s">
        <v>17</v>
      </c>
      <c r="H333" s="18" t="s">
        <v>667</v>
      </c>
      <c r="I333" s="1" t="s">
        <v>158</v>
      </c>
      <c r="J333" s="2"/>
      <c r="K333" s="2"/>
      <c r="L333" s="2"/>
      <c r="M333" s="2">
        <v>68104</v>
      </c>
      <c r="N333" s="2">
        <f>L333+M333</f>
        <v>68104</v>
      </c>
      <c r="O333" s="2"/>
      <c r="P333" s="2">
        <f>N333+O333</f>
        <v>68104</v>
      </c>
      <c r="Q333" s="439">
        <v>68100.600000000006</v>
      </c>
      <c r="R333" s="2"/>
      <c r="S333" s="2">
        <v>68100.600000000006</v>
      </c>
      <c r="T333" s="2"/>
      <c r="U333" s="2">
        <f t="shared" ref="U333" si="872">P333+Q333</f>
        <v>136204.6</v>
      </c>
      <c r="V333" s="31"/>
    </row>
    <row r="334" spans="1:22" s="13" customFormat="1" x14ac:dyDescent="0.25">
      <c r="A334" s="368" t="s">
        <v>71</v>
      </c>
      <c r="B334" s="366"/>
      <c r="C334" s="366"/>
      <c r="E334" s="28">
        <v>853</v>
      </c>
      <c r="F334" s="20" t="s">
        <v>63</v>
      </c>
      <c r="G334" s="20" t="s">
        <v>72</v>
      </c>
      <c r="H334" s="20"/>
      <c r="I334" s="11"/>
      <c r="J334" s="12">
        <f>J335+J338+J341+J344</f>
        <v>190800</v>
      </c>
      <c r="K334" s="12">
        <f t="shared" ref="K334" si="873">K335+K338+K341+K344</f>
        <v>0</v>
      </c>
      <c r="L334" s="12">
        <f>L335</f>
        <v>0</v>
      </c>
      <c r="M334" s="12">
        <f t="shared" ref="M334:U334" si="874">M335</f>
        <v>300</v>
      </c>
      <c r="N334" s="12">
        <f t="shared" si="874"/>
        <v>300</v>
      </c>
      <c r="O334" s="12">
        <f t="shared" si="874"/>
        <v>0</v>
      </c>
      <c r="P334" s="12">
        <f t="shared" si="874"/>
        <v>300</v>
      </c>
      <c r="Q334" s="12">
        <f t="shared" si="874"/>
        <v>206263</v>
      </c>
      <c r="R334" s="12"/>
      <c r="S334" s="12"/>
      <c r="T334" s="12"/>
      <c r="U334" s="12">
        <f t="shared" si="874"/>
        <v>206563</v>
      </c>
      <c r="V334" s="31"/>
    </row>
    <row r="335" spans="1:22" s="13" customFormat="1" ht="50.25" customHeight="1" x14ac:dyDescent="0.25">
      <c r="A335" s="516" t="s">
        <v>626</v>
      </c>
      <c r="B335" s="517"/>
      <c r="C335" s="362"/>
      <c r="D335" s="362"/>
      <c r="E335" s="28">
        <v>853</v>
      </c>
      <c r="F335" s="18" t="s">
        <v>63</v>
      </c>
      <c r="G335" s="18" t="s">
        <v>72</v>
      </c>
      <c r="H335" s="18" t="s">
        <v>668</v>
      </c>
      <c r="I335" s="1"/>
      <c r="J335" s="2"/>
      <c r="K335" s="2"/>
      <c r="L335" s="2">
        <f t="shared" ref="L335:U336" si="875">L336</f>
        <v>0</v>
      </c>
      <c r="M335" s="2">
        <f t="shared" si="875"/>
        <v>300</v>
      </c>
      <c r="N335" s="2">
        <f t="shared" si="875"/>
        <v>300</v>
      </c>
      <c r="O335" s="2">
        <f t="shared" si="875"/>
        <v>0</v>
      </c>
      <c r="P335" s="2">
        <f t="shared" si="875"/>
        <v>300</v>
      </c>
      <c r="Q335" s="2">
        <f t="shared" si="875"/>
        <v>206263</v>
      </c>
      <c r="R335" s="2"/>
      <c r="S335" s="2"/>
      <c r="T335" s="2"/>
      <c r="U335" s="2">
        <f t="shared" si="875"/>
        <v>206563</v>
      </c>
      <c r="V335" s="31"/>
    </row>
    <row r="336" spans="1:22" s="13" customFormat="1" ht="14.25" customHeight="1" x14ac:dyDescent="0.25">
      <c r="A336" s="362"/>
      <c r="B336" s="363" t="s">
        <v>145</v>
      </c>
      <c r="C336" s="362"/>
      <c r="D336" s="362"/>
      <c r="E336" s="28">
        <v>853</v>
      </c>
      <c r="F336" s="18" t="s">
        <v>63</v>
      </c>
      <c r="G336" s="100" t="s">
        <v>72</v>
      </c>
      <c r="H336" s="18" t="s">
        <v>668</v>
      </c>
      <c r="I336" s="1" t="s">
        <v>146</v>
      </c>
      <c r="J336" s="2"/>
      <c r="K336" s="2"/>
      <c r="L336" s="2">
        <f t="shared" si="875"/>
        <v>0</v>
      </c>
      <c r="M336" s="2">
        <f t="shared" si="875"/>
        <v>300</v>
      </c>
      <c r="N336" s="2">
        <f t="shared" si="875"/>
        <v>300</v>
      </c>
      <c r="O336" s="2">
        <f t="shared" si="875"/>
        <v>0</v>
      </c>
      <c r="P336" s="2">
        <f>P337</f>
        <v>300</v>
      </c>
      <c r="Q336" s="2">
        <f t="shared" si="875"/>
        <v>206263</v>
      </c>
      <c r="R336" s="2"/>
      <c r="S336" s="2"/>
      <c r="T336" s="2"/>
      <c r="U336" s="2">
        <f t="shared" si="875"/>
        <v>206563</v>
      </c>
      <c r="V336" s="31"/>
    </row>
    <row r="337" spans="1:22" s="13" customFormat="1" ht="14.25" customHeight="1" x14ac:dyDescent="0.25">
      <c r="A337" s="362"/>
      <c r="B337" s="362" t="s">
        <v>157</v>
      </c>
      <c r="C337" s="362"/>
      <c r="D337" s="362"/>
      <c r="E337" s="28">
        <v>853</v>
      </c>
      <c r="F337" s="18" t="s">
        <v>63</v>
      </c>
      <c r="G337" s="100" t="s">
        <v>72</v>
      </c>
      <c r="H337" s="18" t="s">
        <v>668</v>
      </c>
      <c r="I337" s="1" t="s">
        <v>158</v>
      </c>
      <c r="J337" s="2"/>
      <c r="K337" s="2"/>
      <c r="L337" s="2"/>
      <c r="M337" s="2">
        <v>300</v>
      </c>
      <c r="N337" s="2">
        <f t="shared" ref="N337" si="876">L337+M337</f>
        <v>300</v>
      </c>
      <c r="O337" s="2"/>
      <c r="P337" s="2">
        <f>N337+O337</f>
        <v>300</v>
      </c>
      <c r="Q337" s="2">
        <f>206263</f>
        <v>206263</v>
      </c>
      <c r="R337" s="2"/>
      <c r="S337" s="2">
        <f>Q337</f>
        <v>206263</v>
      </c>
      <c r="T337" s="2"/>
      <c r="U337" s="2">
        <f t="shared" ref="U337" si="877">P337+Q337</f>
        <v>206563</v>
      </c>
      <c r="V337" s="31"/>
    </row>
    <row r="338" spans="1:22" x14ac:dyDescent="0.25">
      <c r="A338" s="503" t="s">
        <v>83</v>
      </c>
      <c r="B338" s="503"/>
      <c r="C338" s="258"/>
      <c r="D338" s="258"/>
      <c r="E338" s="28">
        <v>853</v>
      </c>
      <c r="F338" s="7" t="s">
        <v>84</v>
      </c>
      <c r="G338" s="7"/>
      <c r="H338" s="7"/>
      <c r="I338" s="7"/>
      <c r="J338" s="8">
        <f>J339+J343</f>
        <v>95400</v>
      </c>
      <c r="K338" s="8">
        <f t="shared" ref="K338:L338" si="878">K339+K343</f>
        <v>0</v>
      </c>
      <c r="L338" s="8">
        <f t="shared" si="878"/>
        <v>95400</v>
      </c>
      <c r="M338" s="8">
        <f t="shared" ref="M338:N338" si="879">M339+M343</f>
        <v>0</v>
      </c>
      <c r="N338" s="8">
        <f t="shared" si="879"/>
        <v>95400</v>
      </c>
      <c r="O338" s="8">
        <f t="shared" ref="O338:P338" si="880">O339+O343</f>
        <v>-7950</v>
      </c>
      <c r="P338" s="8">
        <f t="shared" si="880"/>
        <v>87450</v>
      </c>
      <c r="Q338" s="8">
        <f t="shared" ref="Q338:U338" si="881">Q339+Q343</f>
        <v>0</v>
      </c>
      <c r="R338" s="8"/>
      <c r="S338" s="8"/>
      <c r="T338" s="8"/>
      <c r="U338" s="8">
        <f t="shared" si="881"/>
        <v>87450</v>
      </c>
      <c r="V338" s="89"/>
    </row>
    <row r="339" spans="1:22" x14ac:dyDescent="0.25">
      <c r="A339" s="520" t="s">
        <v>85</v>
      </c>
      <c r="B339" s="521"/>
      <c r="C339" s="306"/>
      <c r="D339" s="306"/>
      <c r="E339" s="28">
        <v>853</v>
      </c>
      <c r="F339" s="11" t="s">
        <v>84</v>
      </c>
      <c r="G339" s="11" t="s">
        <v>17</v>
      </c>
      <c r="H339" s="11"/>
      <c r="I339" s="11"/>
      <c r="J339" s="22">
        <f t="shared" ref="J339:U341" si="882">J340</f>
        <v>0</v>
      </c>
      <c r="K339" s="22">
        <f t="shared" si="882"/>
        <v>0</v>
      </c>
      <c r="L339" s="22">
        <f t="shared" si="882"/>
        <v>0</v>
      </c>
      <c r="M339" s="22">
        <f t="shared" si="882"/>
        <v>0</v>
      </c>
      <c r="N339" s="22">
        <f t="shared" si="882"/>
        <v>0</v>
      </c>
      <c r="O339" s="22">
        <f t="shared" si="882"/>
        <v>0</v>
      </c>
      <c r="P339" s="22">
        <f t="shared" si="882"/>
        <v>0</v>
      </c>
      <c r="Q339" s="22">
        <f t="shared" si="882"/>
        <v>0</v>
      </c>
      <c r="R339" s="22"/>
      <c r="S339" s="22"/>
      <c r="T339" s="22"/>
      <c r="U339" s="22">
        <f t="shared" si="882"/>
        <v>0</v>
      </c>
      <c r="V339" s="89"/>
    </row>
    <row r="340" spans="1:22" ht="24.75" customHeight="1" x14ac:dyDescent="0.25">
      <c r="A340" s="509" t="s">
        <v>592</v>
      </c>
      <c r="B340" s="509"/>
      <c r="C340" s="305"/>
      <c r="D340" s="305"/>
      <c r="E340" s="28">
        <v>853</v>
      </c>
      <c r="F340" s="1" t="s">
        <v>84</v>
      </c>
      <c r="G340" s="1" t="s">
        <v>17</v>
      </c>
      <c r="H340" s="1" t="s">
        <v>593</v>
      </c>
      <c r="I340" s="1"/>
      <c r="J340" s="2">
        <f t="shared" si="882"/>
        <v>0</v>
      </c>
      <c r="K340" s="2">
        <f t="shared" si="882"/>
        <v>0</v>
      </c>
      <c r="L340" s="2">
        <f t="shared" ref="L340:L342" si="883">J340+K340</f>
        <v>0</v>
      </c>
      <c r="M340" s="2">
        <f t="shared" si="882"/>
        <v>0</v>
      </c>
      <c r="N340" s="2">
        <f t="shared" ref="N340:N342" si="884">L340+M340</f>
        <v>0</v>
      </c>
      <c r="O340" s="2">
        <f t="shared" si="882"/>
        <v>0</v>
      </c>
      <c r="P340" s="2">
        <f>N340+O340</f>
        <v>0</v>
      </c>
      <c r="Q340" s="2">
        <f t="shared" si="882"/>
        <v>0</v>
      </c>
      <c r="R340" s="2"/>
      <c r="S340" s="2"/>
      <c r="T340" s="2"/>
      <c r="U340" s="2">
        <f t="shared" ref="U340:U342" si="885">P340+Q340</f>
        <v>0</v>
      </c>
      <c r="V340" s="89"/>
    </row>
    <row r="341" spans="1:22" x14ac:dyDescent="0.25">
      <c r="A341" s="309"/>
      <c r="B341" s="509" t="s">
        <v>145</v>
      </c>
      <c r="C341" s="509"/>
      <c r="D341" s="307"/>
      <c r="E341" s="28">
        <v>853</v>
      </c>
      <c r="F341" s="1" t="s">
        <v>84</v>
      </c>
      <c r="G341" s="1" t="s">
        <v>17</v>
      </c>
      <c r="H341" s="1" t="s">
        <v>593</v>
      </c>
      <c r="I341" s="1" t="s">
        <v>146</v>
      </c>
      <c r="J341" s="2">
        <f t="shared" si="882"/>
        <v>0</v>
      </c>
      <c r="K341" s="2">
        <f t="shared" si="882"/>
        <v>0</v>
      </c>
      <c r="L341" s="2">
        <f t="shared" si="883"/>
        <v>0</v>
      </c>
      <c r="M341" s="2">
        <f t="shared" si="882"/>
        <v>0</v>
      </c>
      <c r="N341" s="2">
        <f t="shared" si="884"/>
        <v>0</v>
      </c>
      <c r="O341" s="2">
        <f t="shared" si="882"/>
        <v>0</v>
      </c>
      <c r="P341" s="2">
        <f>N341+O341</f>
        <v>0</v>
      </c>
      <c r="Q341" s="2">
        <f t="shared" si="882"/>
        <v>0</v>
      </c>
      <c r="R341" s="2"/>
      <c r="S341" s="2"/>
      <c r="T341" s="2"/>
      <c r="U341" s="2">
        <f t="shared" si="885"/>
        <v>0</v>
      </c>
      <c r="V341" s="89"/>
    </row>
    <row r="342" spans="1:22" x14ac:dyDescent="0.25">
      <c r="A342" s="309"/>
      <c r="B342" s="304" t="s">
        <v>157</v>
      </c>
      <c r="C342" s="307"/>
      <c r="D342" s="307"/>
      <c r="E342" s="28">
        <v>853</v>
      </c>
      <c r="F342" s="1" t="s">
        <v>84</v>
      </c>
      <c r="G342" s="1" t="s">
        <v>17</v>
      </c>
      <c r="H342" s="1" t="s">
        <v>593</v>
      </c>
      <c r="I342" s="1" t="s">
        <v>158</v>
      </c>
      <c r="J342" s="2">
        <v>0</v>
      </c>
      <c r="K342" s="313"/>
      <c r="L342" s="2">
        <f t="shared" si="883"/>
        <v>0</v>
      </c>
      <c r="M342" s="313"/>
      <c r="N342" s="2">
        <f t="shared" si="884"/>
        <v>0</v>
      </c>
      <c r="O342" s="313"/>
      <c r="P342" s="2">
        <f>N342+O342</f>
        <v>0</v>
      </c>
      <c r="Q342" s="313"/>
      <c r="R342" s="313"/>
      <c r="S342" s="313"/>
      <c r="T342" s="313"/>
      <c r="U342" s="2">
        <f t="shared" si="885"/>
        <v>0</v>
      </c>
      <c r="V342" s="89"/>
    </row>
    <row r="343" spans="1:22" x14ac:dyDescent="0.25">
      <c r="A343" s="508" t="s">
        <v>94</v>
      </c>
      <c r="B343" s="508"/>
      <c r="C343" s="254"/>
      <c r="D343" s="254"/>
      <c r="E343" s="28">
        <v>853</v>
      </c>
      <c r="F343" s="11" t="s">
        <v>84</v>
      </c>
      <c r="G343" s="11" t="s">
        <v>6</v>
      </c>
      <c r="H343" s="11"/>
      <c r="I343" s="11"/>
      <c r="J343" s="22">
        <f t="shared" ref="J343:U345" si="886">J344</f>
        <v>95400</v>
      </c>
      <c r="K343" s="22">
        <f t="shared" si="886"/>
        <v>0</v>
      </c>
      <c r="L343" s="22">
        <f t="shared" si="886"/>
        <v>95400</v>
      </c>
      <c r="M343" s="22">
        <f t="shared" si="886"/>
        <v>0</v>
      </c>
      <c r="N343" s="22">
        <f t="shared" si="886"/>
        <v>95400</v>
      </c>
      <c r="O343" s="22">
        <f t="shared" si="886"/>
        <v>-7950</v>
      </c>
      <c r="P343" s="22">
        <f t="shared" si="886"/>
        <v>87450</v>
      </c>
      <c r="Q343" s="22">
        <f t="shared" si="886"/>
        <v>0</v>
      </c>
      <c r="R343" s="22"/>
      <c r="S343" s="22"/>
      <c r="T343" s="22"/>
      <c r="U343" s="22">
        <f t="shared" si="886"/>
        <v>87450</v>
      </c>
      <c r="V343" s="89"/>
    </row>
    <row r="344" spans="1:22" ht="46.5" customHeight="1" x14ac:dyDescent="0.25">
      <c r="A344" s="509" t="s">
        <v>86</v>
      </c>
      <c r="B344" s="509"/>
      <c r="C344" s="253"/>
      <c r="D344" s="253"/>
      <c r="E344" s="219">
        <v>853</v>
      </c>
      <c r="F344" s="1" t="s">
        <v>84</v>
      </c>
      <c r="G344" s="1" t="s">
        <v>6</v>
      </c>
      <c r="H344" s="1" t="s">
        <v>152</v>
      </c>
      <c r="I344" s="1"/>
      <c r="J344" s="2">
        <f t="shared" si="886"/>
        <v>95400</v>
      </c>
      <c r="K344" s="2">
        <f t="shared" si="886"/>
        <v>0</v>
      </c>
      <c r="L344" s="2">
        <f t="shared" si="886"/>
        <v>95400</v>
      </c>
      <c r="M344" s="2">
        <f t="shared" si="886"/>
        <v>0</v>
      </c>
      <c r="N344" s="2">
        <f t="shared" si="886"/>
        <v>95400</v>
      </c>
      <c r="O344" s="2">
        <f t="shared" si="886"/>
        <v>-7950</v>
      </c>
      <c r="P344" s="2">
        <f>P345</f>
        <v>87450</v>
      </c>
      <c r="Q344" s="2">
        <f t="shared" si="886"/>
        <v>0</v>
      </c>
      <c r="R344" s="2"/>
      <c r="S344" s="2"/>
      <c r="T344" s="2"/>
      <c r="U344" s="2">
        <f t="shared" si="886"/>
        <v>87450</v>
      </c>
      <c r="V344" s="89"/>
    </row>
    <row r="345" spans="1:22" x14ac:dyDescent="0.25">
      <c r="A345" s="15"/>
      <c r="B345" s="253" t="s">
        <v>145</v>
      </c>
      <c r="C345" s="252"/>
      <c r="D345" s="252"/>
      <c r="E345" s="28">
        <v>853</v>
      </c>
      <c r="F345" s="1" t="s">
        <v>84</v>
      </c>
      <c r="G345" s="1" t="s">
        <v>6</v>
      </c>
      <c r="H345" s="1" t="s">
        <v>152</v>
      </c>
      <c r="I345" s="1" t="s">
        <v>146</v>
      </c>
      <c r="J345" s="2">
        <f t="shared" si="886"/>
        <v>95400</v>
      </c>
      <c r="K345" s="2">
        <f t="shared" si="886"/>
        <v>0</v>
      </c>
      <c r="L345" s="2">
        <f t="shared" si="886"/>
        <v>95400</v>
      </c>
      <c r="M345" s="2">
        <f t="shared" si="886"/>
        <v>0</v>
      </c>
      <c r="N345" s="2">
        <f t="shared" si="886"/>
        <v>95400</v>
      </c>
      <c r="O345" s="2">
        <f t="shared" si="886"/>
        <v>-7950</v>
      </c>
      <c r="P345" s="2">
        <f>P346</f>
        <v>87450</v>
      </c>
      <c r="Q345" s="2">
        <f t="shared" si="886"/>
        <v>0</v>
      </c>
      <c r="R345" s="2"/>
      <c r="S345" s="2"/>
      <c r="T345" s="2"/>
      <c r="U345" s="2">
        <f t="shared" si="886"/>
        <v>87450</v>
      </c>
      <c r="V345" s="89"/>
    </row>
    <row r="346" spans="1:22" x14ac:dyDescent="0.25">
      <c r="A346" s="253"/>
      <c r="B346" s="253" t="s">
        <v>147</v>
      </c>
      <c r="C346" s="253"/>
      <c r="D346" s="253"/>
      <c r="E346" s="28">
        <v>853</v>
      </c>
      <c r="F346" s="1" t="s">
        <v>84</v>
      </c>
      <c r="G346" s="1" t="s">
        <v>6</v>
      </c>
      <c r="H346" s="1" t="s">
        <v>152</v>
      </c>
      <c r="I346" s="1" t="s">
        <v>148</v>
      </c>
      <c r="J346" s="2">
        <v>95400</v>
      </c>
      <c r="K346" s="2"/>
      <c r="L346" s="2">
        <f t="shared" ref="L346:L389" si="887">J346+K346</f>
        <v>95400</v>
      </c>
      <c r="M346" s="2"/>
      <c r="N346" s="2">
        <f t="shared" ref="N346" si="888">L346+M346</f>
        <v>95400</v>
      </c>
      <c r="O346" s="2">
        <v>-7950</v>
      </c>
      <c r="P346" s="2">
        <f>N346+O346</f>
        <v>87450</v>
      </c>
      <c r="Q346" s="2"/>
      <c r="R346" s="2"/>
      <c r="S346" s="2"/>
      <c r="T346" s="2"/>
      <c r="U346" s="2">
        <f t="shared" ref="U346" si="889">P346+Q346</f>
        <v>87450</v>
      </c>
      <c r="V346" s="89"/>
    </row>
    <row r="347" spans="1:22" ht="28.5" customHeight="1" x14ac:dyDescent="0.25">
      <c r="A347" s="503" t="s">
        <v>658</v>
      </c>
      <c r="B347" s="503"/>
      <c r="C347" s="258"/>
      <c r="D347" s="258"/>
      <c r="E347" s="28">
        <v>853</v>
      </c>
      <c r="F347" s="34" t="s">
        <v>153</v>
      </c>
      <c r="G347" s="34"/>
      <c r="H347" s="34"/>
      <c r="I347" s="34"/>
      <c r="J347" s="35">
        <f t="shared" ref="J347:K347" si="890">J348+J354</f>
        <v>14489000</v>
      </c>
      <c r="K347" s="35">
        <f t="shared" si="890"/>
        <v>0</v>
      </c>
      <c r="L347" s="35">
        <f t="shared" ref="L347:M347" si="891">L348+L354</f>
        <v>14489000</v>
      </c>
      <c r="M347" s="35">
        <f t="shared" si="891"/>
        <v>-660700</v>
      </c>
      <c r="N347" s="35">
        <f t="shared" ref="N347:O347" si="892">N348+N354</f>
        <v>13828300</v>
      </c>
      <c r="O347" s="35">
        <f t="shared" si="892"/>
        <v>0</v>
      </c>
      <c r="P347" s="35">
        <f t="shared" ref="P347:Q347" si="893">P348+P354</f>
        <v>13828300</v>
      </c>
      <c r="Q347" s="35">
        <f t="shared" si="893"/>
        <v>0</v>
      </c>
      <c r="R347" s="35"/>
      <c r="S347" s="35"/>
      <c r="T347" s="35"/>
      <c r="U347" s="35">
        <f t="shared" ref="U347" si="894">U348+U354</f>
        <v>13828300</v>
      </c>
      <c r="V347" s="89"/>
    </row>
    <row r="348" spans="1:22" ht="24" customHeight="1" x14ac:dyDescent="0.25">
      <c r="A348" s="508" t="s">
        <v>154</v>
      </c>
      <c r="B348" s="508"/>
      <c r="C348" s="254"/>
      <c r="D348" s="254"/>
      <c r="E348" s="28">
        <v>853</v>
      </c>
      <c r="F348" s="20" t="s">
        <v>153</v>
      </c>
      <c r="G348" s="20" t="s">
        <v>17</v>
      </c>
      <c r="H348" s="177"/>
      <c r="I348" s="20"/>
      <c r="J348" s="36">
        <f t="shared" ref="J348:U349" si="895">J349</f>
        <v>5882000</v>
      </c>
      <c r="K348" s="36">
        <f t="shared" si="895"/>
        <v>0</v>
      </c>
      <c r="L348" s="36">
        <f t="shared" si="895"/>
        <v>5882000</v>
      </c>
      <c r="M348" s="36">
        <f t="shared" si="895"/>
        <v>0</v>
      </c>
      <c r="N348" s="36">
        <f t="shared" si="895"/>
        <v>5882000</v>
      </c>
      <c r="O348" s="36">
        <f t="shared" si="895"/>
        <v>0</v>
      </c>
      <c r="P348" s="36">
        <f t="shared" si="895"/>
        <v>5882000</v>
      </c>
      <c r="Q348" s="36">
        <f t="shared" si="895"/>
        <v>0</v>
      </c>
      <c r="R348" s="36"/>
      <c r="S348" s="36"/>
      <c r="T348" s="36"/>
      <c r="U348" s="36">
        <f t="shared" si="895"/>
        <v>5882000</v>
      </c>
      <c r="V348" s="89"/>
    </row>
    <row r="349" spans="1:22" x14ac:dyDescent="0.25">
      <c r="A349" s="509" t="s">
        <v>155</v>
      </c>
      <c r="B349" s="509"/>
      <c r="C349" s="254"/>
      <c r="D349" s="254"/>
      <c r="E349" s="28">
        <v>853</v>
      </c>
      <c r="F349" s="20" t="s">
        <v>153</v>
      </c>
      <c r="G349" s="20" t="s">
        <v>17</v>
      </c>
      <c r="H349" s="18" t="s">
        <v>156</v>
      </c>
      <c r="I349" s="20"/>
      <c r="J349" s="2">
        <f t="shared" si="895"/>
        <v>5882000</v>
      </c>
      <c r="K349" s="2">
        <f t="shared" si="895"/>
        <v>0</v>
      </c>
      <c r="L349" s="2">
        <f t="shared" si="895"/>
        <v>5882000</v>
      </c>
      <c r="M349" s="2">
        <f t="shared" si="895"/>
        <v>0</v>
      </c>
      <c r="N349" s="2">
        <f t="shared" si="895"/>
        <v>5882000</v>
      </c>
      <c r="O349" s="2">
        <f t="shared" si="895"/>
        <v>0</v>
      </c>
      <c r="P349" s="2">
        <f>P350</f>
        <v>5882000</v>
      </c>
      <c r="Q349" s="2">
        <f t="shared" si="895"/>
        <v>0</v>
      </c>
      <c r="R349" s="2"/>
      <c r="S349" s="2"/>
      <c r="T349" s="2"/>
      <c r="U349" s="2">
        <f t="shared" si="895"/>
        <v>5882000</v>
      </c>
      <c r="V349" s="89"/>
    </row>
    <row r="350" spans="1:22" x14ac:dyDescent="0.25">
      <c r="A350" s="15"/>
      <c r="B350" s="252" t="s">
        <v>145</v>
      </c>
      <c r="C350" s="259"/>
      <c r="D350" s="259"/>
      <c r="E350" s="28">
        <v>853</v>
      </c>
      <c r="F350" s="1" t="s">
        <v>153</v>
      </c>
      <c r="G350" s="1" t="s">
        <v>17</v>
      </c>
      <c r="H350" s="18" t="s">
        <v>156</v>
      </c>
      <c r="I350" s="1" t="s">
        <v>146</v>
      </c>
      <c r="J350" s="2">
        <f>J351+J353</f>
        <v>5882000</v>
      </c>
      <c r="K350" s="2">
        <f t="shared" ref="K350:L350" si="896">K351+K353</f>
        <v>0</v>
      </c>
      <c r="L350" s="2">
        <f t="shared" si="896"/>
        <v>5882000</v>
      </c>
      <c r="M350" s="2">
        <f t="shared" ref="M350:N350" si="897">M351+M353</f>
        <v>0</v>
      </c>
      <c r="N350" s="2">
        <f t="shared" si="897"/>
        <v>5882000</v>
      </c>
      <c r="O350" s="2">
        <f t="shared" ref="O350:P350" si="898">O351+O353</f>
        <v>0</v>
      </c>
      <c r="P350" s="2">
        <f t="shared" si="898"/>
        <v>5882000</v>
      </c>
      <c r="Q350" s="2">
        <f t="shared" ref="Q350:U350" si="899">Q351+Q353</f>
        <v>0</v>
      </c>
      <c r="R350" s="2"/>
      <c r="S350" s="2"/>
      <c r="T350" s="2"/>
      <c r="U350" s="2">
        <f t="shared" si="899"/>
        <v>5882000</v>
      </c>
      <c r="V350" s="89"/>
    </row>
    <row r="351" spans="1:22" x14ac:dyDescent="0.25">
      <c r="A351" s="15"/>
      <c r="B351" s="303" t="s">
        <v>579</v>
      </c>
      <c r="C351" s="308"/>
      <c r="D351" s="308"/>
      <c r="E351" s="28">
        <v>853</v>
      </c>
      <c r="F351" s="1" t="s">
        <v>153</v>
      </c>
      <c r="G351" s="99" t="s">
        <v>17</v>
      </c>
      <c r="H351" s="18" t="s">
        <v>156</v>
      </c>
      <c r="I351" s="1" t="s">
        <v>580</v>
      </c>
      <c r="J351" s="2">
        <f>J352</f>
        <v>0</v>
      </c>
      <c r="K351" s="2">
        <f t="shared" ref="K351:U351" si="900">K352</f>
        <v>5882000</v>
      </c>
      <c r="L351" s="2">
        <f t="shared" si="900"/>
        <v>5882000</v>
      </c>
      <c r="M351" s="2">
        <f t="shared" si="900"/>
        <v>0</v>
      </c>
      <c r="N351" s="2">
        <f t="shared" si="900"/>
        <v>5882000</v>
      </c>
      <c r="O351" s="2">
        <f t="shared" si="900"/>
        <v>0</v>
      </c>
      <c r="P351" s="2">
        <f t="shared" si="900"/>
        <v>5882000</v>
      </c>
      <c r="Q351" s="2">
        <f t="shared" si="900"/>
        <v>0</v>
      </c>
      <c r="R351" s="2"/>
      <c r="S351" s="2"/>
      <c r="T351" s="2"/>
      <c r="U351" s="2">
        <f t="shared" si="900"/>
        <v>5882000</v>
      </c>
      <c r="V351" s="89"/>
    </row>
    <row r="352" spans="1:22" x14ac:dyDescent="0.25">
      <c r="A352" s="15"/>
      <c r="B352" s="303" t="s">
        <v>187</v>
      </c>
      <c r="C352" s="308"/>
      <c r="D352" s="308"/>
      <c r="E352" s="28">
        <v>853</v>
      </c>
      <c r="F352" s="1" t="s">
        <v>153</v>
      </c>
      <c r="G352" s="99" t="s">
        <v>17</v>
      </c>
      <c r="H352" s="18" t="s">
        <v>156</v>
      </c>
      <c r="I352" s="1" t="s">
        <v>578</v>
      </c>
      <c r="J352" s="2"/>
      <c r="K352" s="2">
        <v>5882000</v>
      </c>
      <c r="L352" s="2">
        <f t="shared" si="887"/>
        <v>5882000</v>
      </c>
      <c r="M352" s="2"/>
      <c r="N352" s="2">
        <f t="shared" ref="N352:N353" si="901">L352+M352</f>
        <v>5882000</v>
      </c>
      <c r="O352" s="2"/>
      <c r="P352" s="2">
        <f>N352+O352</f>
        <v>5882000</v>
      </c>
      <c r="Q352" s="2"/>
      <c r="R352" s="2"/>
      <c r="S352" s="2"/>
      <c r="T352" s="2"/>
      <c r="U352" s="2">
        <f t="shared" ref="U352:U353" si="902">P352+Q352</f>
        <v>5882000</v>
      </c>
      <c r="V352" s="89"/>
    </row>
    <row r="353" spans="1:22" x14ac:dyDescent="0.25">
      <c r="A353" s="15"/>
      <c r="B353" s="253" t="s">
        <v>157</v>
      </c>
      <c r="C353" s="256"/>
      <c r="D353" s="256"/>
      <c r="E353" s="28">
        <v>853</v>
      </c>
      <c r="F353" s="1" t="s">
        <v>153</v>
      </c>
      <c r="G353" s="1" t="s">
        <v>17</v>
      </c>
      <c r="H353" s="18" t="s">
        <v>156</v>
      </c>
      <c r="I353" s="1" t="s">
        <v>158</v>
      </c>
      <c r="J353" s="2">
        <v>5882000</v>
      </c>
      <c r="K353" s="2">
        <v>-5882000</v>
      </c>
      <c r="L353" s="2">
        <f t="shared" si="887"/>
        <v>0</v>
      </c>
      <c r="M353" s="2"/>
      <c r="N353" s="2">
        <f t="shared" si="901"/>
        <v>0</v>
      </c>
      <c r="O353" s="2"/>
      <c r="P353" s="2">
        <f>N353+O353</f>
        <v>0</v>
      </c>
      <c r="Q353" s="2"/>
      <c r="R353" s="2"/>
      <c r="S353" s="2"/>
      <c r="T353" s="2"/>
      <c r="U353" s="2">
        <f t="shared" si="902"/>
        <v>0</v>
      </c>
      <c r="V353" s="89"/>
    </row>
    <row r="354" spans="1:22" x14ac:dyDescent="0.25">
      <c r="A354" s="512" t="s">
        <v>159</v>
      </c>
      <c r="B354" s="512"/>
      <c r="C354" s="260"/>
      <c r="D354" s="260"/>
      <c r="E354" s="28">
        <v>853</v>
      </c>
      <c r="F354" s="11" t="s">
        <v>153</v>
      </c>
      <c r="G354" s="11" t="s">
        <v>72</v>
      </c>
      <c r="H354" s="11"/>
      <c r="I354" s="11"/>
      <c r="J354" s="12">
        <f>J355</f>
        <v>8607000</v>
      </c>
      <c r="K354" s="12">
        <f t="shared" ref="K354:O355" si="903">K355</f>
        <v>0</v>
      </c>
      <c r="L354" s="12">
        <f>L355+L360</f>
        <v>8607000</v>
      </c>
      <c r="M354" s="12">
        <f t="shared" ref="M354:N354" si="904">M355+M360</f>
        <v>-660700</v>
      </c>
      <c r="N354" s="12">
        <f t="shared" si="904"/>
        <v>7946300</v>
      </c>
      <c r="O354" s="12">
        <f t="shared" ref="O354:P354" si="905">O355+O360</f>
        <v>0</v>
      </c>
      <c r="P354" s="12">
        <f t="shared" si="905"/>
        <v>7946300</v>
      </c>
      <c r="Q354" s="12">
        <f t="shared" ref="Q354:U354" si="906">Q355+Q360</f>
        <v>0</v>
      </c>
      <c r="R354" s="12"/>
      <c r="S354" s="12"/>
      <c r="T354" s="12"/>
      <c r="U354" s="12">
        <f t="shared" si="906"/>
        <v>7946300</v>
      </c>
      <c r="V354" s="89"/>
    </row>
    <row r="355" spans="1:22" ht="14.25" customHeight="1" x14ac:dyDescent="0.25">
      <c r="A355" s="530" t="s">
        <v>160</v>
      </c>
      <c r="B355" s="530"/>
      <c r="C355" s="259"/>
      <c r="D355" s="259"/>
      <c r="E355" s="28">
        <v>853</v>
      </c>
      <c r="F355" s="1" t="s">
        <v>153</v>
      </c>
      <c r="G355" s="1" t="s">
        <v>72</v>
      </c>
      <c r="H355" s="1" t="s">
        <v>161</v>
      </c>
      <c r="I355" s="1"/>
      <c r="J355" s="2">
        <f t="shared" ref="J355" si="907">J356</f>
        <v>8607000</v>
      </c>
      <c r="K355" s="2">
        <f t="shared" si="903"/>
        <v>0</v>
      </c>
      <c r="L355" s="2">
        <f t="shared" si="903"/>
        <v>8607000</v>
      </c>
      <c r="M355" s="2">
        <f t="shared" si="903"/>
        <v>-860700</v>
      </c>
      <c r="N355" s="2">
        <f t="shared" si="903"/>
        <v>7746300</v>
      </c>
      <c r="O355" s="2">
        <f t="shared" si="903"/>
        <v>0</v>
      </c>
      <c r="P355" s="2">
        <f>P356</f>
        <v>7746300</v>
      </c>
      <c r="Q355" s="2">
        <f t="shared" ref="Q355:U355" si="908">Q356</f>
        <v>0</v>
      </c>
      <c r="R355" s="2"/>
      <c r="S355" s="2"/>
      <c r="T355" s="2"/>
      <c r="U355" s="2">
        <f t="shared" si="908"/>
        <v>7746300</v>
      </c>
      <c r="V355" s="89"/>
    </row>
    <row r="356" spans="1:22" x14ac:dyDescent="0.25">
      <c r="A356" s="15"/>
      <c r="B356" s="252" t="s">
        <v>145</v>
      </c>
      <c r="C356" s="41"/>
      <c r="D356" s="259"/>
      <c r="E356" s="28">
        <v>853</v>
      </c>
      <c r="F356" s="1" t="s">
        <v>153</v>
      </c>
      <c r="G356" s="1" t="s">
        <v>72</v>
      </c>
      <c r="H356" s="1" t="s">
        <v>161</v>
      </c>
      <c r="I356" s="1" t="s">
        <v>146</v>
      </c>
      <c r="J356" s="2">
        <f>J357</f>
        <v>8607000</v>
      </c>
      <c r="K356" s="2">
        <f t="shared" ref="K356:U356" si="909">K357</f>
        <v>0</v>
      </c>
      <c r="L356" s="2">
        <f t="shared" si="909"/>
        <v>8607000</v>
      </c>
      <c r="M356" s="2">
        <f t="shared" si="909"/>
        <v>-860700</v>
      </c>
      <c r="N356" s="2">
        <f t="shared" si="909"/>
        <v>7746300</v>
      </c>
      <c r="O356" s="2">
        <f t="shared" si="909"/>
        <v>0</v>
      </c>
      <c r="P356" s="2">
        <f t="shared" si="909"/>
        <v>7746300</v>
      </c>
      <c r="Q356" s="2">
        <f t="shared" si="909"/>
        <v>0</v>
      </c>
      <c r="R356" s="2"/>
      <c r="S356" s="2"/>
      <c r="T356" s="2"/>
      <c r="U356" s="2">
        <f t="shared" si="909"/>
        <v>7746300</v>
      </c>
      <c r="V356" s="89"/>
    </row>
    <row r="357" spans="1:22" x14ac:dyDescent="0.25">
      <c r="A357" s="15"/>
      <c r="B357" s="323" t="s">
        <v>599</v>
      </c>
      <c r="C357" s="41"/>
      <c r="D357" s="324"/>
      <c r="E357" s="28">
        <v>853</v>
      </c>
      <c r="F357" s="1" t="s">
        <v>153</v>
      </c>
      <c r="G357" s="1" t="s">
        <v>72</v>
      </c>
      <c r="H357" s="1" t="s">
        <v>161</v>
      </c>
      <c r="I357" s="1" t="s">
        <v>580</v>
      </c>
      <c r="J357" s="2">
        <f>J358+J359</f>
        <v>8607000</v>
      </c>
      <c r="K357" s="2">
        <f t="shared" ref="K357:L357" si="910">K358+K359</f>
        <v>0</v>
      </c>
      <c r="L357" s="2">
        <f t="shared" si="910"/>
        <v>8607000</v>
      </c>
      <c r="M357" s="2">
        <f t="shared" ref="M357:N357" si="911">M358+M359</f>
        <v>-860700</v>
      </c>
      <c r="N357" s="2">
        <f t="shared" si="911"/>
        <v>7746300</v>
      </c>
      <c r="O357" s="2">
        <f t="shared" ref="O357:P357" si="912">O358+O359</f>
        <v>0</v>
      </c>
      <c r="P357" s="2">
        <f t="shared" si="912"/>
        <v>7746300</v>
      </c>
      <c r="Q357" s="2">
        <f t="shared" ref="Q357:U357" si="913">Q358+Q359</f>
        <v>0</v>
      </c>
      <c r="R357" s="2"/>
      <c r="S357" s="2"/>
      <c r="T357" s="2"/>
      <c r="U357" s="2">
        <f t="shared" si="913"/>
        <v>7746300</v>
      </c>
      <c r="V357" s="89"/>
    </row>
    <row r="358" spans="1:22" x14ac:dyDescent="0.25">
      <c r="A358" s="15"/>
      <c r="B358" s="321" t="s">
        <v>159</v>
      </c>
      <c r="C358" s="41"/>
      <c r="D358" s="322"/>
      <c r="E358" s="28">
        <v>853</v>
      </c>
      <c r="F358" s="1" t="s">
        <v>153</v>
      </c>
      <c r="G358" s="1" t="s">
        <v>72</v>
      </c>
      <c r="H358" s="1" t="s">
        <v>161</v>
      </c>
      <c r="I358" s="1" t="s">
        <v>598</v>
      </c>
      <c r="J358" s="2"/>
      <c r="K358" s="2">
        <v>8607000</v>
      </c>
      <c r="L358" s="2">
        <f t="shared" si="887"/>
        <v>8607000</v>
      </c>
      <c r="M358" s="2">
        <v>-860700</v>
      </c>
      <c r="N358" s="2">
        <f t="shared" ref="N358:N367" si="914">L358+M358</f>
        <v>7746300</v>
      </c>
      <c r="O358" s="2"/>
      <c r="P358" s="2">
        <f>N358+O358</f>
        <v>7746300</v>
      </c>
      <c r="Q358" s="2"/>
      <c r="R358" s="2"/>
      <c r="S358" s="2"/>
      <c r="T358" s="2"/>
      <c r="U358" s="2">
        <f t="shared" ref="U358:U359" si="915">P358+Q358</f>
        <v>7746300</v>
      </c>
      <c r="V358" s="89"/>
    </row>
    <row r="359" spans="1:22" x14ac:dyDescent="0.25">
      <c r="A359" s="15"/>
      <c r="B359" s="253" t="s">
        <v>157</v>
      </c>
      <c r="C359" s="40"/>
      <c r="D359" s="256"/>
      <c r="E359" s="28">
        <v>853</v>
      </c>
      <c r="F359" s="1" t="s">
        <v>153</v>
      </c>
      <c r="G359" s="1" t="s">
        <v>72</v>
      </c>
      <c r="H359" s="1" t="s">
        <v>161</v>
      </c>
      <c r="I359" s="1" t="s">
        <v>158</v>
      </c>
      <c r="J359" s="2">
        <v>8607000</v>
      </c>
      <c r="K359" s="2">
        <v>-8607000</v>
      </c>
      <c r="L359" s="2">
        <f t="shared" si="887"/>
        <v>0</v>
      </c>
      <c r="M359" s="2"/>
      <c r="N359" s="2">
        <f t="shared" si="914"/>
        <v>0</v>
      </c>
      <c r="O359" s="2"/>
      <c r="P359" s="2">
        <f>N359+O359</f>
        <v>0</v>
      </c>
      <c r="Q359" s="2"/>
      <c r="R359" s="2"/>
      <c r="S359" s="2"/>
      <c r="T359" s="2"/>
      <c r="U359" s="2">
        <f t="shared" si="915"/>
        <v>0</v>
      </c>
      <c r="V359" s="89"/>
    </row>
    <row r="360" spans="1:22" ht="12.75" x14ac:dyDescent="0.25">
      <c r="A360" s="522" t="s">
        <v>627</v>
      </c>
      <c r="B360" s="523"/>
      <c r="C360" s="91"/>
      <c r="D360" s="91"/>
      <c r="E360" s="28">
        <v>853</v>
      </c>
      <c r="F360" s="381" t="s">
        <v>153</v>
      </c>
      <c r="G360" s="381" t="s">
        <v>72</v>
      </c>
      <c r="H360" s="1" t="s">
        <v>628</v>
      </c>
      <c r="I360" s="381"/>
      <c r="J360" s="2"/>
      <c r="K360" s="2"/>
      <c r="L360" s="2">
        <f t="shared" ref="L360:N360" si="916">L361+L364</f>
        <v>0</v>
      </c>
      <c r="M360" s="2">
        <f t="shared" si="916"/>
        <v>200000</v>
      </c>
      <c r="N360" s="2">
        <f t="shared" si="916"/>
        <v>200000</v>
      </c>
      <c r="O360" s="2">
        <f t="shared" ref="O360:P360" si="917">O361+O364</f>
        <v>0</v>
      </c>
      <c r="P360" s="2">
        <f t="shared" si="917"/>
        <v>200000</v>
      </c>
      <c r="Q360" s="2">
        <f t="shared" ref="Q360:U360" si="918">Q361+Q364</f>
        <v>0</v>
      </c>
      <c r="R360" s="2"/>
      <c r="S360" s="2"/>
      <c r="T360" s="2"/>
      <c r="U360" s="2">
        <f t="shared" si="918"/>
        <v>200000</v>
      </c>
      <c r="V360" s="89"/>
    </row>
    <row r="361" spans="1:22" ht="12.75" x14ac:dyDescent="0.25">
      <c r="A361" s="367"/>
      <c r="B361" s="372" t="s">
        <v>145</v>
      </c>
      <c r="C361" s="91"/>
      <c r="D361" s="91"/>
      <c r="E361" s="28">
        <v>853</v>
      </c>
      <c r="F361" s="381" t="s">
        <v>153</v>
      </c>
      <c r="G361" s="381" t="s">
        <v>72</v>
      </c>
      <c r="H361" s="1" t="s">
        <v>628</v>
      </c>
      <c r="I361" s="381" t="s">
        <v>146</v>
      </c>
      <c r="J361" s="2"/>
      <c r="K361" s="2"/>
      <c r="L361" s="2">
        <f t="shared" ref="L361:N361" si="919">L363</f>
        <v>0</v>
      </c>
      <c r="M361" s="2">
        <f t="shared" si="919"/>
        <v>200000</v>
      </c>
      <c r="N361" s="2">
        <f t="shared" si="919"/>
        <v>200000</v>
      </c>
      <c r="O361" s="2">
        <f t="shared" ref="O361:P361" si="920">O363</f>
        <v>0</v>
      </c>
      <c r="P361" s="2">
        <f t="shared" si="920"/>
        <v>200000</v>
      </c>
      <c r="Q361" s="2">
        <f t="shared" ref="Q361:U361" si="921">Q363</f>
        <v>0</v>
      </c>
      <c r="R361" s="2"/>
      <c r="S361" s="2"/>
      <c r="T361" s="2"/>
      <c r="U361" s="2">
        <f t="shared" si="921"/>
        <v>200000</v>
      </c>
      <c r="V361" s="89"/>
    </row>
    <row r="362" spans="1:22" ht="12.75" x14ac:dyDescent="0.25">
      <c r="A362" s="376"/>
      <c r="B362" s="377" t="s">
        <v>599</v>
      </c>
      <c r="C362" s="91"/>
      <c r="D362" s="91"/>
      <c r="E362" s="28">
        <v>853</v>
      </c>
      <c r="F362" s="381" t="s">
        <v>153</v>
      </c>
      <c r="G362" s="381" t="s">
        <v>72</v>
      </c>
      <c r="H362" s="1" t="s">
        <v>628</v>
      </c>
      <c r="I362" s="381" t="s">
        <v>580</v>
      </c>
      <c r="J362" s="2"/>
      <c r="K362" s="2"/>
      <c r="L362" s="2">
        <f>L363</f>
        <v>0</v>
      </c>
      <c r="M362" s="2">
        <f t="shared" ref="M362:U362" si="922">M363</f>
        <v>200000</v>
      </c>
      <c r="N362" s="2">
        <f t="shared" si="922"/>
        <v>200000</v>
      </c>
      <c r="O362" s="2">
        <f t="shared" si="922"/>
        <v>0</v>
      </c>
      <c r="P362" s="2">
        <f t="shared" si="922"/>
        <v>200000</v>
      </c>
      <c r="Q362" s="2">
        <f t="shared" si="922"/>
        <v>0</v>
      </c>
      <c r="R362" s="2"/>
      <c r="S362" s="2"/>
      <c r="T362" s="2"/>
      <c r="U362" s="2">
        <f t="shared" si="922"/>
        <v>200000</v>
      </c>
      <c r="V362" s="89"/>
    </row>
    <row r="363" spans="1:22" ht="12.75" x14ac:dyDescent="0.25">
      <c r="A363" s="367"/>
      <c r="B363" s="363" t="s">
        <v>159</v>
      </c>
      <c r="C363" s="91"/>
      <c r="D363" s="91"/>
      <c r="E363" s="28">
        <v>853</v>
      </c>
      <c r="F363" s="381" t="s">
        <v>153</v>
      </c>
      <c r="G363" s="381" t="s">
        <v>72</v>
      </c>
      <c r="H363" s="1" t="s">
        <v>628</v>
      </c>
      <c r="I363" s="381" t="s">
        <v>598</v>
      </c>
      <c r="J363" s="2"/>
      <c r="K363" s="2"/>
      <c r="L363" s="2">
        <v>0</v>
      </c>
      <c r="M363" s="2">
        <v>200000</v>
      </c>
      <c r="N363" s="2">
        <f t="shared" ref="N363" si="923">L363+M363</f>
        <v>200000</v>
      </c>
      <c r="O363" s="2"/>
      <c r="P363" s="2">
        <f>N363+O363</f>
        <v>200000</v>
      </c>
      <c r="Q363" s="2"/>
      <c r="R363" s="2"/>
      <c r="S363" s="2"/>
      <c r="T363" s="2"/>
      <c r="U363" s="2">
        <f t="shared" ref="U363:U367" si="924">P363+Q363</f>
        <v>200000</v>
      </c>
      <c r="V363" s="89"/>
    </row>
    <row r="364" spans="1:22" ht="15" customHeight="1" x14ac:dyDescent="0.25">
      <c r="A364" s="508" t="s">
        <v>167</v>
      </c>
      <c r="B364" s="508"/>
      <c r="E364" s="179">
        <v>853</v>
      </c>
      <c r="F364" s="378" t="s">
        <v>168</v>
      </c>
      <c r="G364" s="379" t="s">
        <v>151</v>
      </c>
      <c r="H364" s="262" t="s">
        <v>151</v>
      </c>
      <c r="I364" s="262" t="s">
        <v>151</v>
      </c>
      <c r="J364" s="12">
        <f t="shared" ref="J364:Q366" si="925">J365</f>
        <v>0</v>
      </c>
      <c r="K364" s="12">
        <f t="shared" si="925"/>
        <v>0</v>
      </c>
      <c r="L364" s="2">
        <f t="shared" si="887"/>
        <v>0</v>
      </c>
      <c r="M364" s="12">
        <f t="shared" si="925"/>
        <v>0</v>
      </c>
      <c r="N364" s="2">
        <f t="shared" si="914"/>
        <v>0</v>
      </c>
      <c r="O364" s="12">
        <f t="shared" si="925"/>
        <v>0</v>
      </c>
      <c r="P364" s="2">
        <f>N364+O364</f>
        <v>0</v>
      </c>
      <c r="Q364" s="12">
        <f t="shared" si="925"/>
        <v>0</v>
      </c>
      <c r="R364" s="12"/>
      <c r="S364" s="12"/>
      <c r="T364" s="12"/>
      <c r="U364" s="2">
        <f t="shared" si="924"/>
        <v>0</v>
      </c>
      <c r="V364" s="89"/>
    </row>
    <row r="365" spans="1:22" ht="15" customHeight="1" x14ac:dyDescent="0.25">
      <c r="A365" s="508" t="s">
        <v>167</v>
      </c>
      <c r="B365" s="508"/>
      <c r="E365" s="28">
        <v>853</v>
      </c>
      <c r="F365" s="110" t="s">
        <v>168</v>
      </c>
      <c r="G365" s="207" t="s">
        <v>168</v>
      </c>
      <c r="H365" s="262" t="s">
        <v>151</v>
      </c>
      <c r="I365" s="262" t="s">
        <v>151</v>
      </c>
      <c r="J365" s="12">
        <f t="shared" si="925"/>
        <v>0</v>
      </c>
      <c r="K365" s="12">
        <f t="shared" si="925"/>
        <v>0</v>
      </c>
      <c r="L365" s="2">
        <f t="shared" si="887"/>
        <v>0</v>
      </c>
      <c r="M365" s="12">
        <f t="shared" si="925"/>
        <v>0</v>
      </c>
      <c r="N365" s="2">
        <f t="shared" si="914"/>
        <v>0</v>
      </c>
      <c r="O365" s="12">
        <f t="shared" si="925"/>
        <v>0</v>
      </c>
      <c r="P365" s="2">
        <f>N365+O365</f>
        <v>0</v>
      </c>
      <c r="Q365" s="12">
        <f t="shared" si="925"/>
        <v>0</v>
      </c>
      <c r="R365" s="12"/>
      <c r="S365" s="12"/>
      <c r="T365" s="12"/>
      <c r="U365" s="2">
        <f t="shared" si="924"/>
        <v>0</v>
      </c>
      <c r="V365" s="89"/>
    </row>
    <row r="366" spans="1:22" x14ac:dyDescent="0.25">
      <c r="A366" s="15"/>
      <c r="B366" s="253" t="s">
        <v>167</v>
      </c>
      <c r="E366" s="28">
        <v>853</v>
      </c>
      <c r="F366" s="111" t="s">
        <v>168</v>
      </c>
      <c r="G366" s="112" t="s">
        <v>168</v>
      </c>
      <c r="H366" s="219" t="s">
        <v>169</v>
      </c>
      <c r="I366" s="252" t="s">
        <v>151</v>
      </c>
      <c r="J366" s="2">
        <f t="shared" si="925"/>
        <v>0</v>
      </c>
      <c r="K366" s="2">
        <f t="shared" si="925"/>
        <v>0</v>
      </c>
      <c r="L366" s="2">
        <f t="shared" si="887"/>
        <v>0</v>
      </c>
      <c r="M366" s="2">
        <f t="shared" si="925"/>
        <v>0</v>
      </c>
      <c r="N366" s="2">
        <f t="shared" si="914"/>
        <v>0</v>
      </c>
      <c r="O366" s="2">
        <f t="shared" si="925"/>
        <v>0</v>
      </c>
      <c r="P366" s="2">
        <f>N366+O366</f>
        <v>0</v>
      </c>
      <c r="Q366" s="2">
        <f t="shared" si="925"/>
        <v>0</v>
      </c>
      <c r="R366" s="2"/>
      <c r="S366" s="2"/>
      <c r="T366" s="2"/>
      <c r="U366" s="2">
        <f t="shared" si="924"/>
        <v>0</v>
      </c>
      <c r="V366" s="89"/>
    </row>
    <row r="367" spans="1:22" x14ac:dyDescent="0.25">
      <c r="A367" s="15"/>
      <c r="B367" s="253" t="s">
        <v>167</v>
      </c>
      <c r="E367" s="28">
        <v>853</v>
      </c>
      <c r="F367" s="111" t="s">
        <v>168</v>
      </c>
      <c r="G367" s="112" t="s">
        <v>168</v>
      </c>
      <c r="H367" s="219" t="s">
        <v>169</v>
      </c>
      <c r="I367" s="219" t="s">
        <v>170</v>
      </c>
      <c r="J367" s="2"/>
      <c r="K367" s="2"/>
      <c r="L367" s="2">
        <f t="shared" si="887"/>
        <v>0</v>
      </c>
      <c r="M367" s="2"/>
      <c r="N367" s="2">
        <f t="shared" si="914"/>
        <v>0</v>
      </c>
      <c r="O367" s="2"/>
      <c r="P367" s="2">
        <f>N367+O367</f>
        <v>0</v>
      </c>
      <c r="Q367" s="2"/>
      <c r="R367" s="2"/>
      <c r="S367" s="2"/>
      <c r="T367" s="2"/>
      <c r="U367" s="2">
        <f t="shared" si="924"/>
        <v>0</v>
      </c>
      <c r="V367" s="89"/>
    </row>
    <row r="368" spans="1:22" s="10" customFormat="1" ht="17.25" customHeight="1" x14ac:dyDescent="0.25">
      <c r="A368" s="529" t="s">
        <v>162</v>
      </c>
      <c r="B368" s="529"/>
      <c r="C368" s="39"/>
      <c r="D368" s="39"/>
      <c r="E368" s="264">
        <v>854</v>
      </c>
      <c r="F368" s="266"/>
      <c r="G368" s="7"/>
      <c r="H368" s="7"/>
      <c r="I368" s="7"/>
      <c r="J368" s="8">
        <f t="shared" ref="J368:U368" si="926">J369</f>
        <v>1416920</v>
      </c>
      <c r="K368" s="8">
        <f t="shared" si="926"/>
        <v>0</v>
      </c>
      <c r="L368" s="8">
        <f t="shared" si="926"/>
        <v>1416920</v>
      </c>
      <c r="M368" s="8">
        <f t="shared" si="926"/>
        <v>0</v>
      </c>
      <c r="N368" s="8">
        <f t="shared" si="926"/>
        <v>1416920</v>
      </c>
      <c r="O368" s="8">
        <f t="shared" si="926"/>
        <v>0</v>
      </c>
      <c r="P368" s="8">
        <f t="shared" si="926"/>
        <v>1416920</v>
      </c>
      <c r="Q368" s="8">
        <f t="shared" si="926"/>
        <v>0</v>
      </c>
      <c r="R368" s="8"/>
      <c r="S368" s="8"/>
      <c r="T368" s="8"/>
      <c r="U368" s="8">
        <f t="shared" si="926"/>
        <v>1416920</v>
      </c>
      <c r="V368" s="435"/>
    </row>
    <row r="369" spans="1:22" s="10" customFormat="1" x14ac:dyDescent="0.25">
      <c r="A369" s="503" t="s">
        <v>16</v>
      </c>
      <c r="B369" s="503"/>
      <c r="C369" s="284"/>
      <c r="D369" s="284"/>
      <c r="E369" s="294">
        <v>854</v>
      </c>
      <c r="F369" s="7" t="s">
        <v>17</v>
      </c>
      <c r="G369" s="7"/>
      <c r="H369" s="7"/>
      <c r="I369" s="7"/>
      <c r="J369" s="8">
        <f>J370+J374</f>
        <v>1416920</v>
      </c>
      <c r="K369" s="8">
        <f t="shared" ref="K369:L369" si="927">K370+K374</f>
        <v>0</v>
      </c>
      <c r="L369" s="8">
        <f t="shared" si="927"/>
        <v>1416920</v>
      </c>
      <c r="M369" s="8">
        <f t="shared" ref="M369:N369" si="928">M370+M374</f>
        <v>0</v>
      </c>
      <c r="N369" s="8">
        <f t="shared" si="928"/>
        <v>1416920</v>
      </c>
      <c r="O369" s="8">
        <f t="shared" ref="O369:P369" si="929">O370+O374</f>
        <v>0</v>
      </c>
      <c r="P369" s="8">
        <f t="shared" si="929"/>
        <v>1416920</v>
      </c>
      <c r="Q369" s="8">
        <f t="shared" ref="Q369:U369" si="930">Q370+Q374</f>
        <v>0</v>
      </c>
      <c r="R369" s="8"/>
      <c r="S369" s="8"/>
      <c r="T369" s="8"/>
      <c r="U369" s="8">
        <f t="shared" si="930"/>
        <v>1416920</v>
      </c>
      <c r="V369" s="435"/>
    </row>
    <row r="370" spans="1:22" s="10" customFormat="1" ht="24" customHeight="1" x14ac:dyDescent="0.25">
      <c r="A370" s="514" t="s">
        <v>453</v>
      </c>
      <c r="B370" s="515"/>
      <c r="C370" s="261"/>
      <c r="D370" s="261"/>
      <c r="E370" s="219">
        <v>854</v>
      </c>
      <c r="F370" s="11" t="s">
        <v>17</v>
      </c>
      <c r="G370" s="11" t="s">
        <v>72</v>
      </c>
      <c r="H370" s="11"/>
      <c r="I370" s="11"/>
      <c r="J370" s="12">
        <f t="shared" ref="J370:U372" si="931">J371</f>
        <v>789500</v>
      </c>
      <c r="K370" s="12">
        <f t="shared" si="931"/>
        <v>0</v>
      </c>
      <c r="L370" s="12">
        <f t="shared" si="931"/>
        <v>789500</v>
      </c>
      <c r="M370" s="12">
        <f t="shared" si="931"/>
        <v>0</v>
      </c>
      <c r="N370" s="12">
        <f t="shared" si="931"/>
        <v>789500</v>
      </c>
      <c r="O370" s="12">
        <f t="shared" si="931"/>
        <v>0</v>
      </c>
      <c r="P370" s="12">
        <f t="shared" si="931"/>
        <v>789500</v>
      </c>
      <c r="Q370" s="12">
        <f t="shared" si="931"/>
        <v>0</v>
      </c>
      <c r="R370" s="12"/>
      <c r="S370" s="12"/>
      <c r="T370" s="12"/>
      <c r="U370" s="12">
        <f t="shared" si="931"/>
        <v>789500</v>
      </c>
      <c r="V370" s="435"/>
    </row>
    <row r="371" spans="1:22" x14ac:dyDescent="0.25">
      <c r="A371" s="516" t="s">
        <v>454</v>
      </c>
      <c r="B371" s="517"/>
      <c r="C371" s="253"/>
      <c r="D371" s="253"/>
      <c r="E371" s="219">
        <v>854</v>
      </c>
      <c r="F371" s="1" t="s">
        <v>22</v>
      </c>
      <c r="G371" s="1" t="s">
        <v>72</v>
      </c>
      <c r="H371" s="1" t="s">
        <v>455</v>
      </c>
      <c r="I371" s="1"/>
      <c r="J371" s="2">
        <f t="shared" si="931"/>
        <v>789500</v>
      </c>
      <c r="K371" s="2">
        <f t="shared" si="931"/>
        <v>0</v>
      </c>
      <c r="L371" s="2">
        <f t="shared" si="931"/>
        <v>789500</v>
      </c>
      <c r="M371" s="2">
        <f t="shared" si="931"/>
        <v>0</v>
      </c>
      <c r="N371" s="2">
        <f t="shared" si="931"/>
        <v>789500</v>
      </c>
      <c r="O371" s="2">
        <f t="shared" si="931"/>
        <v>0</v>
      </c>
      <c r="P371" s="2">
        <f>P372</f>
        <v>789500</v>
      </c>
      <c r="Q371" s="2">
        <f t="shared" si="931"/>
        <v>0</v>
      </c>
      <c r="R371" s="2"/>
      <c r="S371" s="2"/>
      <c r="T371" s="2"/>
      <c r="U371" s="2">
        <f t="shared" si="931"/>
        <v>789500</v>
      </c>
      <c r="V371" s="89"/>
    </row>
    <row r="372" spans="1:22" s="10" customFormat="1" ht="38.25" customHeight="1" x14ac:dyDescent="0.25">
      <c r="A372" s="261"/>
      <c r="B372" s="252" t="s">
        <v>21</v>
      </c>
      <c r="C372" s="261"/>
      <c r="D372" s="261"/>
      <c r="E372" s="219">
        <v>854</v>
      </c>
      <c r="F372" s="1" t="s">
        <v>17</v>
      </c>
      <c r="G372" s="1" t="s">
        <v>72</v>
      </c>
      <c r="H372" s="1" t="s">
        <v>455</v>
      </c>
      <c r="I372" s="1" t="s">
        <v>23</v>
      </c>
      <c r="J372" s="2">
        <f t="shared" si="931"/>
        <v>789500</v>
      </c>
      <c r="K372" s="2">
        <f t="shared" si="931"/>
        <v>0</v>
      </c>
      <c r="L372" s="2">
        <f t="shared" si="931"/>
        <v>789500</v>
      </c>
      <c r="M372" s="2">
        <f t="shared" si="931"/>
        <v>0</v>
      </c>
      <c r="N372" s="2">
        <f t="shared" si="931"/>
        <v>789500</v>
      </c>
      <c r="O372" s="2">
        <f t="shared" si="931"/>
        <v>0</v>
      </c>
      <c r="P372" s="2">
        <f>P373</f>
        <v>789500</v>
      </c>
      <c r="Q372" s="2">
        <f t="shared" si="931"/>
        <v>0</v>
      </c>
      <c r="R372" s="2"/>
      <c r="S372" s="2"/>
      <c r="T372" s="2"/>
      <c r="U372" s="2">
        <f t="shared" si="931"/>
        <v>789500</v>
      </c>
      <c r="V372" s="435"/>
    </row>
    <row r="373" spans="1:22" s="10" customFormat="1" ht="14.25" customHeight="1" x14ac:dyDescent="0.25">
      <c r="A373" s="261"/>
      <c r="B373" s="252" t="s">
        <v>24</v>
      </c>
      <c r="C373" s="261"/>
      <c r="D373" s="261"/>
      <c r="E373" s="219">
        <v>854</v>
      </c>
      <c r="F373" s="1" t="s">
        <v>17</v>
      </c>
      <c r="G373" s="1" t="s">
        <v>72</v>
      </c>
      <c r="H373" s="1" t="s">
        <v>455</v>
      </c>
      <c r="I373" s="1" t="s">
        <v>25</v>
      </c>
      <c r="J373" s="2">
        <f>759700+29800</f>
        <v>789500</v>
      </c>
      <c r="K373" s="2"/>
      <c r="L373" s="2">
        <f t="shared" si="887"/>
        <v>789500</v>
      </c>
      <c r="M373" s="2"/>
      <c r="N373" s="2">
        <f t="shared" ref="N373" si="932">L373+M373</f>
        <v>789500</v>
      </c>
      <c r="O373" s="2"/>
      <c r="P373" s="2">
        <f>N373+O373</f>
        <v>789500</v>
      </c>
      <c r="Q373" s="2"/>
      <c r="R373" s="2"/>
      <c r="S373" s="2"/>
      <c r="T373" s="2"/>
      <c r="U373" s="2">
        <f t="shared" ref="U373" si="933">P373+Q373</f>
        <v>789500</v>
      </c>
      <c r="V373" s="435"/>
    </row>
    <row r="374" spans="1:22" s="13" customFormat="1" ht="39" customHeight="1" x14ac:dyDescent="0.25">
      <c r="A374" s="508" t="s">
        <v>163</v>
      </c>
      <c r="B374" s="508"/>
      <c r="C374" s="265"/>
      <c r="D374" s="265"/>
      <c r="E374" s="219">
        <v>854</v>
      </c>
      <c r="F374" s="11" t="s">
        <v>17</v>
      </c>
      <c r="G374" s="11" t="s">
        <v>3</v>
      </c>
      <c r="H374" s="11"/>
      <c r="I374" s="11"/>
      <c r="J374" s="12">
        <f t="shared" ref="J374:U374" si="934">J375</f>
        <v>627420</v>
      </c>
      <c r="K374" s="12">
        <f t="shared" si="934"/>
        <v>0</v>
      </c>
      <c r="L374" s="12">
        <f t="shared" si="934"/>
        <v>627420</v>
      </c>
      <c r="M374" s="12">
        <f t="shared" si="934"/>
        <v>0</v>
      </c>
      <c r="N374" s="12">
        <f t="shared" si="934"/>
        <v>627420</v>
      </c>
      <c r="O374" s="12">
        <f t="shared" si="934"/>
        <v>0</v>
      </c>
      <c r="P374" s="12">
        <f t="shared" si="934"/>
        <v>627420</v>
      </c>
      <c r="Q374" s="12">
        <f t="shared" si="934"/>
        <v>0</v>
      </c>
      <c r="R374" s="12"/>
      <c r="S374" s="12"/>
      <c r="T374" s="12"/>
      <c r="U374" s="12">
        <f t="shared" si="934"/>
        <v>627420</v>
      </c>
      <c r="V374" s="31"/>
    </row>
    <row r="375" spans="1:22" ht="24.75" customHeight="1" x14ac:dyDescent="0.25">
      <c r="A375" s="509" t="s">
        <v>26</v>
      </c>
      <c r="B375" s="509"/>
      <c r="C375" s="219"/>
      <c r="D375" s="219"/>
      <c r="E375" s="219">
        <v>854</v>
      </c>
      <c r="F375" s="1" t="s">
        <v>22</v>
      </c>
      <c r="G375" s="1" t="s">
        <v>3</v>
      </c>
      <c r="H375" s="1" t="s">
        <v>432</v>
      </c>
      <c r="I375" s="1"/>
      <c r="J375" s="2">
        <f>J376+J378+J380</f>
        <v>627420</v>
      </c>
      <c r="K375" s="2">
        <f t="shared" ref="K375:U375" si="935">K376+K378+K380</f>
        <v>0</v>
      </c>
      <c r="L375" s="2">
        <f t="shared" si="935"/>
        <v>627420</v>
      </c>
      <c r="M375" s="2">
        <f t="shared" si="935"/>
        <v>0</v>
      </c>
      <c r="N375" s="2">
        <f t="shared" si="935"/>
        <v>627420</v>
      </c>
      <c r="O375" s="2">
        <f t="shared" si="935"/>
        <v>0</v>
      </c>
      <c r="P375" s="2">
        <f t="shared" si="935"/>
        <v>627420</v>
      </c>
      <c r="Q375" s="2">
        <f t="shared" si="935"/>
        <v>0</v>
      </c>
      <c r="R375" s="2"/>
      <c r="S375" s="2"/>
      <c r="T375" s="2"/>
      <c r="U375" s="2">
        <f t="shared" si="935"/>
        <v>627420</v>
      </c>
      <c r="V375" s="89"/>
    </row>
    <row r="376" spans="1:22" ht="38.25" customHeight="1" x14ac:dyDescent="0.25">
      <c r="A376" s="15"/>
      <c r="B376" s="252" t="s">
        <v>21</v>
      </c>
      <c r="C376" s="219"/>
      <c r="D376" s="219"/>
      <c r="E376" s="219">
        <v>854</v>
      </c>
      <c r="F376" s="1" t="s">
        <v>17</v>
      </c>
      <c r="G376" s="1" t="s">
        <v>3</v>
      </c>
      <c r="H376" s="1" t="s">
        <v>432</v>
      </c>
      <c r="I376" s="1" t="s">
        <v>23</v>
      </c>
      <c r="J376" s="2">
        <f t="shared" ref="J376:O376" si="936">J377</f>
        <v>418200</v>
      </c>
      <c r="K376" s="2">
        <f t="shared" si="936"/>
        <v>0</v>
      </c>
      <c r="L376" s="2">
        <f t="shared" si="936"/>
        <v>418200</v>
      </c>
      <c r="M376" s="2">
        <f t="shared" si="936"/>
        <v>0</v>
      </c>
      <c r="N376" s="2">
        <f t="shared" si="936"/>
        <v>418200</v>
      </c>
      <c r="O376" s="2">
        <f t="shared" si="936"/>
        <v>0</v>
      </c>
      <c r="P376" s="2">
        <f>P377</f>
        <v>418200</v>
      </c>
      <c r="Q376" s="2">
        <f t="shared" ref="Q376:U376" si="937">Q377</f>
        <v>0</v>
      </c>
      <c r="R376" s="2"/>
      <c r="S376" s="2"/>
      <c r="T376" s="2"/>
      <c r="U376" s="2">
        <f t="shared" si="937"/>
        <v>418200</v>
      </c>
      <c r="V376" s="89"/>
    </row>
    <row r="377" spans="1:22" ht="15" customHeight="1" x14ac:dyDescent="0.25">
      <c r="A377" s="15"/>
      <c r="B377" s="252" t="s">
        <v>24</v>
      </c>
      <c r="C377" s="219"/>
      <c r="D377" s="219"/>
      <c r="E377" s="219">
        <v>854</v>
      </c>
      <c r="F377" s="1" t="s">
        <v>17</v>
      </c>
      <c r="G377" s="1" t="s">
        <v>3</v>
      </c>
      <c r="H377" s="1" t="s">
        <v>432</v>
      </c>
      <c r="I377" s="1" t="s">
        <v>25</v>
      </c>
      <c r="J377" s="2">
        <f>230300+187900</f>
        <v>418200</v>
      </c>
      <c r="K377" s="2"/>
      <c r="L377" s="2">
        <f t="shared" si="887"/>
        <v>418200</v>
      </c>
      <c r="M377" s="2"/>
      <c r="N377" s="2">
        <f t="shared" ref="N377:N381" si="938">L377+M377</f>
        <v>418200</v>
      </c>
      <c r="O377" s="2"/>
      <c r="P377" s="2">
        <f>N377+O377</f>
        <v>418200</v>
      </c>
      <c r="Q377" s="2"/>
      <c r="R377" s="2"/>
      <c r="S377" s="2"/>
      <c r="T377" s="2"/>
      <c r="U377" s="2">
        <f t="shared" ref="U377:U381" si="939">P377+Q377</f>
        <v>418200</v>
      </c>
      <c r="V377" s="89"/>
    </row>
    <row r="378" spans="1:22" ht="15" customHeight="1" x14ac:dyDescent="0.25">
      <c r="A378" s="15"/>
      <c r="B378" s="253" t="s">
        <v>27</v>
      </c>
      <c r="C378" s="219"/>
      <c r="D378" s="219"/>
      <c r="E378" s="219">
        <v>854</v>
      </c>
      <c r="F378" s="1" t="s">
        <v>17</v>
      </c>
      <c r="G378" s="1" t="s">
        <v>3</v>
      </c>
      <c r="H378" s="1" t="s">
        <v>432</v>
      </c>
      <c r="I378" s="1" t="s">
        <v>28</v>
      </c>
      <c r="J378" s="2">
        <f t="shared" ref="J378:O378" si="940">J379</f>
        <v>208700</v>
      </c>
      <c r="K378" s="2">
        <f t="shared" si="940"/>
        <v>0</v>
      </c>
      <c r="L378" s="2">
        <f t="shared" si="940"/>
        <v>208700</v>
      </c>
      <c r="M378" s="2">
        <f t="shared" si="940"/>
        <v>0</v>
      </c>
      <c r="N378" s="2">
        <f t="shared" si="940"/>
        <v>208700</v>
      </c>
      <c r="O378" s="2">
        <f t="shared" si="940"/>
        <v>0</v>
      </c>
      <c r="P378" s="2">
        <f>P379</f>
        <v>208700</v>
      </c>
      <c r="Q378" s="2">
        <f t="shared" ref="Q378:U378" si="941">Q379</f>
        <v>0</v>
      </c>
      <c r="R378" s="2"/>
      <c r="S378" s="2"/>
      <c r="T378" s="2"/>
      <c r="U378" s="2">
        <f t="shared" si="941"/>
        <v>208700</v>
      </c>
      <c r="V378" s="89"/>
    </row>
    <row r="379" spans="1:22" ht="24.75" customHeight="1" x14ac:dyDescent="0.25">
      <c r="A379" s="15"/>
      <c r="B379" s="253" t="s">
        <v>29</v>
      </c>
      <c r="C379" s="219"/>
      <c r="D379" s="219"/>
      <c r="E379" s="219">
        <v>854</v>
      </c>
      <c r="F379" s="1" t="s">
        <v>17</v>
      </c>
      <c r="G379" s="1" t="s">
        <v>3</v>
      </c>
      <c r="H379" s="1" t="s">
        <v>432</v>
      </c>
      <c r="I379" s="1" t="s">
        <v>30</v>
      </c>
      <c r="J379" s="2">
        <f>54800+150720+3500-320</f>
        <v>208700</v>
      </c>
      <c r="K379" s="2"/>
      <c r="L379" s="2">
        <f t="shared" si="887"/>
        <v>208700</v>
      </c>
      <c r="M379" s="2"/>
      <c r="N379" s="2">
        <f t="shared" si="938"/>
        <v>208700</v>
      </c>
      <c r="O379" s="2"/>
      <c r="P379" s="2">
        <f>N379+O379</f>
        <v>208700</v>
      </c>
      <c r="Q379" s="2"/>
      <c r="R379" s="2"/>
      <c r="S379" s="2"/>
      <c r="T379" s="2"/>
      <c r="U379" s="2">
        <f t="shared" si="939"/>
        <v>208700</v>
      </c>
      <c r="V379" s="89"/>
    </row>
    <row r="380" spans="1:22" x14ac:dyDescent="0.25">
      <c r="A380" s="15"/>
      <c r="B380" s="253" t="s">
        <v>31</v>
      </c>
      <c r="C380" s="219"/>
      <c r="D380" s="219"/>
      <c r="E380" s="219">
        <v>854</v>
      </c>
      <c r="F380" s="1" t="s">
        <v>17</v>
      </c>
      <c r="G380" s="1" t="s">
        <v>3</v>
      </c>
      <c r="H380" s="1" t="s">
        <v>432</v>
      </c>
      <c r="I380" s="1" t="s">
        <v>32</v>
      </c>
      <c r="J380" s="2">
        <f t="shared" ref="J380:O380" si="942">J381</f>
        <v>520</v>
      </c>
      <c r="K380" s="2">
        <f t="shared" si="942"/>
        <v>0</v>
      </c>
      <c r="L380" s="2">
        <f t="shared" si="942"/>
        <v>520</v>
      </c>
      <c r="M380" s="2">
        <f t="shared" si="942"/>
        <v>0</v>
      </c>
      <c r="N380" s="2">
        <f t="shared" si="942"/>
        <v>520</v>
      </c>
      <c r="O380" s="2">
        <f t="shared" si="942"/>
        <v>0</v>
      </c>
      <c r="P380" s="2">
        <f>P381</f>
        <v>520</v>
      </c>
      <c r="Q380" s="2">
        <f t="shared" ref="Q380:U380" si="943">Q381</f>
        <v>0</v>
      </c>
      <c r="R380" s="2"/>
      <c r="S380" s="2"/>
      <c r="T380" s="2"/>
      <c r="U380" s="2">
        <f t="shared" si="943"/>
        <v>520</v>
      </c>
      <c r="V380" s="89"/>
    </row>
    <row r="381" spans="1:22" x14ac:dyDescent="0.25">
      <c r="A381" s="15"/>
      <c r="B381" s="252" t="s">
        <v>466</v>
      </c>
      <c r="C381" s="253"/>
      <c r="D381" s="253"/>
      <c r="E381" s="219">
        <v>854</v>
      </c>
      <c r="F381" s="1" t="s">
        <v>17</v>
      </c>
      <c r="G381" s="1" t="s">
        <v>3</v>
      </c>
      <c r="H381" s="1" t="s">
        <v>432</v>
      </c>
      <c r="I381" s="1" t="s">
        <v>35</v>
      </c>
      <c r="J381" s="2">
        <f>200+320</f>
        <v>520</v>
      </c>
      <c r="K381" s="2"/>
      <c r="L381" s="2">
        <f t="shared" si="887"/>
        <v>520</v>
      </c>
      <c r="M381" s="2"/>
      <c r="N381" s="2">
        <f t="shared" si="938"/>
        <v>520</v>
      </c>
      <c r="O381" s="2"/>
      <c r="P381" s="2">
        <f>N381+O381</f>
        <v>520</v>
      </c>
      <c r="Q381" s="2"/>
      <c r="R381" s="2"/>
      <c r="S381" s="2"/>
      <c r="T381" s="2"/>
      <c r="U381" s="2">
        <f t="shared" si="939"/>
        <v>520</v>
      </c>
      <c r="V381" s="89"/>
    </row>
    <row r="382" spans="1:22" s="10" customFormat="1" ht="17.25" customHeight="1" x14ac:dyDescent="0.25">
      <c r="A382" s="529" t="s">
        <v>575</v>
      </c>
      <c r="B382" s="529"/>
      <c r="C382" s="39"/>
      <c r="D382" s="39"/>
      <c r="E382" s="288">
        <v>857</v>
      </c>
      <c r="F382" s="290"/>
      <c r="G382" s="7"/>
      <c r="H382" s="7"/>
      <c r="I382" s="7"/>
      <c r="J382" s="8">
        <f t="shared" ref="J382:U383" si="944">J383</f>
        <v>506700</v>
      </c>
      <c r="K382" s="8">
        <f t="shared" si="944"/>
        <v>0</v>
      </c>
      <c r="L382" s="8">
        <f t="shared" si="944"/>
        <v>506700</v>
      </c>
      <c r="M382" s="8">
        <f t="shared" si="944"/>
        <v>0</v>
      </c>
      <c r="N382" s="8">
        <f t="shared" si="944"/>
        <v>506700</v>
      </c>
      <c r="O382" s="8">
        <f t="shared" si="944"/>
        <v>0</v>
      </c>
      <c r="P382" s="8">
        <f t="shared" si="944"/>
        <v>506700</v>
      </c>
      <c r="Q382" s="8">
        <f t="shared" si="944"/>
        <v>0</v>
      </c>
      <c r="R382" s="8"/>
      <c r="S382" s="8"/>
      <c r="T382" s="8"/>
      <c r="U382" s="8">
        <f t="shared" si="944"/>
        <v>506700</v>
      </c>
      <c r="V382" s="435"/>
    </row>
    <row r="383" spans="1:22" s="10" customFormat="1" x14ac:dyDescent="0.25">
      <c r="A383" s="503" t="s">
        <v>16</v>
      </c>
      <c r="B383" s="503"/>
      <c r="C383" s="284"/>
      <c r="D383" s="284"/>
      <c r="E383" s="288">
        <v>857</v>
      </c>
      <c r="F383" s="7" t="s">
        <v>17</v>
      </c>
      <c r="G383" s="7"/>
      <c r="H383" s="7"/>
      <c r="I383" s="7"/>
      <c r="J383" s="8">
        <f>J384</f>
        <v>506700</v>
      </c>
      <c r="K383" s="8">
        <f t="shared" si="944"/>
        <v>0</v>
      </c>
      <c r="L383" s="8">
        <f t="shared" si="944"/>
        <v>506700</v>
      </c>
      <c r="M383" s="8">
        <f t="shared" si="944"/>
        <v>0</v>
      </c>
      <c r="N383" s="8">
        <f t="shared" si="944"/>
        <v>506700</v>
      </c>
      <c r="O383" s="8">
        <f t="shared" si="944"/>
        <v>0</v>
      </c>
      <c r="P383" s="8">
        <f t="shared" si="944"/>
        <v>506700</v>
      </c>
      <c r="Q383" s="8">
        <f t="shared" si="944"/>
        <v>0</v>
      </c>
      <c r="R383" s="8"/>
      <c r="S383" s="8"/>
      <c r="T383" s="8"/>
      <c r="U383" s="8">
        <f t="shared" si="944"/>
        <v>506700</v>
      </c>
      <c r="V383" s="435"/>
    </row>
    <row r="384" spans="1:22" s="13" customFormat="1" ht="27" customHeight="1" x14ac:dyDescent="0.25">
      <c r="A384" s="508" t="s">
        <v>144</v>
      </c>
      <c r="B384" s="508"/>
      <c r="C384" s="285"/>
      <c r="D384" s="285"/>
      <c r="E384" s="219">
        <v>857</v>
      </c>
      <c r="F384" s="11" t="s">
        <v>17</v>
      </c>
      <c r="G384" s="11" t="s">
        <v>1</v>
      </c>
      <c r="H384" s="11"/>
      <c r="I384" s="11"/>
      <c r="J384" s="12">
        <f>J385+J391</f>
        <v>506700</v>
      </c>
      <c r="K384" s="12">
        <f t="shared" ref="K384:L384" si="945">K385+K391</f>
        <v>0</v>
      </c>
      <c r="L384" s="12">
        <f t="shared" si="945"/>
        <v>506700</v>
      </c>
      <c r="M384" s="12">
        <f t="shared" ref="M384:N384" si="946">M385+M391</f>
        <v>0</v>
      </c>
      <c r="N384" s="12">
        <f t="shared" si="946"/>
        <v>506700</v>
      </c>
      <c r="O384" s="12">
        <f t="shared" ref="O384:P384" si="947">O385+O391</f>
        <v>0</v>
      </c>
      <c r="P384" s="12">
        <f t="shared" si="947"/>
        <v>506700</v>
      </c>
      <c r="Q384" s="12">
        <f t="shared" ref="Q384:U384" si="948">Q385+Q391</f>
        <v>0</v>
      </c>
      <c r="R384" s="12"/>
      <c r="S384" s="12"/>
      <c r="T384" s="12"/>
      <c r="U384" s="12">
        <f t="shared" si="948"/>
        <v>506700</v>
      </c>
      <c r="V384" s="31"/>
    </row>
    <row r="385" spans="1:22" ht="13.5" customHeight="1" x14ac:dyDescent="0.25">
      <c r="A385" s="509" t="s">
        <v>164</v>
      </c>
      <c r="B385" s="509"/>
      <c r="C385" s="276"/>
      <c r="D385" s="276"/>
      <c r="E385" s="219">
        <v>857</v>
      </c>
      <c r="F385" s="1" t="s">
        <v>17</v>
      </c>
      <c r="G385" s="1" t="s">
        <v>1</v>
      </c>
      <c r="H385" s="1" t="s">
        <v>165</v>
      </c>
      <c r="I385" s="1"/>
      <c r="J385" s="2">
        <f t="shared" ref="J385:M385" si="949">J386+J388</f>
        <v>488700</v>
      </c>
      <c r="K385" s="2">
        <f t="shared" si="949"/>
        <v>0</v>
      </c>
      <c r="L385" s="2">
        <f t="shared" si="949"/>
        <v>488700</v>
      </c>
      <c r="M385" s="2">
        <f t="shared" si="949"/>
        <v>0</v>
      </c>
      <c r="N385" s="2">
        <f>N386+N388</f>
        <v>488700</v>
      </c>
      <c r="O385" s="2">
        <f t="shared" ref="O385:U385" si="950">O386+O388</f>
        <v>0</v>
      </c>
      <c r="P385" s="2">
        <f t="shared" si="950"/>
        <v>488700</v>
      </c>
      <c r="Q385" s="2">
        <f t="shared" si="950"/>
        <v>0</v>
      </c>
      <c r="R385" s="2"/>
      <c r="S385" s="2"/>
      <c r="T385" s="2"/>
      <c r="U385" s="2">
        <f t="shared" si="950"/>
        <v>488700</v>
      </c>
      <c r="V385" s="89"/>
    </row>
    <row r="386" spans="1:22" ht="38.25" customHeight="1" x14ac:dyDescent="0.25">
      <c r="A386" s="276"/>
      <c r="B386" s="275" t="s">
        <v>21</v>
      </c>
      <c r="C386" s="276"/>
      <c r="D386" s="276"/>
      <c r="E386" s="219">
        <v>857</v>
      </c>
      <c r="F386" s="1" t="s">
        <v>22</v>
      </c>
      <c r="G386" s="1" t="s">
        <v>1</v>
      </c>
      <c r="H386" s="1" t="s">
        <v>165</v>
      </c>
      <c r="I386" s="1" t="s">
        <v>23</v>
      </c>
      <c r="J386" s="2">
        <f t="shared" ref="J386:O386" si="951">J387</f>
        <v>459000</v>
      </c>
      <c r="K386" s="2">
        <f t="shared" si="951"/>
        <v>0</v>
      </c>
      <c r="L386" s="2">
        <f t="shared" si="951"/>
        <v>459000</v>
      </c>
      <c r="M386" s="2">
        <f t="shared" si="951"/>
        <v>0</v>
      </c>
      <c r="N386" s="2">
        <f t="shared" si="951"/>
        <v>459000</v>
      </c>
      <c r="O386" s="2">
        <f t="shared" si="951"/>
        <v>0</v>
      </c>
      <c r="P386" s="2">
        <f>P387</f>
        <v>459000</v>
      </c>
      <c r="Q386" s="2">
        <f t="shared" ref="Q386:U386" si="952">Q387</f>
        <v>0</v>
      </c>
      <c r="R386" s="2"/>
      <c r="S386" s="2"/>
      <c r="T386" s="2"/>
      <c r="U386" s="2">
        <f t="shared" si="952"/>
        <v>459000</v>
      </c>
      <c r="V386" s="89"/>
    </row>
    <row r="387" spans="1:22" ht="12.75" customHeight="1" x14ac:dyDescent="0.25">
      <c r="A387" s="15"/>
      <c r="B387" s="275" t="s">
        <v>24</v>
      </c>
      <c r="C387" s="275"/>
      <c r="D387" s="275"/>
      <c r="E387" s="219">
        <v>857</v>
      </c>
      <c r="F387" s="1" t="s">
        <v>17</v>
      </c>
      <c r="G387" s="1" t="s">
        <v>1</v>
      </c>
      <c r="H387" s="1" t="s">
        <v>165</v>
      </c>
      <c r="I387" s="1" t="s">
        <v>25</v>
      </c>
      <c r="J387" s="2">
        <f>472000-13000</f>
        <v>459000</v>
      </c>
      <c r="K387" s="2"/>
      <c r="L387" s="2">
        <f t="shared" si="887"/>
        <v>459000</v>
      </c>
      <c r="M387" s="2"/>
      <c r="N387" s="2">
        <f t="shared" ref="N387:N389" si="953">L387+M387</f>
        <v>459000</v>
      </c>
      <c r="O387" s="2"/>
      <c r="P387" s="2">
        <f>N387+O387</f>
        <v>459000</v>
      </c>
      <c r="Q387" s="2"/>
      <c r="R387" s="2"/>
      <c r="S387" s="2"/>
      <c r="T387" s="2"/>
      <c r="U387" s="2">
        <f t="shared" ref="U387:U389" si="954">P387+Q387</f>
        <v>459000</v>
      </c>
      <c r="V387" s="89"/>
    </row>
    <row r="388" spans="1:22" ht="12" customHeight="1" x14ac:dyDescent="0.25">
      <c r="A388" s="15"/>
      <c r="B388" s="276" t="s">
        <v>27</v>
      </c>
      <c r="C388" s="275"/>
      <c r="D388" s="1" t="s">
        <v>17</v>
      </c>
      <c r="E388" s="219">
        <v>857</v>
      </c>
      <c r="F388" s="1" t="s">
        <v>17</v>
      </c>
      <c r="G388" s="1" t="s">
        <v>1</v>
      </c>
      <c r="H388" s="1" t="s">
        <v>165</v>
      </c>
      <c r="I388" s="1" t="s">
        <v>28</v>
      </c>
      <c r="J388" s="2">
        <f t="shared" ref="J388:O388" si="955">J389</f>
        <v>29700</v>
      </c>
      <c r="K388" s="2">
        <f t="shared" si="955"/>
        <v>0</v>
      </c>
      <c r="L388" s="2">
        <f t="shared" si="955"/>
        <v>29700</v>
      </c>
      <c r="M388" s="2">
        <f t="shared" si="955"/>
        <v>0</v>
      </c>
      <c r="N388" s="2">
        <f t="shared" si="955"/>
        <v>29700</v>
      </c>
      <c r="O388" s="2">
        <f t="shared" si="955"/>
        <v>0</v>
      </c>
      <c r="P388" s="2">
        <f>P389</f>
        <v>29700</v>
      </c>
      <c r="Q388" s="2">
        <f t="shared" ref="Q388:U388" si="956">Q389</f>
        <v>0</v>
      </c>
      <c r="R388" s="2"/>
      <c r="S388" s="2"/>
      <c r="T388" s="2"/>
      <c r="U388" s="2">
        <f t="shared" si="956"/>
        <v>29700</v>
      </c>
      <c r="V388" s="89"/>
    </row>
    <row r="389" spans="1:22" ht="24.75" customHeight="1" x14ac:dyDescent="0.25">
      <c r="A389" s="15"/>
      <c r="B389" s="276" t="s">
        <v>29</v>
      </c>
      <c r="C389" s="276"/>
      <c r="D389" s="1" t="s">
        <v>17</v>
      </c>
      <c r="E389" s="219">
        <v>857</v>
      </c>
      <c r="F389" s="1" t="s">
        <v>17</v>
      </c>
      <c r="G389" s="1" t="s">
        <v>1</v>
      </c>
      <c r="H389" s="1" t="s">
        <v>165</v>
      </c>
      <c r="I389" s="1" t="s">
        <v>30</v>
      </c>
      <c r="J389" s="2">
        <v>29700</v>
      </c>
      <c r="K389" s="2"/>
      <c r="L389" s="2">
        <f t="shared" si="887"/>
        <v>29700</v>
      </c>
      <c r="M389" s="2"/>
      <c r="N389" s="2">
        <f t="shared" si="953"/>
        <v>29700</v>
      </c>
      <c r="O389" s="2"/>
      <c r="P389" s="2">
        <f>N389+O389</f>
        <v>29700</v>
      </c>
      <c r="Q389" s="2"/>
      <c r="R389" s="2"/>
      <c r="S389" s="2"/>
      <c r="T389" s="2"/>
      <c r="U389" s="2">
        <f t="shared" si="954"/>
        <v>29700</v>
      </c>
      <c r="V389" s="89"/>
    </row>
    <row r="390" spans="1:22" ht="25.5" customHeight="1" x14ac:dyDescent="0.25">
      <c r="A390" s="509" t="s">
        <v>249</v>
      </c>
      <c r="B390" s="509"/>
      <c r="C390" s="276"/>
      <c r="D390" s="1" t="s">
        <v>17</v>
      </c>
      <c r="E390" s="219">
        <v>857</v>
      </c>
      <c r="F390" s="1" t="s">
        <v>22</v>
      </c>
      <c r="G390" s="1" t="s">
        <v>1</v>
      </c>
      <c r="H390" s="1" t="s">
        <v>483</v>
      </c>
      <c r="I390" s="1"/>
      <c r="J390" s="2">
        <f t="shared" ref="J390:U391" si="957">J391</f>
        <v>18000</v>
      </c>
      <c r="K390" s="2">
        <f t="shared" si="957"/>
        <v>0</v>
      </c>
      <c r="L390" s="2">
        <f t="shared" si="957"/>
        <v>18000</v>
      </c>
      <c r="M390" s="2">
        <f t="shared" si="957"/>
        <v>0</v>
      </c>
      <c r="N390" s="2">
        <f t="shared" si="957"/>
        <v>18000</v>
      </c>
      <c r="O390" s="2">
        <f t="shared" si="957"/>
        <v>0</v>
      </c>
      <c r="P390" s="2">
        <f t="shared" si="957"/>
        <v>18000</v>
      </c>
      <c r="Q390" s="2">
        <f t="shared" si="957"/>
        <v>0</v>
      </c>
      <c r="R390" s="2"/>
      <c r="S390" s="2"/>
      <c r="T390" s="2"/>
      <c r="U390" s="2">
        <f t="shared" si="957"/>
        <v>18000</v>
      </c>
      <c r="V390" s="89"/>
    </row>
    <row r="391" spans="1:22" ht="12" customHeight="1" x14ac:dyDescent="0.25">
      <c r="A391" s="15"/>
      <c r="B391" s="276" t="s">
        <v>27</v>
      </c>
      <c r="C391" s="275"/>
      <c r="D391" s="1" t="s">
        <v>17</v>
      </c>
      <c r="E391" s="219">
        <v>857</v>
      </c>
      <c r="F391" s="1" t="s">
        <v>17</v>
      </c>
      <c r="G391" s="1" t="s">
        <v>1</v>
      </c>
      <c r="H391" s="1" t="s">
        <v>483</v>
      </c>
      <c r="I391" s="1" t="s">
        <v>28</v>
      </c>
      <c r="J391" s="2">
        <f t="shared" si="957"/>
        <v>18000</v>
      </c>
      <c r="K391" s="2">
        <f t="shared" si="957"/>
        <v>0</v>
      </c>
      <c r="L391" s="2">
        <f t="shared" si="957"/>
        <v>18000</v>
      </c>
      <c r="M391" s="2">
        <f t="shared" si="957"/>
        <v>0</v>
      </c>
      <c r="N391" s="2">
        <f t="shared" si="957"/>
        <v>18000</v>
      </c>
      <c r="O391" s="2">
        <f t="shared" si="957"/>
        <v>0</v>
      </c>
      <c r="P391" s="2">
        <f t="shared" si="957"/>
        <v>18000</v>
      </c>
      <c r="Q391" s="2">
        <f t="shared" si="957"/>
        <v>0</v>
      </c>
      <c r="R391" s="2"/>
      <c r="S391" s="2"/>
      <c r="T391" s="2"/>
      <c r="U391" s="2">
        <f t="shared" si="957"/>
        <v>18000</v>
      </c>
      <c r="V391" s="89"/>
    </row>
    <row r="392" spans="1:22" ht="24.75" customHeight="1" x14ac:dyDescent="0.25">
      <c r="A392" s="15"/>
      <c r="B392" s="276" t="s">
        <v>29</v>
      </c>
      <c r="C392" s="276"/>
      <c r="D392" s="1" t="s">
        <v>17</v>
      </c>
      <c r="E392" s="219">
        <v>857</v>
      </c>
      <c r="F392" s="1" t="s">
        <v>17</v>
      </c>
      <c r="G392" s="1" t="s">
        <v>1</v>
      </c>
      <c r="H392" s="1" t="s">
        <v>483</v>
      </c>
      <c r="I392" s="1" t="s">
        <v>30</v>
      </c>
      <c r="J392" s="2">
        <v>18000</v>
      </c>
      <c r="K392" s="2"/>
      <c r="L392" s="2">
        <f>J392+K392</f>
        <v>18000</v>
      </c>
      <c r="M392" s="2"/>
      <c r="N392" s="2">
        <f>L392+M392</f>
        <v>18000</v>
      </c>
      <c r="O392" s="2"/>
      <c r="P392" s="2">
        <f>N392+O392</f>
        <v>18000</v>
      </c>
      <c r="Q392" s="2"/>
      <c r="R392" s="2"/>
      <c r="S392" s="2"/>
      <c r="T392" s="2"/>
      <c r="U392" s="2">
        <f>P392+Q392</f>
        <v>18000</v>
      </c>
      <c r="V392" s="89"/>
    </row>
    <row r="393" spans="1:22" s="109" customFormat="1" ht="18.75" customHeight="1" x14ac:dyDescent="0.25">
      <c r="A393" s="269"/>
      <c r="B393" s="262" t="s">
        <v>166</v>
      </c>
      <c r="C393" s="105"/>
      <c r="D393" s="105"/>
      <c r="E393" s="106"/>
      <c r="F393" s="107"/>
      <c r="G393" s="107"/>
      <c r="H393" s="107"/>
      <c r="I393" s="107"/>
      <c r="J393" s="108">
        <f t="shared" ref="J393:U393" si="958">J6+J209+J304+J368+J382</f>
        <v>234246433</v>
      </c>
      <c r="K393" s="108">
        <f t="shared" si="958"/>
        <v>8505006</v>
      </c>
      <c r="L393" s="108">
        <f t="shared" si="958"/>
        <v>242751439</v>
      </c>
      <c r="M393" s="108">
        <f t="shared" si="958"/>
        <v>165681</v>
      </c>
      <c r="N393" s="108">
        <f t="shared" si="958"/>
        <v>242917120</v>
      </c>
      <c r="O393" s="108">
        <f t="shared" si="958"/>
        <v>-2522350</v>
      </c>
      <c r="P393" s="108">
        <f t="shared" si="958"/>
        <v>240394770</v>
      </c>
      <c r="Q393" s="108">
        <f t="shared" si="958"/>
        <v>16540201.76</v>
      </c>
      <c r="R393" s="108">
        <f t="shared" si="958"/>
        <v>3411819.16</v>
      </c>
      <c r="S393" s="108">
        <f t="shared" si="958"/>
        <v>1628382.6</v>
      </c>
      <c r="T393" s="108">
        <f t="shared" si="958"/>
        <v>0</v>
      </c>
      <c r="U393" s="108">
        <f t="shared" si="958"/>
        <v>256934971.75999999</v>
      </c>
      <c r="V393" s="438"/>
    </row>
    <row r="394" spans="1:22" s="109" customFormat="1" ht="18.75" hidden="1" customHeight="1" x14ac:dyDescent="0.25">
      <c r="A394" s="31"/>
      <c r="B394" s="247"/>
      <c r="C394" s="248"/>
      <c r="D394" s="248"/>
      <c r="E394" s="249"/>
      <c r="F394" s="250"/>
      <c r="G394" s="250"/>
      <c r="H394" s="250"/>
      <c r="I394" s="250"/>
      <c r="J394" s="251" t="e">
        <f>J393-J395</f>
        <v>#REF!</v>
      </c>
      <c r="K394" s="251" t="e">
        <f t="shared" ref="K394:L394" si="959">K393-K395</f>
        <v>#REF!</v>
      </c>
      <c r="L394" s="251" t="e">
        <f t="shared" si="959"/>
        <v>#REF!</v>
      </c>
      <c r="M394" s="251" t="e">
        <f t="shared" ref="M394:N394" si="960">M393-M395</f>
        <v>#REF!</v>
      </c>
      <c r="N394" s="251" t="e">
        <f t="shared" si="960"/>
        <v>#REF!</v>
      </c>
      <c r="O394" s="251" t="e">
        <f t="shared" ref="O394:P394" si="961">O393-O395</f>
        <v>#REF!</v>
      </c>
      <c r="P394" s="251" t="e">
        <f t="shared" si="961"/>
        <v>#REF!</v>
      </c>
      <c r="Q394" s="251" t="e">
        <f t="shared" ref="Q394:U394" si="962">Q393-Q395</f>
        <v>#REF!</v>
      </c>
      <c r="R394" s="251"/>
      <c r="S394" s="251"/>
      <c r="T394" s="251"/>
      <c r="U394" s="251" t="e">
        <f t="shared" si="962"/>
        <v>#REF!</v>
      </c>
      <c r="V394" s="438"/>
    </row>
    <row r="395" spans="1:22" hidden="1" x14ac:dyDescent="0.25">
      <c r="B395" s="6" t="s">
        <v>514</v>
      </c>
      <c r="F395" s="6"/>
      <c r="G395" s="6"/>
      <c r="H395" s="64"/>
      <c r="J395" s="74" t="e">
        <f>#REF!</f>
        <v>#REF!</v>
      </c>
      <c r="K395" s="74" t="e">
        <f>#REF!</f>
        <v>#REF!</v>
      </c>
      <c r="L395" s="74" t="e">
        <f>#REF!</f>
        <v>#REF!</v>
      </c>
      <c r="M395" s="74" t="e">
        <f>#REF!</f>
        <v>#REF!</v>
      </c>
      <c r="N395" s="74" t="e">
        <f>#REF!</f>
        <v>#REF!</v>
      </c>
      <c r="O395" s="74" t="e">
        <f>#REF!</f>
        <v>#REF!</v>
      </c>
      <c r="P395" s="74" t="e">
        <f>#REF!</f>
        <v>#REF!</v>
      </c>
      <c r="Q395" s="74" t="e">
        <f>#REF!</f>
        <v>#REF!</v>
      </c>
      <c r="R395" s="74"/>
      <c r="S395" s="74"/>
      <c r="T395" s="74"/>
      <c r="U395" s="74" t="e">
        <f>#REF!</f>
        <v>#REF!</v>
      </c>
      <c r="V395" s="89"/>
    </row>
    <row r="396" spans="1:22" hidden="1" x14ac:dyDescent="0.25">
      <c r="E396" s="67"/>
      <c r="F396" s="68"/>
      <c r="G396" s="68"/>
      <c r="H396" s="67"/>
      <c r="I396" s="68"/>
      <c r="J396" s="74"/>
      <c r="K396" s="74"/>
      <c r="L396" s="74"/>
      <c r="M396" s="74"/>
      <c r="N396" s="74"/>
      <c r="O396" s="74"/>
      <c r="P396" s="74"/>
      <c r="Q396" s="74"/>
      <c r="R396" s="74"/>
      <c r="S396" s="74"/>
      <c r="T396" s="74"/>
      <c r="U396" s="74"/>
      <c r="V396" s="89"/>
    </row>
    <row r="397" spans="1:22" hidden="1" x14ac:dyDescent="0.25">
      <c r="E397" s="67"/>
      <c r="F397" s="218" t="s">
        <v>17</v>
      </c>
      <c r="G397" s="218"/>
      <c r="H397" s="1"/>
      <c r="I397" s="1"/>
      <c r="J397" s="243">
        <f t="shared" ref="J397:Q397" si="963">J7+J305+J369</f>
        <v>28926500</v>
      </c>
      <c r="K397" s="243">
        <f t="shared" si="963"/>
        <v>803088</v>
      </c>
      <c r="L397" s="243">
        <f t="shared" si="963"/>
        <v>29729588</v>
      </c>
      <c r="M397" s="243">
        <f t="shared" si="963"/>
        <v>-23856</v>
      </c>
      <c r="N397" s="243">
        <f t="shared" si="963"/>
        <v>29705732</v>
      </c>
      <c r="O397" s="243">
        <f t="shared" si="963"/>
        <v>1166600</v>
      </c>
      <c r="P397" s="243">
        <f t="shared" si="963"/>
        <v>30872332</v>
      </c>
      <c r="Q397" s="243">
        <f t="shared" si="963"/>
        <v>-34484</v>
      </c>
      <c r="R397" s="243"/>
      <c r="S397" s="243"/>
      <c r="T397" s="243"/>
      <c r="U397" s="434">
        <f>U7+U305+U369</f>
        <v>30837848</v>
      </c>
      <c r="V397" s="89"/>
    </row>
    <row r="398" spans="1:22" hidden="1" x14ac:dyDescent="0.25">
      <c r="E398" s="67"/>
      <c r="F398" s="218" t="s">
        <v>72</v>
      </c>
      <c r="G398" s="218"/>
      <c r="H398" s="1"/>
      <c r="I398" s="1"/>
      <c r="J398" s="2">
        <f t="shared" ref="J398:Q398" si="964">J64+J319</f>
        <v>1229519</v>
      </c>
      <c r="K398" s="2">
        <f t="shared" si="964"/>
        <v>0</v>
      </c>
      <c r="L398" s="2">
        <f t="shared" si="964"/>
        <v>1229519</v>
      </c>
      <c r="M398" s="2">
        <f t="shared" si="964"/>
        <v>-113804</v>
      </c>
      <c r="N398" s="2">
        <f t="shared" si="964"/>
        <v>1115715</v>
      </c>
      <c r="O398" s="2">
        <f t="shared" si="964"/>
        <v>0</v>
      </c>
      <c r="P398" s="2">
        <f t="shared" si="964"/>
        <v>1115715</v>
      </c>
      <c r="Q398" s="2">
        <f t="shared" si="964"/>
        <v>0</v>
      </c>
      <c r="R398" s="2"/>
      <c r="S398" s="2"/>
      <c r="T398" s="2"/>
      <c r="U398" s="92">
        <f>U64+U319</f>
        <v>1115715</v>
      </c>
      <c r="V398" s="89"/>
    </row>
    <row r="399" spans="1:22" hidden="1" x14ac:dyDescent="0.25">
      <c r="E399" s="67"/>
      <c r="F399" s="218" t="s">
        <v>3</v>
      </c>
      <c r="G399" s="218"/>
      <c r="H399" s="1"/>
      <c r="I399" s="1"/>
      <c r="J399" s="2">
        <f t="shared" ref="J399:Q399" si="965">J71</f>
        <v>1332400</v>
      </c>
      <c r="K399" s="2">
        <f t="shared" si="965"/>
        <v>10900</v>
      </c>
      <c r="L399" s="2">
        <f t="shared" si="965"/>
        <v>1343300</v>
      </c>
      <c r="M399" s="2">
        <f t="shared" si="965"/>
        <v>0</v>
      </c>
      <c r="N399" s="2">
        <f t="shared" si="965"/>
        <v>1343300</v>
      </c>
      <c r="O399" s="2">
        <f t="shared" si="965"/>
        <v>0</v>
      </c>
      <c r="P399" s="2">
        <f t="shared" si="965"/>
        <v>1343300</v>
      </c>
      <c r="Q399" s="2">
        <f t="shared" si="965"/>
        <v>0</v>
      </c>
      <c r="R399" s="2"/>
      <c r="S399" s="2"/>
      <c r="T399" s="2"/>
      <c r="U399" s="92">
        <f>U71</f>
        <v>1343300</v>
      </c>
      <c r="V399" s="89"/>
    </row>
    <row r="400" spans="1:22" hidden="1" x14ac:dyDescent="0.25">
      <c r="E400" s="67"/>
      <c r="F400" s="218" t="s">
        <v>6</v>
      </c>
      <c r="G400" s="218"/>
      <c r="H400" s="1"/>
      <c r="I400" s="1"/>
      <c r="J400" s="2">
        <f t="shared" ref="J400:Q400" si="966">J78</f>
        <v>2897640</v>
      </c>
      <c r="K400" s="2">
        <f t="shared" si="966"/>
        <v>1300000</v>
      </c>
      <c r="L400" s="2">
        <f t="shared" si="966"/>
        <v>4197640</v>
      </c>
      <c r="M400" s="2">
        <f t="shared" si="966"/>
        <v>687855</v>
      </c>
      <c r="N400" s="2">
        <f t="shared" si="966"/>
        <v>4885495</v>
      </c>
      <c r="O400" s="2">
        <f t="shared" si="966"/>
        <v>0</v>
      </c>
      <c r="P400" s="2">
        <f t="shared" si="966"/>
        <v>4885495</v>
      </c>
      <c r="Q400" s="2">
        <f t="shared" si="966"/>
        <v>-2478000</v>
      </c>
      <c r="R400" s="2"/>
      <c r="S400" s="2"/>
      <c r="T400" s="2"/>
      <c r="U400" s="92">
        <f>U78</f>
        <v>2407495</v>
      </c>
      <c r="V400" s="89"/>
    </row>
    <row r="401" spans="2:22" hidden="1" x14ac:dyDescent="0.25">
      <c r="E401" s="67"/>
      <c r="F401" s="218" t="s">
        <v>63</v>
      </c>
      <c r="G401" s="218"/>
      <c r="H401" s="1"/>
      <c r="I401" s="1"/>
      <c r="J401" s="2">
        <f t="shared" ref="J401:Q401" si="967">J111</f>
        <v>741440</v>
      </c>
      <c r="K401" s="2">
        <f t="shared" si="967"/>
        <v>943038</v>
      </c>
      <c r="L401" s="2">
        <f t="shared" si="967"/>
        <v>1684478</v>
      </c>
      <c r="M401" s="2">
        <f t="shared" si="967"/>
        <v>0</v>
      </c>
      <c r="N401" s="2">
        <f t="shared" si="967"/>
        <v>1684478</v>
      </c>
      <c r="O401" s="2">
        <f t="shared" si="967"/>
        <v>0</v>
      </c>
      <c r="P401" s="2">
        <f t="shared" si="967"/>
        <v>1684478</v>
      </c>
      <c r="Q401" s="2">
        <f t="shared" si="967"/>
        <v>763137</v>
      </c>
      <c r="R401" s="2"/>
      <c r="S401" s="2"/>
      <c r="T401" s="2"/>
      <c r="U401" s="92">
        <f>U111</f>
        <v>2447615</v>
      </c>
      <c r="V401" s="89"/>
    </row>
    <row r="402" spans="2:22" hidden="1" x14ac:dyDescent="0.25">
      <c r="E402" s="67"/>
      <c r="F402" s="218" t="s">
        <v>36</v>
      </c>
      <c r="G402" s="218"/>
      <c r="H402" s="1"/>
      <c r="I402" s="1"/>
      <c r="J402" s="2">
        <f t="shared" ref="J402:Q402" si="968">J135+J210</f>
        <v>147928123</v>
      </c>
      <c r="K402" s="2">
        <f t="shared" si="968"/>
        <v>4842980</v>
      </c>
      <c r="L402" s="2">
        <f t="shared" si="968"/>
        <v>152771103</v>
      </c>
      <c r="M402" s="2">
        <f t="shared" si="968"/>
        <v>-75354</v>
      </c>
      <c r="N402" s="2">
        <f t="shared" si="968"/>
        <v>152695749</v>
      </c>
      <c r="O402" s="2">
        <f t="shared" si="968"/>
        <v>-3770000</v>
      </c>
      <c r="P402" s="2">
        <f t="shared" si="968"/>
        <v>148925749</v>
      </c>
      <c r="Q402" s="2">
        <f t="shared" si="968"/>
        <v>13060282</v>
      </c>
      <c r="R402" s="2"/>
      <c r="S402" s="2"/>
      <c r="T402" s="2"/>
      <c r="U402" s="92">
        <f>U135+U210</f>
        <v>161986031</v>
      </c>
      <c r="V402" s="89"/>
    </row>
    <row r="403" spans="2:22" hidden="1" x14ac:dyDescent="0.25">
      <c r="E403" s="67"/>
      <c r="F403" s="218" t="s">
        <v>84</v>
      </c>
      <c r="G403" s="218"/>
      <c r="H403" s="1"/>
      <c r="I403" s="1"/>
      <c r="J403" s="2">
        <f t="shared" ref="J403:Q403" si="969">J145+J338</f>
        <v>14967040</v>
      </c>
      <c r="K403" s="2">
        <f t="shared" si="969"/>
        <v>605000</v>
      </c>
      <c r="L403" s="2">
        <f t="shared" si="969"/>
        <v>15572040</v>
      </c>
      <c r="M403" s="2">
        <f t="shared" si="969"/>
        <v>0</v>
      </c>
      <c r="N403" s="2">
        <f t="shared" si="969"/>
        <v>15572040</v>
      </c>
      <c r="O403" s="2">
        <f t="shared" si="969"/>
        <v>22050</v>
      </c>
      <c r="P403" s="2">
        <f t="shared" si="969"/>
        <v>15594090</v>
      </c>
      <c r="Q403" s="2">
        <f t="shared" si="969"/>
        <v>261321.25</v>
      </c>
      <c r="R403" s="2"/>
      <c r="S403" s="2"/>
      <c r="T403" s="2"/>
      <c r="U403" s="92">
        <f>U145+U338</f>
        <v>15855411.25</v>
      </c>
      <c r="V403" s="89"/>
    </row>
    <row r="404" spans="2:22" hidden="1" x14ac:dyDescent="0.25">
      <c r="E404" s="67"/>
      <c r="F404" s="218" t="s">
        <v>0</v>
      </c>
      <c r="G404" s="218"/>
      <c r="H404" s="1"/>
      <c r="I404" s="1"/>
      <c r="J404" s="2">
        <f t="shared" ref="J404:Q404" si="970">J176+J276</f>
        <v>20684071</v>
      </c>
      <c r="K404" s="2">
        <f t="shared" si="970"/>
        <v>0</v>
      </c>
      <c r="L404" s="2">
        <f t="shared" si="970"/>
        <v>20684071</v>
      </c>
      <c r="M404" s="2">
        <f t="shared" si="970"/>
        <v>283136</v>
      </c>
      <c r="N404" s="2">
        <f t="shared" si="970"/>
        <v>20967207</v>
      </c>
      <c r="O404" s="2">
        <f t="shared" si="970"/>
        <v>59000</v>
      </c>
      <c r="P404" s="2">
        <f t="shared" si="970"/>
        <v>21026207</v>
      </c>
      <c r="Q404" s="2">
        <f t="shared" si="970"/>
        <v>2215581.91</v>
      </c>
      <c r="R404" s="2"/>
      <c r="S404" s="2"/>
      <c r="T404" s="2"/>
      <c r="U404" s="92">
        <f>U176+U276</f>
        <v>23241788.91</v>
      </c>
      <c r="V404" s="89"/>
    </row>
    <row r="405" spans="2:22" hidden="1" x14ac:dyDescent="0.25">
      <c r="E405" s="67"/>
      <c r="F405" s="218" t="s">
        <v>38</v>
      </c>
      <c r="G405" s="218"/>
      <c r="H405" s="1"/>
      <c r="I405" s="1"/>
      <c r="J405" s="2">
        <f t="shared" ref="J405:Q405" si="971">J201</f>
        <v>544000</v>
      </c>
      <c r="K405" s="2">
        <f t="shared" si="971"/>
        <v>0</v>
      </c>
      <c r="L405" s="2">
        <f t="shared" si="971"/>
        <v>544000</v>
      </c>
      <c r="M405" s="2">
        <f t="shared" si="971"/>
        <v>0</v>
      </c>
      <c r="N405" s="2">
        <f t="shared" si="971"/>
        <v>544000</v>
      </c>
      <c r="O405" s="2">
        <f t="shared" si="971"/>
        <v>0</v>
      </c>
      <c r="P405" s="2">
        <f t="shared" si="971"/>
        <v>544000</v>
      </c>
      <c r="Q405" s="2">
        <f t="shared" si="971"/>
        <v>0</v>
      </c>
      <c r="R405" s="2"/>
      <c r="S405" s="2"/>
      <c r="T405" s="2"/>
      <c r="U405" s="92">
        <f>U201</f>
        <v>544000</v>
      </c>
      <c r="V405" s="89"/>
    </row>
    <row r="406" spans="2:22" hidden="1" x14ac:dyDescent="0.25">
      <c r="E406" s="67"/>
      <c r="F406" s="218" t="s">
        <v>44</v>
      </c>
      <c r="G406" s="218"/>
      <c r="H406" s="1"/>
      <c r="I406" s="1"/>
      <c r="J406" s="2"/>
      <c r="K406" s="2"/>
      <c r="L406" s="2"/>
      <c r="M406" s="2"/>
      <c r="N406" s="2"/>
      <c r="O406" s="2"/>
      <c r="P406" s="2"/>
      <c r="Q406" s="2"/>
      <c r="R406" s="2"/>
      <c r="S406" s="2"/>
      <c r="T406" s="2"/>
      <c r="U406" s="92"/>
      <c r="V406" s="89"/>
    </row>
    <row r="407" spans="2:22" hidden="1" x14ac:dyDescent="0.25">
      <c r="E407" s="67"/>
      <c r="F407" s="218" t="s">
        <v>153</v>
      </c>
      <c r="G407" s="218"/>
      <c r="H407" s="1"/>
      <c r="I407" s="218"/>
      <c r="J407" s="2">
        <f t="shared" ref="J407:P407" si="972">J347</f>
        <v>14489000</v>
      </c>
      <c r="K407" s="2">
        <f t="shared" si="972"/>
        <v>0</v>
      </c>
      <c r="L407" s="2">
        <f t="shared" si="972"/>
        <v>14489000</v>
      </c>
      <c r="M407" s="2">
        <f t="shared" si="972"/>
        <v>-660700</v>
      </c>
      <c r="N407" s="2">
        <f t="shared" si="972"/>
        <v>13828300</v>
      </c>
      <c r="O407" s="2">
        <f t="shared" si="972"/>
        <v>0</v>
      </c>
      <c r="P407" s="2">
        <f t="shared" si="972"/>
        <v>13828300</v>
      </c>
      <c r="Q407" s="2">
        <f t="shared" ref="Q407:U407" si="973">Q347</f>
        <v>0</v>
      </c>
      <c r="R407" s="2"/>
      <c r="S407" s="2"/>
      <c r="T407" s="2"/>
      <c r="U407" s="92">
        <f t="shared" si="973"/>
        <v>13828300</v>
      </c>
      <c r="V407" s="89"/>
    </row>
    <row r="408" spans="2:22" hidden="1" x14ac:dyDescent="0.25">
      <c r="E408" s="67"/>
      <c r="F408" s="218"/>
      <c r="G408" s="218" t="s">
        <v>168</v>
      </c>
      <c r="H408" s="1"/>
      <c r="I408" s="218"/>
      <c r="J408" s="2">
        <f t="shared" ref="J408:P408" si="974">J367</f>
        <v>0</v>
      </c>
      <c r="K408" s="2">
        <f t="shared" si="974"/>
        <v>0</v>
      </c>
      <c r="L408" s="2">
        <f t="shared" si="974"/>
        <v>0</v>
      </c>
      <c r="M408" s="2">
        <f t="shared" si="974"/>
        <v>0</v>
      </c>
      <c r="N408" s="2">
        <f t="shared" si="974"/>
        <v>0</v>
      </c>
      <c r="O408" s="2">
        <f t="shared" si="974"/>
        <v>0</v>
      </c>
      <c r="P408" s="2">
        <f t="shared" si="974"/>
        <v>0</v>
      </c>
      <c r="Q408" s="2">
        <f t="shared" ref="Q408:U408" si="975">Q367</f>
        <v>0</v>
      </c>
      <c r="R408" s="2"/>
      <c r="S408" s="2"/>
      <c r="T408" s="2"/>
      <c r="U408" s="92">
        <f t="shared" si="975"/>
        <v>0</v>
      </c>
      <c r="V408" s="89"/>
    </row>
    <row r="409" spans="2:22" hidden="1" x14ac:dyDescent="0.25">
      <c r="E409" s="67"/>
      <c r="F409" s="218"/>
      <c r="G409" s="218"/>
      <c r="H409" s="1"/>
      <c r="I409" s="218"/>
      <c r="J409" s="2">
        <f t="shared" ref="J409:L409" si="976">SUM(J397:J408)</f>
        <v>233739733</v>
      </c>
      <c r="K409" s="2">
        <f t="shared" si="976"/>
        <v>8505006</v>
      </c>
      <c r="L409" s="2">
        <f t="shared" si="976"/>
        <v>242244739</v>
      </c>
      <c r="M409" s="2">
        <f t="shared" ref="M409:N409" si="977">SUM(M397:M408)</f>
        <v>97277</v>
      </c>
      <c r="N409" s="2">
        <f t="shared" si="977"/>
        <v>242342016</v>
      </c>
      <c r="O409" s="2">
        <f t="shared" ref="O409:P409" si="978">SUM(O397:O408)</f>
        <v>-2522350</v>
      </c>
      <c r="P409" s="2">
        <f t="shared" si="978"/>
        <v>239819666</v>
      </c>
      <c r="Q409" s="2">
        <f t="shared" ref="Q409:U409" si="979">SUM(Q397:Q408)</f>
        <v>13787838.16</v>
      </c>
      <c r="R409" s="2"/>
      <c r="S409" s="2"/>
      <c r="T409" s="2"/>
      <c r="U409" s="92">
        <f t="shared" si="979"/>
        <v>253607504.16</v>
      </c>
      <c r="V409" s="89"/>
    </row>
    <row r="410" spans="2:22" hidden="1" x14ac:dyDescent="0.25">
      <c r="E410" s="67"/>
      <c r="F410" s="68"/>
      <c r="G410" s="68"/>
      <c r="H410" s="67"/>
      <c r="I410" s="68"/>
      <c r="J410" s="9">
        <f t="shared" ref="J410:P410" si="980">J393-J409</f>
        <v>506700</v>
      </c>
      <c r="K410" s="9">
        <f t="shared" si="980"/>
        <v>0</v>
      </c>
      <c r="L410" s="9">
        <f t="shared" si="980"/>
        <v>506700</v>
      </c>
      <c r="M410" s="9">
        <f t="shared" si="980"/>
        <v>68404</v>
      </c>
      <c r="N410" s="9">
        <f t="shared" si="980"/>
        <v>575104</v>
      </c>
      <c r="O410" s="9">
        <f t="shared" si="980"/>
        <v>0</v>
      </c>
      <c r="P410" s="9">
        <f t="shared" si="980"/>
        <v>575104</v>
      </c>
      <c r="Q410" s="9">
        <f t="shared" ref="Q410:U410" si="981">Q393-Q409</f>
        <v>2752363.5999999996</v>
      </c>
      <c r="R410" s="9"/>
      <c r="S410" s="9"/>
      <c r="T410" s="9"/>
      <c r="U410" s="9">
        <f t="shared" si="981"/>
        <v>3327467.599999994</v>
      </c>
      <c r="V410" s="89"/>
    </row>
    <row r="411" spans="2:22" hidden="1" x14ac:dyDescent="0.25">
      <c r="E411" s="67"/>
      <c r="F411" s="68" t="s">
        <v>543</v>
      </c>
      <c r="G411" s="68"/>
      <c r="H411" s="67"/>
      <c r="I411" s="68"/>
      <c r="J411" s="9">
        <f t="shared" ref="J411:P411" si="982">J364</f>
        <v>0</v>
      </c>
      <c r="K411" s="9">
        <f t="shared" si="982"/>
        <v>0</v>
      </c>
      <c r="L411" s="9">
        <f t="shared" si="982"/>
        <v>0</v>
      </c>
      <c r="M411" s="9">
        <f t="shared" si="982"/>
        <v>0</v>
      </c>
      <c r="N411" s="9">
        <f t="shared" si="982"/>
        <v>0</v>
      </c>
      <c r="O411" s="9">
        <f t="shared" si="982"/>
        <v>0</v>
      </c>
      <c r="P411" s="9">
        <f t="shared" si="982"/>
        <v>0</v>
      </c>
      <c r="Q411" s="9">
        <f t="shared" ref="Q411:U411" si="983">Q364</f>
        <v>0</v>
      </c>
      <c r="R411" s="9"/>
      <c r="S411" s="9"/>
      <c r="T411" s="9"/>
      <c r="U411" s="9">
        <f t="shared" si="983"/>
        <v>0</v>
      </c>
      <c r="V411" s="89"/>
    </row>
    <row r="412" spans="2:22" hidden="1" x14ac:dyDescent="0.25">
      <c r="E412" s="67"/>
      <c r="F412" s="68"/>
      <c r="G412" s="68"/>
      <c r="H412" s="67"/>
      <c r="I412" s="68"/>
      <c r="K412" s="208" t="e">
        <f t="shared" ref="K412:P412" si="984">K411/K424*100</f>
        <v>#REF!</v>
      </c>
      <c r="L412" s="208" t="e">
        <f t="shared" si="984"/>
        <v>#REF!</v>
      </c>
      <c r="M412" s="208" t="e">
        <f t="shared" si="984"/>
        <v>#REF!</v>
      </c>
      <c r="N412" s="208" t="e">
        <f t="shared" si="984"/>
        <v>#REF!</v>
      </c>
      <c r="O412" s="208" t="e">
        <f t="shared" si="984"/>
        <v>#REF!</v>
      </c>
      <c r="P412" s="208" t="e">
        <f t="shared" si="984"/>
        <v>#REF!</v>
      </c>
      <c r="Q412" s="208" t="e">
        <f t="shared" ref="Q412:U412" si="985">Q411/Q424*100</f>
        <v>#REF!</v>
      </c>
      <c r="R412" s="208"/>
      <c r="S412" s="208"/>
      <c r="T412" s="208"/>
      <c r="U412" s="208" t="e">
        <f t="shared" si="985"/>
        <v>#REF!</v>
      </c>
      <c r="V412" s="89"/>
    </row>
    <row r="413" spans="2:22" hidden="1" x14ac:dyDescent="0.25">
      <c r="E413" s="67"/>
      <c r="F413" s="67"/>
      <c r="G413" s="67"/>
      <c r="H413" s="67"/>
      <c r="I413" s="68"/>
      <c r="V413" s="89"/>
    </row>
    <row r="414" spans="2:22" hidden="1" x14ac:dyDescent="0.25">
      <c r="E414" s="6"/>
      <c r="F414" s="6"/>
      <c r="G414" s="6"/>
      <c r="H414" s="64"/>
      <c r="V414" s="89"/>
    </row>
    <row r="415" spans="2:22" hidden="1" x14ac:dyDescent="0.25">
      <c r="E415" s="6"/>
      <c r="F415" s="6"/>
      <c r="G415" s="6"/>
      <c r="H415" s="64"/>
      <c r="J415" s="9"/>
      <c r="K415" s="9"/>
      <c r="L415" s="9"/>
      <c r="M415" s="9"/>
      <c r="N415" s="9"/>
      <c r="O415" s="9"/>
      <c r="P415" s="9"/>
      <c r="Q415" s="9"/>
      <c r="R415" s="9"/>
      <c r="S415" s="9"/>
      <c r="T415" s="9"/>
      <c r="U415" s="9"/>
      <c r="V415" s="89"/>
    </row>
    <row r="416" spans="2:22" s="13" customFormat="1" hidden="1" x14ac:dyDescent="0.25">
      <c r="B416" s="13" t="s">
        <v>544</v>
      </c>
      <c r="H416" s="215"/>
      <c r="J416" s="14" t="e">
        <f>J417+J418+J419</f>
        <v>#REF!</v>
      </c>
      <c r="K416" s="14" t="e">
        <f t="shared" ref="K416:L416" si="986">K417+K418+K419</f>
        <v>#REF!</v>
      </c>
      <c r="L416" s="14" t="e">
        <f t="shared" si="986"/>
        <v>#REF!</v>
      </c>
      <c r="M416" s="14" t="e">
        <f t="shared" ref="M416:N416" si="987">M417+M418+M419</f>
        <v>#REF!</v>
      </c>
      <c r="N416" s="14" t="e">
        <f t="shared" si="987"/>
        <v>#REF!</v>
      </c>
      <c r="O416" s="14" t="e">
        <f t="shared" ref="O416:P416" si="988">O417+O418+O419</f>
        <v>#REF!</v>
      </c>
      <c r="P416" s="14" t="e">
        <f t="shared" si="988"/>
        <v>#REF!</v>
      </c>
      <c r="Q416" s="14" t="e">
        <f t="shared" ref="Q416:U416" si="989">Q417+Q418+Q419</f>
        <v>#REF!</v>
      </c>
      <c r="R416" s="14"/>
      <c r="S416" s="14"/>
      <c r="T416" s="14"/>
      <c r="U416" s="14" t="e">
        <f t="shared" si="989"/>
        <v>#REF!</v>
      </c>
      <c r="V416" s="31"/>
    </row>
    <row r="417" spans="2:22" hidden="1" x14ac:dyDescent="0.25">
      <c r="B417" s="272" t="s">
        <v>492</v>
      </c>
      <c r="E417" s="6"/>
      <c r="F417" s="6"/>
      <c r="G417" s="6"/>
      <c r="H417" s="64"/>
      <c r="J417" s="273">
        <f t="shared" ref="J417:Q417" si="990">J27+J37+J85+J103+J162+J192+J215+J218+J234+J240+J270+J278+J282+J285+J290+J294+J299+J316+J321+J344+J353+J359</f>
        <v>126127131</v>
      </c>
      <c r="K417" s="273">
        <f t="shared" si="990"/>
        <v>-14489000</v>
      </c>
      <c r="L417" s="273">
        <f t="shared" si="990"/>
        <v>111638131</v>
      </c>
      <c r="M417" s="273">
        <f t="shared" si="990"/>
        <v>58030</v>
      </c>
      <c r="N417" s="273">
        <f t="shared" si="990"/>
        <v>111696161</v>
      </c>
      <c r="O417" s="273">
        <f t="shared" si="990"/>
        <v>-11130</v>
      </c>
      <c r="P417" s="273">
        <f t="shared" si="990"/>
        <v>111685031</v>
      </c>
      <c r="Q417" s="273">
        <f t="shared" si="990"/>
        <v>143257.91</v>
      </c>
      <c r="R417" s="273"/>
      <c r="S417" s="273"/>
      <c r="T417" s="273"/>
      <c r="U417" s="273">
        <f>U27+U37+U85+U103+U162+U192+U215+U218+U234+U240+U270+U278+U282+U285+U290+U294+U299+U316+U321+U344+U353+U359</f>
        <v>111828288.91</v>
      </c>
      <c r="V417" s="89"/>
    </row>
    <row r="418" spans="2:22" hidden="1" x14ac:dyDescent="0.25">
      <c r="B418" s="6" t="s">
        <v>494</v>
      </c>
      <c r="E418" s="6"/>
      <c r="F418" s="6"/>
      <c r="G418" s="6"/>
      <c r="H418" s="64"/>
      <c r="J418" s="9" t="e">
        <f>J11+J14+J16+J18+J19+J20+J35+J44+J47+J50+J52+J55+J58+J75+J77+J88+J101+J108+J113+J120+J140+J147+J150+J163+J166+J173+J178+J188+J196+J203+J212+J224+J228+J231+J246+J249+J253+J257+J260+J307+J367+J371+J375+#REF!</f>
        <v>#REF!</v>
      </c>
      <c r="K418" s="9" t="e">
        <f>K11+K14+K16+K18+K19+K20+K35+K44+K47+K50+K52+K55+K58+K75+K77+K88+K101+K108+K113+K120+K140+K147+K150+K163+K166+K173+K178+K188+K196+K203+K212+K224+K228+K231+K246+K249+K253+K257+K260+K307+K367+K371+K375+#REF!</f>
        <v>#REF!</v>
      </c>
      <c r="L418" s="9" t="e">
        <f>L11+L14+L16+L18+L19+L20+L35+L44+L47+L50+L52+L55+L58+L75+L77+L88+L101+L108+L113+L120+L140+L147+L150+L163+L166+L173+L178+L188+L196+L203+L212+L224+L228+L231+L246+L249+L253+L257+L260+L307+L367+L371+L375+#REF!</f>
        <v>#REF!</v>
      </c>
      <c r="M418" s="9" t="e">
        <f>M11+M14+M16+M18+M19+M20+M35+M44+M47+M50+M52+M55+M58+M75+M77+M88+M101+M108+M113+M120+M140+M147+M150+M163+M166+M173+M178+M188+M196+M203+M212+M224+M228+M231+M246+M249+M253+M257+M260+M307+M367+M371+M375+#REF!</f>
        <v>#REF!</v>
      </c>
      <c r="N418" s="9" t="e">
        <f>N11+N14+N16+N18+N19+N20+N35+N44+N47+N50+N52+N55+N58+N75+N77+N88+N101+N108+N113+N120+N140+N147+N150+N163+N166+N173+N178+N188+N196+N203+N212+N224+N228+N231+N246+N249+N253+N257+N260+N307+N367+N371+N375+#REF!</f>
        <v>#REF!</v>
      </c>
      <c r="O418" s="9" t="e">
        <f>O11+O14+O16+O18+O19+O20+O35+O44+O47+O50+O52+O55+O58+O75+O77+O88+O101+O108+O113+O120+O140+O147+O150+O163+O166+O173+O178+O188+O196+O203+O212+O224+O228+O231+O246+O249+O253+O257+O260+O307+O367+O371+O375+#REF!</f>
        <v>#REF!</v>
      </c>
      <c r="P418" s="9" t="e">
        <f>P11+P14+P16+P18+P19+P20+P35+P44+P47+P50+P52+P55+P58+P75+P77+P88+P101+P108+P113+P120+P140+P147+P150+P163+P166+P173+P178+P188+P196+P203+P212+P224+P228+P231+P246+P249+P253+P257+P260+P307+P367+P371+P375+#REF!</f>
        <v>#REF!</v>
      </c>
      <c r="Q418" s="9" t="e">
        <f>Q11+Q14+Q16+Q18+Q19+Q20+Q35+Q44+Q47+Q50+Q52+Q55+Q58+Q75+Q77+Q88+Q101+Q108+Q113+Q120+Q140+Q147+Q150+Q163+Q166+Q173+Q178+Q188+Q196+Q203+Q212+Q224+Q228+Q231+Q246+Q249+Q253+Q257+Q260+Q307+Q367+Q371+Q375+#REF!</f>
        <v>#REF!</v>
      </c>
      <c r="R418" s="9"/>
      <c r="S418" s="9"/>
      <c r="T418" s="9"/>
      <c r="U418" s="9" t="e">
        <f>U11+U14+U16+U18+U19+U20+U35+U44+U47+U50+U52+U55+U58+U75+U77+U88+U101+U108+U113+U120+U140+U147+U150+U163+U166+U173+U178+U188+U196+U203+U212+U224+U228+U231+U246+U249+U253+U257+U260+U307+U367+U371+U375+#REF!</f>
        <v>#REF!</v>
      </c>
      <c r="V418" s="89"/>
    </row>
    <row r="419" spans="2:22" hidden="1" x14ac:dyDescent="0.25">
      <c r="B419" s="271" t="s">
        <v>493</v>
      </c>
      <c r="E419" s="6"/>
      <c r="F419" s="6"/>
      <c r="G419" s="6"/>
      <c r="H419" s="64"/>
      <c r="J419" s="274" t="e">
        <f>J23+J66+J153+J156+J206+#REF!</f>
        <v>#REF!</v>
      </c>
      <c r="K419" s="274" t="e">
        <f>K23+K66+K153+K156+K206+#REF!</f>
        <v>#REF!</v>
      </c>
      <c r="L419" s="274" t="e">
        <f>L23+L66+L153+L156+L206+#REF!</f>
        <v>#REF!</v>
      </c>
      <c r="M419" s="274" t="e">
        <f>M23+M66+M153+M156+M206+#REF!</f>
        <v>#REF!</v>
      </c>
      <c r="N419" s="274" t="e">
        <f>N23+N66+N153+N156+N206+#REF!</f>
        <v>#REF!</v>
      </c>
      <c r="O419" s="274" t="e">
        <f>O23+O66+O153+O156+O206+#REF!</f>
        <v>#REF!</v>
      </c>
      <c r="P419" s="274" t="e">
        <f>P23+P66+P153+P156+P206+#REF!</f>
        <v>#REF!</v>
      </c>
      <c r="Q419" s="274" t="e">
        <f>Q23+Q66+Q153+Q156+Q206+#REF!</f>
        <v>#REF!</v>
      </c>
      <c r="R419" s="274"/>
      <c r="S419" s="274"/>
      <c r="T419" s="274"/>
      <c r="U419" s="274" t="e">
        <f>U23+U66+U153+U156+U206+#REF!</f>
        <v>#REF!</v>
      </c>
      <c r="V419" s="89"/>
    </row>
    <row r="420" spans="2:22" hidden="1" x14ac:dyDescent="0.25">
      <c r="E420" s="6"/>
      <c r="F420" s="6"/>
      <c r="G420" s="6"/>
      <c r="H420" s="64"/>
      <c r="J420" s="9" t="e">
        <f t="shared" ref="J420:P420" si="991">J393-J417-J418-J419</f>
        <v>#REF!</v>
      </c>
      <c r="K420" s="9" t="e">
        <f t="shared" si="991"/>
        <v>#REF!</v>
      </c>
      <c r="L420" s="9" t="e">
        <f t="shared" si="991"/>
        <v>#REF!</v>
      </c>
      <c r="M420" s="9" t="e">
        <f t="shared" si="991"/>
        <v>#REF!</v>
      </c>
      <c r="N420" s="9" t="e">
        <f t="shared" si="991"/>
        <v>#REF!</v>
      </c>
      <c r="O420" s="9" t="e">
        <f t="shared" si="991"/>
        <v>#REF!</v>
      </c>
      <c r="P420" s="9" t="e">
        <f t="shared" si="991"/>
        <v>#REF!</v>
      </c>
      <c r="Q420" s="9" t="e">
        <f t="shared" ref="Q420:U420" si="992">Q393-Q417-Q418-Q419</f>
        <v>#REF!</v>
      </c>
      <c r="R420" s="9"/>
      <c r="S420" s="9"/>
      <c r="T420" s="9"/>
      <c r="U420" s="9" t="e">
        <f t="shared" si="992"/>
        <v>#REF!</v>
      </c>
      <c r="V420" s="89"/>
    </row>
    <row r="421" spans="2:22" ht="7.5" hidden="1" customHeight="1" x14ac:dyDescent="0.25">
      <c r="E421" s="6"/>
      <c r="F421" s="6"/>
      <c r="G421" s="6"/>
      <c r="H421" s="64"/>
      <c r="J421" s="9"/>
      <c r="K421" s="9"/>
      <c r="L421" s="9"/>
      <c r="M421" s="9"/>
      <c r="N421" s="9"/>
      <c r="O421" s="9"/>
      <c r="P421" s="9"/>
      <c r="Q421" s="9"/>
      <c r="R421" s="9"/>
      <c r="S421" s="9"/>
      <c r="T421" s="9"/>
      <c r="U421" s="9"/>
      <c r="V421" s="89"/>
    </row>
    <row r="422" spans="2:22" hidden="1" x14ac:dyDescent="0.25">
      <c r="E422" s="6"/>
      <c r="F422" s="6"/>
      <c r="G422" s="6"/>
      <c r="H422" s="64"/>
      <c r="J422" s="9"/>
      <c r="K422" s="9"/>
      <c r="L422" s="9"/>
      <c r="M422" s="9"/>
      <c r="N422" s="9"/>
      <c r="O422" s="9"/>
      <c r="P422" s="9"/>
      <c r="Q422" s="9"/>
      <c r="R422" s="9"/>
      <c r="S422" s="9"/>
      <c r="T422" s="9"/>
      <c r="U422" s="9"/>
      <c r="V422" s="89"/>
    </row>
    <row r="423" spans="2:22" hidden="1" x14ac:dyDescent="0.25">
      <c r="E423" s="6"/>
      <c r="F423" s="6"/>
      <c r="G423" s="6"/>
      <c r="H423" s="64"/>
      <c r="J423" s="9"/>
      <c r="K423" s="9"/>
      <c r="L423" s="9"/>
      <c r="M423" s="9"/>
      <c r="N423" s="9"/>
      <c r="O423" s="9"/>
      <c r="P423" s="9"/>
      <c r="Q423" s="9"/>
      <c r="R423" s="9"/>
      <c r="S423" s="9"/>
      <c r="T423" s="9"/>
      <c r="U423" s="9"/>
      <c r="V423" s="89"/>
    </row>
    <row r="424" spans="2:22" hidden="1" x14ac:dyDescent="0.25">
      <c r="B424" s="6" t="s">
        <v>513</v>
      </c>
      <c r="E424" s="6"/>
      <c r="F424" s="6"/>
      <c r="G424" s="6"/>
      <c r="H424" s="64"/>
      <c r="J424" s="9" t="e">
        <f>#REF!+#REF!</f>
        <v>#REF!</v>
      </c>
      <c r="K424" s="9" t="e">
        <f>#REF!+#REF!</f>
        <v>#REF!</v>
      </c>
      <c r="L424" s="9" t="e">
        <f>#REF!+#REF!</f>
        <v>#REF!</v>
      </c>
      <c r="M424" s="9" t="e">
        <f>#REF!+#REF!</f>
        <v>#REF!</v>
      </c>
      <c r="N424" s="9" t="e">
        <f>#REF!+#REF!</f>
        <v>#REF!</v>
      </c>
      <c r="O424" s="9" t="e">
        <f>#REF!+#REF!</f>
        <v>#REF!</v>
      </c>
      <c r="P424" s="9" t="e">
        <f>#REF!+#REF!</f>
        <v>#REF!</v>
      </c>
      <c r="Q424" s="9" t="e">
        <f>#REF!+#REF!</f>
        <v>#REF!</v>
      </c>
      <c r="R424" s="9"/>
      <c r="S424" s="9"/>
      <c r="T424" s="9"/>
      <c r="U424" s="9" t="e">
        <f>#REF!+#REF!</f>
        <v>#REF!</v>
      </c>
      <c r="V424" s="89"/>
    </row>
    <row r="425" spans="2:22" hidden="1" x14ac:dyDescent="0.25">
      <c r="B425" s="6" t="s">
        <v>512</v>
      </c>
      <c r="E425" s="6"/>
      <c r="F425" s="6"/>
      <c r="G425" s="6"/>
      <c r="H425" s="64"/>
      <c r="J425" s="9" t="e">
        <f>#REF!</f>
        <v>#REF!</v>
      </c>
      <c r="K425" s="9" t="e">
        <f>#REF!</f>
        <v>#REF!</v>
      </c>
      <c r="L425" s="9" t="e">
        <f>#REF!</f>
        <v>#REF!</v>
      </c>
      <c r="M425" s="9" t="e">
        <f>#REF!</f>
        <v>#REF!</v>
      </c>
      <c r="N425" s="9" t="e">
        <f>#REF!</f>
        <v>#REF!</v>
      </c>
      <c r="O425" s="9" t="e">
        <f>#REF!</f>
        <v>#REF!</v>
      </c>
      <c r="P425" s="9" t="e">
        <f>#REF!</f>
        <v>#REF!</v>
      </c>
      <c r="Q425" s="9" t="e">
        <f>#REF!</f>
        <v>#REF!</v>
      </c>
      <c r="R425" s="9"/>
      <c r="S425" s="9"/>
      <c r="T425" s="9"/>
      <c r="U425" s="9" t="e">
        <f>#REF!</f>
        <v>#REF!</v>
      </c>
      <c r="V425" s="89"/>
    </row>
    <row r="426" spans="2:22" hidden="1" x14ac:dyDescent="0.25">
      <c r="E426" s="6"/>
      <c r="F426" s="6"/>
      <c r="G426" s="6"/>
      <c r="H426" s="64"/>
      <c r="J426" s="9"/>
      <c r="K426" s="9"/>
      <c r="L426" s="9"/>
      <c r="M426" s="9"/>
      <c r="N426" s="9"/>
      <c r="O426" s="9"/>
      <c r="P426" s="9"/>
      <c r="Q426" s="9"/>
      <c r="R426" s="9"/>
      <c r="S426" s="9"/>
      <c r="T426" s="9"/>
      <c r="U426" s="9"/>
      <c r="V426" s="89"/>
    </row>
    <row r="427" spans="2:22" hidden="1" x14ac:dyDescent="0.25">
      <c r="B427" s="6" t="s">
        <v>572</v>
      </c>
      <c r="E427" s="6"/>
      <c r="F427" s="6"/>
      <c r="G427" s="6"/>
      <c r="H427" s="64"/>
      <c r="J427" s="9" t="e">
        <f>#REF!</f>
        <v>#REF!</v>
      </c>
      <c r="K427" s="9" t="e">
        <f>#REF!</f>
        <v>#REF!</v>
      </c>
      <c r="L427" s="9" t="e">
        <f>#REF!</f>
        <v>#REF!</v>
      </c>
      <c r="M427" s="9" t="e">
        <f>#REF!</f>
        <v>#REF!</v>
      </c>
      <c r="N427" s="9" t="e">
        <f>#REF!</f>
        <v>#REF!</v>
      </c>
      <c r="O427" s="9" t="e">
        <f>#REF!</f>
        <v>#REF!</v>
      </c>
      <c r="P427" s="9" t="e">
        <f>#REF!</f>
        <v>#REF!</v>
      </c>
      <c r="Q427" s="9" t="e">
        <f>#REF!</f>
        <v>#REF!</v>
      </c>
      <c r="R427" s="9"/>
      <c r="S427" s="9"/>
      <c r="T427" s="9"/>
      <c r="U427" s="9" t="e">
        <f>#REF!</f>
        <v>#REF!</v>
      </c>
      <c r="V427" s="89"/>
    </row>
    <row r="428" spans="2:22" hidden="1" x14ac:dyDescent="0.25">
      <c r="E428" s="6"/>
      <c r="F428" s="6"/>
      <c r="G428" s="6"/>
      <c r="H428" s="64"/>
      <c r="J428" s="9" t="e">
        <f>J417-J427</f>
        <v>#REF!</v>
      </c>
      <c r="K428" s="9" t="e">
        <f t="shared" ref="K428:L428" si="993">K417-K427</f>
        <v>#REF!</v>
      </c>
      <c r="L428" s="9" t="e">
        <f t="shared" si="993"/>
        <v>#REF!</v>
      </c>
      <c r="M428" s="9" t="e">
        <f t="shared" ref="M428:N428" si="994">M417-M427</f>
        <v>#REF!</v>
      </c>
      <c r="N428" s="9" t="e">
        <f t="shared" si="994"/>
        <v>#REF!</v>
      </c>
      <c r="O428" s="9" t="e">
        <f t="shared" ref="O428:P428" si="995">O417-O427</f>
        <v>#REF!</v>
      </c>
      <c r="P428" s="9" t="e">
        <f t="shared" si="995"/>
        <v>#REF!</v>
      </c>
      <c r="Q428" s="9" t="e">
        <f t="shared" ref="Q428:U428" si="996">Q417-Q427</f>
        <v>#REF!</v>
      </c>
      <c r="R428" s="9"/>
      <c r="S428" s="9"/>
      <c r="T428" s="9"/>
      <c r="U428" s="9" t="e">
        <f t="shared" si="996"/>
        <v>#REF!</v>
      </c>
      <c r="V428" s="89"/>
    </row>
    <row r="429" spans="2:22" hidden="1" x14ac:dyDescent="0.25">
      <c r="B429" s="6" t="s">
        <v>573</v>
      </c>
      <c r="E429" s="6"/>
      <c r="F429" s="6"/>
      <c r="G429" s="6"/>
      <c r="H429" s="64"/>
      <c r="J429" s="9" t="e">
        <f>#REF!+#REF!</f>
        <v>#REF!</v>
      </c>
      <c r="K429" s="9" t="e">
        <f>#REF!+#REF!</f>
        <v>#REF!</v>
      </c>
      <c r="L429" s="9" t="e">
        <f>#REF!+#REF!</f>
        <v>#REF!</v>
      </c>
      <c r="M429" s="9" t="e">
        <f>#REF!+#REF!</f>
        <v>#REF!</v>
      </c>
      <c r="N429" s="9" t="e">
        <f>#REF!+#REF!</f>
        <v>#REF!</v>
      </c>
      <c r="O429" s="9" t="e">
        <f>#REF!+#REF!</f>
        <v>#REF!</v>
      </c>
      <c r="P429" s="9" t="e">
        <f>#REF!+#REF!</f>
        <v>#REF!</v>
      </c>
      <c r="Q429" s="9" t="e">
        <f>#REF!+#REF!</f>
        <v>#REF!</v>
      </c>
      <c r="R429" s="9"/>
      <c r="S429" s="9"/>
      <c r="T429" s="9"/>
      <c r="U429" s="9" t="e">
        <f>#REF!+#REF!</f>
        <v>#REF!</v>
      </c>
      <c r="V429" s="89"/>
    </row>
    <row r="430" spans="2:22" hidden="1" x14ac:dyDescent="0.25">
      <c r="E430" s="6"/>
      <c r="F430" s="6"/>
      <c r="G430" s="6"/>
      <c r="H430" s="64"/>
      <c r="J430" s="9" t="e">
        <f>J419-J429</f>
        <v>#REF!</v>
      </c>
      <c r="K430" s="9" t="e">
        <f t="shared" ref="K430:L430" si="997">K419-K429</f>
        <v>#REF!</v>
      </c>
      <c r="L430" s="9" t="e">
        <f t="shared" si="997"/>
        <v>#REF!</v>
      </c>
      <c r="M430" s="9" t="e">
        <f t="shared" ref="M430:N430" si="998">M419-M429</f>
        <v>#REF!</v>
      </c>
      <c r="N430" s="9" t="e">
        <f t="shared" si="998"/>
        <v>#REF!</v>
      </c>
      <c r="O430" s="9" t="e">
        <f t="shared" ref="O430:P430" si="999">O419-O429</f>
        <v>#REF!</v>
      </c>
      <c r="P430" s="9" t="e">
        <f t="shared" si="999"/>
        <v>#REF!</v>
      </c>
      <c r="Q430" s="9" t="e">
        <f t="shared" ref="Q430:U430" si="1000">Q419-Q429</f>
        <v>#REF!</v>
      </c>
      <c r="R430" s="9"/>
      <c r="S430" s="9"/>
      <c r="T430" s="9"/>
      <c r="U430" s="9" t="e">
        <f t="shared" si="1000"/>
        <v>#REF!</v>
      </c>
      <c r="V430" s="89"/>
    </row>
    <row r="431" spans="2:22" hidden="1" x14ac:dyDescent="0.25">
      <c r="E431" s="6"/>
      <c r="F431" s="6"/>
      <c r="G431" s="6"/>
      <c r="H431" s="64"/>
      <c r="J431" s="9"/>
      <c r="K431" s="9"/>
      <c r="L431" s="9"/>
      <c r="M431" s="9"/>
      <c r="N431" s="9"/>
      <c r="O431" s="9"/>
      <c r="P431" s="9"/>
      <c r="Q431" s="9"/>
      <c r="R431" s="9"/>
      <c r="S431" s="9"/>
      <c r="T431" s="9"/>
      <c r="U431" s="9"/>
      <c r="V431" s="89"/>
    </row>
    <row r="432" spans="2:22" hidden="1" x14ac:dyDescent="0.25">
      <c r="E432" s="6"/>
      <c r="F432" s="6"/>
      <c r="G432" s="6"/>
      <c r="H432" s="64"/>
      <c r="J432" s="9"/>
      <c r="K432" s="9"/>
      <c r="L432" s="9"/>
      <c r="M432" s="9"/>
      <c r="N432" s="9"/>
      <c r="O432" s="9"/>
      <c r="P432" s="9"/>
      <c r="Q432" s="9"/>
      <c r="R432" s="9"/>
      <c r="S432" s="9"/>
      <c r="T432" s="9"/>
      <c r="U432" s="9"/>
      <c r="V432" s="89"/>
    </row>
    <row r="433" spans="2:23" hidden="1" x14ac:dyDescent="0.25">
      <c r="E433" s="6"/>
      <c r="F433" s="6"/>
      <c r="G433" s="6"/>
      <c r="H433" s="64"/>
      <c r="J433" s="9"/>
      <c r="K433" s="9"/>
      <c r="L433" s="9"/>
      <c r="M433" s="9"/>
      <c r="N433" s="9"/>
      <c r="O433" s="9"/>
      <c r="P433" s="9"/>
      <c r="Q433" s="9"/>
      <c r="R433" s="9"/>
      <c r="S433" s="9"/>
      <c r="T433" s="9"/>
      <c r="U433" s="9"/>
      <c r="V433" s="89"/>
    </row>
    <row r="434" spans="2:23" s="431" customFormat="1" x14ac:dyDescent="0.25">
      <c r="B434" s="431" t="s">
        <v>665</v>
      </c>
      <c r="H434" s="432"/>
      <c r="J434" s="433">
        <v>234246433</v>
      </c>
      <c r="K434" s="433">
        <v>8505006</v>
      </c>
      <c r="L434" s="433">
        <v>242751439</v>
      </c>
      <c r="M434" s="433">
        <v>165681</v>
      </c>
      <c r="N434" s="433">
        <v>242917120</v>
      </c>
      <c r="O434" s="433">
        <v>-2522350</v>
      </c>
      <c r="P434" s="433">
        <v>240394770</v>
      </c>
      <c r="Q434" s="433"/>
      <c r="R434" s="433"/>
      <c r="S434" s="433"/>
      <c r="T434" s="433"/>
      <c r="U434" s="433"/>
      <c r="V434" s="426"/>
    </row>
    <row r="435" spans="2:23" s="431" customFormat="1" x14ac:dyDescent="0.25">
      <c r="H435" s="432"/>
      <c r="J435" s="433">
        <f t="shared" ref="J435:P435" si="1001">J393-J434</f>
        <v>0</v>
      </c>
      <c r="K435" s="433">
        <f t="shared" si="1001"/>
        <v>0</v>
      </c>
      <c r="L435" s="433">
        <f t="shared" si="1001"/>
        <v>0</v>
      </c>
      <c r="M435" s="433">
        <f t="shared" si="1001"/>
        <v>0</v>
      </c>
      <c r="N435" s="433">
        <f t="shared" si="1001"/>
        <v>0</v>
      </c>
      <c r="O435" s="433">
        <f t="shared" si="1001"/>
        <v>0</v>
      </c>
      <c r="P435" s="433">
        <f t="shared" si="1001"/>
        <v>0</v>
      </c>
      <c r="Q435" s="433">
        <f>Q393-Q434</f>
        <v>16540201.76</v>
      </c>
      <c r="R435" s="433"/>
      <c r="S435" s="433"/>
      <c r="T435" s="433"/>
      <c r="U435" s="433"/>
      <c r="V435" s="426"/>
      <c r="W435" s="433"/>
    </row>
    <row r="436" spans="2:23" x14ac:dyDescent="0.25">
      <c r="E436" s="6"/>
      <c r="F436" s="6"/>
      <c r="G436" s="6"/>
      <c r="H436" s="64"/>
      <c r="J436" s="9"/>
      <c r="K436" s="9"/>
      <c r="L436" s="9"/>
      <c r="M436" s="9"/>
      <c r="N436" s="9"/>
      <c r="O436" s="9"/>
      <c r="P436" s="9"/>
      <c r="Q436" s="9" t="e">
        <f>Q393-#REF!-#REF!-#REF!</f>
        <v>#REF!</v>
      </c>
      <c r="R436" s="9"/>
      <c r="S436" s="9"/>
      <c r="T436" s="9"/>
      <c r="U436" s="9"/>
      <c r="V436" s="89"/>
    </row>
    <row r="437" spans="2:23" x14ac:dyDescent="0.25">
      <c r="M437" s="9"/>
      <c r="O437" s="9"/>
      <c r="Q437" s="9"/>
      <c r="R437" s="9"/>
      <c r="S437" s="9"/>
      <c r="T437" s="9"/>
      <c r="V437" s="89"/>
    </row>
    <row r="438" spans="2:23" x14ac:dyDescent="0.25">
      <c r="V438" s="89"/>
    </row>
    <row r="439" spans="2:23" x14ac:dyDescent="0.25">
      <c r="E439" s="6"/>
      <c r="F439" s="6"/>
      <c r="G439" s="6"/>
      <c r="M439" s="9"/>
      <c r="O439" s="9"/>
      <c r="Q439" s="9" t="e">
        <f>Q393-#REF!</f>
        <v>#REF!</v>
      </c>
      <c r="R439" s="9"/>
      <c r="S439" s="9"/>
      <c r="T439" s="9"/>
      <c r="V439" s="89"/>
    </row>
    <row r="440" spans="2:23" x14ac:dyDescent="0.25">
      <c r="E440" s="6"/>
      <c r="F440" s="6"/>
      <c r="G440" s="6"/>
      <c r="V440" s="89"/>
    </row>
    <row r="441" spans="2:23" x14ac:dyDescent="0.25">
      <c r="E441" s="6"/>
      <c r="F441" s="6"/>
      <c r="G441" s="6"/>
      <c r="V441" s="89"/>
    </row>
    <row r="442" spans="2:23" x14ac:dyDescent="0.25">
      <c r="E442" s="6"/>
      <c r="F442" s="6"/>
      <c r="G442" s="6"/>
      <c r="V442" s="89"/>
    </row>
    <row r="443" spans="2:23" x14ac:dyDescent="0.25">
      <c r="E443" s="6"/>
      <c r="F443" s="6"/>
      <c r="G443" s="6"/>
      <c r="V443" s="89"/>
    </row>
    <row r="444" spans="2:23" x14ac:dyDescent="0.25">
      <c r="E444" s="6"/>
      <c r="F444" s="6"/>
      <c r="G444" s="6"/>
      <c r="V444" s="89"/>
    </row>
    <row r="445" spans="2:23" x14ac:dyDescent="0.25">
      <c r="V445" s="89"/>
    </row>
    <row r="446" spans="2:23" x14ac:dyDescent="0.25">
      <c r="E446" s="6"/>
      <c r="F446" s="6"/>
      <c r="G446" s="6"/>
      <c r="V446" s="89"/>
    </row>
    <row r="447" spans="2:23" x14ac:dyDescent="0.25">
      <c r="E447" s="6"/>
      <c r="F447" s="6"/>
      <c r="G447" s="6"/>
      <c r="V447" s="89"/>
    </row>
    <row r="448" spans="2:23" x14ac:dyDescent="0.25">
      <c r="E448" s="6"/>
      <c r="F448" s="6"/>
      <c r="G448" s="6"/>
    </row>
  </sheetData>
  <mergeCells count="156">
    <mergeCell ref="A385:B385"/>
    <mergeCell ref="A390:B390"/>
    <mergeCell ref="A210:B210"/>
    <mergeCell ref="A211:B211"/>
    <mergeCell ref="A224:B224"/>
    <mergeCell ref="A215:B215"/>
    <mergeCell ref="A218:B218"/>
    <mergeCell ref="A256:B256"/>
    <mergeCell ref="A257:B257"/>
    <mergeCell ref="A260:B260"/>
    <mergeCell ref="A278:B278"/>
    <mergeCell ref="A285:B285"/>
    <mergeCell ref="A369:B369"/>
    <mergeCell ref="A374:B374"/>
    <mergeCell ref="A375:B375"/>
    <mergeCell ref="A365:B365"/>
    <mergeCell ref="A347:B347"/>
    <mergeCell ref="A348:B348"/>
    <mergeCell ref="A349:B349"/>
    <mergeCell ref="A354:B354"/>
    <mergeCell ref="A252:B252"/>
    <mergeCell ref="A316:B316"/>
    <mergeCell ref="A126:B126"/>
    <mergeCell ref="F1:I1"/>
    <mergeCell ref="A135:B135"/>
    <mergeCell ref="A71:B71"/>
    <mergeCell ref="A72:B72"/>
    <mergeCell ref="A78:B78"/>
    <mergeCell ref="A79:B79"/>
    <mergeCell ref="A108:B108"/>
    <mergeCell ref="A73:B73"/>
    <mergeCell ref="A65:B65"/>
    <mergeCell ref="A66:B66"/>
    <mergeCell ref="A112:B112"/>
    <mergeCell ref="A96:B96"/>
    <mergeCell ref="A93:B93"/>
    <mergeCell ref="A113:B113"/>
    <mergeCell ref="A132:B132"/>
    <mergeCell ref="F2:U2"/>
    <mergeCell ref="A173:B173"/>
    <mergeCell ref="A176:B176"/>
    <mergeCell ref="A270:B270"/>
    <mergeCell ref="A160:B160"/>
    <mergeCell ref="A281:B281"/>
    <mergeCell ref="A153:B153"/>
    <mergeCell ref="A156:B156"/>
    <mergeCell ref="A384:B384"/>
    <mergeCell ref="A382:B382"/>
    <mergeCell ref="A383:B383"/>
    <mergeCell ref="A206:B206"/>
    <mergeCell ref="A304:B304"/>
    <mergeCell ref="A150:B150"/>
    <mergeCell ref="A146:B146"/>
    <mergeCell ref="A163:B163"/>
    <mergeCell ref="A166:B166"/>
    <mergeCell ref="A319:B319"/>
    <mergeCell ref="A320:B320"/>
    <mergeCell ref="A321:B321"/>
    <mergeCell ref="A338:B338"/>
    <mergeCell ref="A227:B227"/>
    <mergeCell ref="A202:B202"/>
    <mergeCell ref="A203:B203"/>
    <mergeCell ref="A305:B305"/>
    <mergeCell ref="A306:B306"/>
    <mergeCell ref="A307:B307"/>
    <mergeCell ref="A212:B212"/>
    <mergeCell ref="A290:B290"/>
    <mergeCell ref="A293:B293"/>
    <mergeCell ref="A169:B169"/>
    <mergeCell ref="A221:B221"/>
    <mergeCell ref="A273:B273"/>
    <mergeCell ref="A185:B185"/>
    <mergeCell ref="A209:B209"/>
    <mergeCell ref="A172:B172"/>
    <mergeCell ref="A137:B137"/>
    <mergeCell ref="A123:B123"/>
    <mergeCell ref="A86:B86"/>
    <mergeCell ref="A129:B129"/>
    <mergeCell ref="A276:B276"/>
    <mergeCell ref="A277:B277"/>
    <mergeCell ref="A368:B368"/>
    <mergeCell ref="A364:B364"/>
    <mergeCell ref="A325:B325"/>
    <mergeCell ref="A326:B326"/>
    <mergeCell ref="A294:B294"/>
    <mergeCell ref="A299:B299"/>
    <mergeCell ref="A246:B246"/>
    <mergeCell ref="A249:B249"/>
    <mergeCell ref="A237:B237"/>
    <mergeCell ref="A315:B315"/>
    <mergeCell ref="A234:B234"/>
    <mergeCell ref="A243:B243"/>
    <mergeCell ref="A102:B102"/>
    <mergeCell ref="A103:B103"/>
    <mergeCell ref="A120:B120"/>
    <mergeCell ref="A282:B282"/>
    <mergeCell ref="A182:B182"/>
    <mergeCell ref="A355:B355"/>
    <mergeCell ref="A92:B92"/>
    <mergeCell ref="A99:B99"/>
    <mergeCell ref="A83:B83"/>
    <mergeCell ref="A53:B53"/>
    <mergeCell ref="A56:B56"/>
    <mergeCell ref="A80:B80"/>
    <mergeCell ref="A89:B89"/>
    <mergeCell ref="A64:B64"/>
    <mergeCell ref="A117:B117"/>
    <mergeCell ref="A59:B59"/>
    <mergeCell ref="A370:B370"/>
    <mergeCell ref="A371:B371"/>
    <mergeCell ref="A177:B177"/>
    <mergeCell ref="A178:B178"/>
    <mergeCell ref="A181:B181"/>
    <mergeCell ref="A188:B188"/>
    <mergeCell ref="A191:B191"/>
    <mergeCell ref="A192:B192"/>
    <mergeCell ref="A195:B195"/>
    <mergeCell ref="A196:B196"/>
    <mergeCell ref="A201:B201"/>
    <mergeCell ref="A340:B340"/>
    <mergeCell ref="B341:C341"/>
    <mergeCell ref="A339:B339"/>
    <mergeCell ref="A253:B253"/>
    <mergeCell ref="A228:B228"/>
    <mergeCell ref="A231:B231"/>
    <mergeCell ref="A240:B240"/>
    <mergeCell ref="A344:B344"/>
    <mergeCell ref="A343:B343"/>
    <mergeCell ref="A360:B360"/>
    <mergeCell ref="A330:B330"/>
    <mergeCell ref="A331:B331"/>
    <mergeCell ref="A335:B335"/>
    <mergeCell ref="A324:B324"/>
    <mergeCell ref="A3:U3"/>
    <mergeCell ref="A5:B5"/>
    <mergeCell ref="A6:B6"/>
    <mergeCell ref="A7:B7"/>
    <mergeCell ref="A8:B8"/>
    <mergeCell ref="A9:B9"/>
    <mergeCell ref="A12:B12"/>
    <mergeCell ref="A36:B36"/>
    <mergeCell ref="A48:B48"/>
    <mergeCell ref="A42:B42"/>
    <mergeCell ref="A45:B45"/>
    <mergeCell ref="A37:B37"/>
    <mergeCell ref="A28:B28"/>
    <mergeCell ref="A29:B29"/>
    <mergeCell ref="A24:B24"/>
    <mergeCell ref="A25:B25"/>
    <mergeCell ref="A32:B32"/>
    <mergeCell ref="A21:B21"/>
    <mergeCell ref="A147:B147"/>
    <mergeCell ref="A33:B33"/>
    <mergeCell ref="A136:B136"/>
    <mergeCell ref="A140:B140"/>
    <mergeCell ref="A145:B145"/>
  </mergeCells>
  <pageMargins left="0.59055118110236227" right="0.19685039370078741" top="0.19685039370078741" bottom="0.19685039370078741" header="0.31496062992125984" footer="0.31496062992125984"/>
  <pageSetup paperSize="9" scale="7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99"/>
  </sheetPr>
  <dimension ref="A1:T488"/>
  <sheetViews>
    <sheetView zoomScaleNormal="100" workbookViewId="0">
      <pane xSplit="10" ySplit="5" topLeftCell="K6" activePane="bottomRight" state="frozen"/>
      <selection activeCell="A4" sqref="A4:C4"/>
      <selection pane="topRight" activeCell="A4" sqref="A4:C4"/>
      <selection pane="bottomLeft" activeCell="A4" sqref="A4:C4"/>
      <selection pane="bottomRight" activeCell="B15" sqref="B15"/>
    </sheetView>
  </sheetViews>
  <sheetFormatPr defaultRowHeight="12" x14ac:dyDescent="0.25"/>
  <cols>
    <col min="1" max="1" width="2.140625" style="66" customWidth="1"/>
    <col min="2" max="2" width="56.28515625" style="66" customWidth="1"/>
    <col min="3" max="3" width="4" style="66" hidden="1" customWidth="1"/>
    <col min="4" max="5" width="4" style="66" customWidth="1"/>
    <col min="6" max="6" width="4.140625" style="73" customWidth="1"/>
    <col min="7" max="8" width="4" style="73" hidden="1" customWidth="1"/>
    <col min="9" max="9" width="5.85546875" style="73" customWidth="1"/>
    <col min="10" max="10" width="4" style="66" customWidth="1"/>
    <col min="11" max="11" width="14.5703125" style="66" hidden="1" customWidth="1"/>
    <col min="12" max="12" width="11.85546875" style="66" hidden="1" customWidth="1"/>
    <col min="13" max="13" width="13.28515625" style="66" hidden="1" customWidth="1"/>
    <col min="14" max="14" width="11.85546875" style="66" hidden="1" customWidth="1"/>
    <col min="15" max="15" width="13.28515625" style="66" hidden="1" customWidth="1"/>
    <col min="16" max="16" width="11.85546875" style="66" hidden="1" customWidth="1"/>
    <col min="17" max="17" width="13.28515625" style="66" hidden="1" customWidth="1"/>
    <col min="18" max="18" width="12" style="66" hidden="1" customWidth="1"/>
    <col min="19" max="19" width="17.7109375" style="66" customWidth="1"/>
    <col min="20" max="229" width="9.140625" style="66"/>
    <col min="230" max="230" width="1.42578125" style="66" customWidth="1"/>
    <col min="231" max="231" width="59.5703125" style="66" customWidth="1"/>
    <col min="232" max="232" width="9.140625" style="66" customWidth="1"/>
    <col min="233" max="234" width="3.85546875" style="66" customWidth="1"/>
    <col min="235" max="235" width="10.5703125" style="66" customWidth="1"/>
    <col min="236" max="236" width="3.85546875" style="66" customWidth="1"/>
    <col min="237" max="239" width="14.42578125" style="66" customWidth="1"/>
    <col min="240" max="240" width="4.140625" style="66" customWidth="1"/>
    <col min="241" max="241" width="15" style="66" customWidth="1"/>
    <col min="242" max="243" width="9.140625" style="66" customWidth="1"/>
    <col min="244" max="244" width="11.5703125" style="66" customWidth="1"/>
    <col min="245" max="245" width="18.140625" style="66" customWidth="1"/>
    <col min="246" max="246" width="13.140625" style="66" customWidth="1"/>
    <col min="247" max="247" width="12.28515625" style="66" customWidth="1"/>
    <col min="248" max="485" width="9.140625" style="66"/>
    <col min="486" max="486" width="1.42578125" style="66" customWidth="1"/>
    <col min="487" max="487" width="59.5703125" style="66" customWidth="1"/>
    <col min="488" max="488" width="9.140625" style="66" customWidth="1"/>
    <col min="489" max="490" width="3.85546875" style="66" customWidth="1"/>
    <col min="491" max="491" width="10.5703125" style="66" customWidth="1"/>
    <col min="492" max="492" width="3.85546875" style="66" customWidth="1"/>
    <col min="493" max="495" width="14.42578125" style="66" customWidth="1"/>
    <col min="496" max="496" width="4.140625" style="66" customWidth="1"/>
    <col min="497" max="497" width="15" style="66" customWidth="1"/>
    <col min="498" max="499" width="9.140625" style="66" customWidth="1"/>
    <col min="500" max="500" width="11.5703125" style="66" customWidth="1"/>
    <col min="501" max="501" width="18.140625" style="66" customWidth="1"/>
    <col min="502" max="502" width="13.140625" style="66" customWidth="1"/>
    <col min="503" max="503" width="12.28515625" style="66" customWidth="1"/>
    <col min="504" max="741" width="9.140625" style="66"/>
    <col min="742" max="742" width="1.42578125" style="66" customWidth="1"/>
    <col min="743" max="743" width="59.5703125" style="66" customWidth="1"/>
    <col min="744" max="744" width="9.140625" style="66" customWidth="1"/>
    <col min="745" max="746" width="3.85546875" style="66" customWidth="1"/>
    <col min="747" max="747" width="10.5703125" style="66" customWidth="1"/>
    <col min="748" max="748" width="3.85546875" style="66" customWidth="1"/>
    <col min="749" max="751" width="14.42578125" style="66" customWidth="1"/>
    <col min="752" max="752" width="4.140625" style="66" customWidth="1"/>
    <col min="753" max="753" width="15" style="66" customWidth="1"/>
    <col min="754" max="755" width="9.140625" style="66" customWidth="1"/>
    <col min="756" max="756" width="11.5703125" style="66" customWidth="1"/>
    <col min="757" max="757" width="18.140625" style="66" customWidth="1"/>
    <col min="758" max="758" width="13.140625" style="66" customWidth="1"/>
    <col min="759" max="759" width="12.28515625" style="66" customWidth="1"/>
    <col min="760" max="997" width="9.140625" style="66"/>
    <col min="998" max="998" width="1.42578125" style="66" customWidth="1"/>
    <col min="999" max="999" width="59.5703125" style="66" customWidth="1"/>
    <col min="1000" max="1000" width="9.140625" style="66" customWidth="1"/>
    <col min="1001" max="1002" width="3.85546875" style="66" customWidth="1"/>
    <col min="1003" max="1003" width="10.5703125" style="66" customWidth="1"/>
    <col min="1004" max="1004" width="3.85546875" style="66" customWidth="1"/>
    <col min="1005" max="1007" width="14.42578125" style="66" customWidth="1"/>
    <col min="1008" max="1008" width="4.140625" style="66" customWidth="1"/>
    <col min="1009" max="1009" width="15" style="66" customWidth="1"/>
    <col min="1010" max="1011" width="9.140625" style="66" customWidth="1"/>
    <col min="1012" max="1012" width="11.5703125" style="66" customWidth="1"/>
    <col min="1013" max="1013" width="18.140625" style="66" customWidth="1"/>
    <col min="1014" max="1014" width="13.140625" style="66" customWidth="1"/>
    <col min="1015" max="1015" width="12.28515625" style="66" customWidth="1"/>
    <col min="1016" max="1253" width="9.140625" style="66"/>
    <col min="1254" max="1254" width="1.42578125" style="66" customWidth="1"/>
    <col min="1255" max="1255" width="59.5703125" style="66" customWidth="1"/>
    <col min="1256" max="1256" width="9.140625" style="66" customWidth="1"/>
    <col min="1257" max="1258" width="3.85546875" style="66" customWidth="1"/>
    <col min="1259" max="1259" width="10.5703125" style="66" customWidth="1"/>
    <col min="1260" max="1260" width="3.85546875" style="66" customWidth="1"/>
    <col min="1261" max="1263" width="14.42578125" style="66" customWidth="1"/>
    <col min="1264" max="1264" width="4.140625" style="66" customWidth="1"/>
    <col min="1265" max="1265" width="15" style="66" customWidth="1"/>
    <col min="1266" max="1267" width="9.140625" style="66" customWidth="1"/>
    <col min="1268" max="1268" width="11.5703125" style="66" customWidth="1"/>
    <col min="1269" max="1269" width="18.140625" style="66" customWidth="1"/>
    <col min="1270" max="1270" width="13.140625" style="66" customWidth="1"/>
    <col min="1271" max="1271" width="12.28515625" style="66" customWidth="1"/>
    <col min="1272" max="1509" width="9.140625" style="66"/>
    <col min="1510" max="1510" width="1.42578125" style="66" customWidth="1"/>
    <col min="1511" max="1511" width="59.5703125" style="66" customWidth="1"/>
    <col min="1512" max="1512" width="9.140625" style="66" customWidth="1"/>
    <col min="1513" max="1514" width="3.85546875" style="66" customWidth="1"/>
    <col min="1515" max="1515" width="10.5703125" style="66" customWidth="1"/>
    <col min="1516" max="1516" width="3.85546875" style="66" customWidth="1"/>
    <col min="1517" max="1519" width="14.42578125" style="66" customWidth="1"/>
    <col min="1520" max="1520" width="4.140625" style="66" customWidth="1"/>
    <col min="1521" max="1521" width="15" style="66" customWidth="1"/>
    <col min="1522" max="1523" width="9.140625" style="66" customWidth="1"/>
    <col min="1524" max="1524" width="11.5703125" style="66" customWidth="1"/>
    <col min="1525" max="1525" width="18.140625" style="66" customWidth="1"/>
    <col min="1526" max="1526" width="13.140625" style="66" customWidth="1"/>
    <col min="1527" max="1527" width="12.28515625" style="66" customWidth="1"/>
    <col min="1528" max="1765" width="9.140625" style="66"/>
    <col min="1766" max="1766" width="1.42578125" style="66" customWidth="1"/>
    <col min="1767" max="1767" width="59.5703125" style="66" customWidth="1"/>
    <col min="1768" max="1768" width="9.140625" style="66" customWidth="1"/>
    <col min="1769" max="1770" width="3.85546875" style="66" customWidth="1"/>
    <col min="1771" max="1771" width="10.5703125" style="66" customWidth="1"/>
    <col min="1772" max="1772" width="3.85546875" style="66" customWidth="1"/>
    <col min="1773" max="1775" width="14.42578125" style="66" customWidth="1"/>
    <col min="1776" max="1776" width="4.140625" style="66" customWidth="1"/>
    <col min="1777" max="1777" width="15" style="66" customWidth="1"/>
    <col min="1778" max="1779" width="9.140625" style="66" customWidth="1"/>
    <col min="1780" max="1780" width="11.5703125" style="66" customWidth="1"/>
    <col min="1781" max="1781" width="18.140625" style="66" customWidth="1"/>
    <col min="1782" max="1782" width="13.140625" style="66" customWidth="1"/>
    <col min="1783" max="1783" width="12.28515625" style="66" customWidth="1"/>
    <col min="1784" max="2021" width="9.140625" style="66"/>
    <col min="2022" max="2022" width="1.42578125" style="66" customWidth="1"/>
    <col min="2023" max="2023" width="59.5703125" style="66" customWidth="1"/>
    <col min="2024" max="2024" width="9.140625" style="66" customWidth="1"/>
    <col min="2025" max="2026" width="3.85546875" style="66" customWidth="1"/>
    <col min="2027" max="2027" width="10.5703125" style="66" customWidth="1"/>
    <col min="2028" max="2028" width="3.85546875" style="66" customWidth="1"/>
    <col min="2029" max="2031" width="14.42578125" style="66" customWidth="1"/>
    <col min="2032" max="2032" width="4.140625" style="66" customWidth="1"/>
    <col min="2033" max="2033" width="15" style="66" customWidth="1"/>
    <col min="2034" max="2035" width="9.140625" style="66" customWidth="1"/>
    <col min="2036" max="2036" width="11.5703125" style="66" customWidth="1"/>
    <col min="2037" max="2037" width="18.140625" style="66" customWidth="1"/>
    <col min="2038" max="2038" width="13.140625" style="66" customWidth="1"/>
    <col min="2039" max="2039" width="12.28515625" style="66" customWidth="1"/>
    <col min="2040" max="2277" width="9.140625" style="66"/>
    <col min="2278" max="2278" width="1.42578125" style="66" customWidth="1"/>
    <col min="2279" max="2279" width="59.5703125" style="66" customWidth="1"/>
    <col min="2280" max="2280" width="9.140625" style="66" customWidth="1"/>
    <col min="2281" max="2282" width="3.85546875" style="66" customWidth="1"/>
    <col min="2283" max="2283" width="10.5703125" style="66" customWidth="1"/>
    <col min="2284" max="2284" width="3.85546875" style="66" customWidth="1"/>
    <col min="2285" max="2287" width="14.42578125" style="66" customWidth="1"/>
    <col min="2288" max="2288" width="4.140625" style="66" customWidth="1"/>
    <col min="2289" max="2289" width="15" style="66" customWidth="1"/>
    <col min="2290" max="2291" width="9.140625" style="66" customWidth="1"/>
    <col min="2292" max="2292" width="11.5703125" style="66" customWidth="1"/>
    <col min="2293" max="2293" width="18.140625" style="66" customWidth="1"/>
    <col min="2294" max="2294" width="13.140625" style="66" customWidth="1"/>
    <col min="2295" max="2295" width="12.28515625" style="66" customWidth="1"/>
    <col min="2296" max="2533" width="9.140625" style="66"/>
    <col min="2534" max="2534" width="1.42578125" style="66" customWidth="1"/>
    <col min="2535" max="2535" width="59.5703125" style="66" customWidth="1"/>
    <col min="2536" max="2536" width="9.140625" style="66" customWidth="1"/>
    <col min="2537" max="2538" width="3.85546875" style="66" customWidth="1"/>
    <col min="2539" max="2539" width="10.5703125" style="66" customWidth="1"/>
    <col min="2540" max="2540" width="3.85546875" style="66" customWidth="1"/>
    <col min="2541" max="2543" width="14.42578125" style="66" customWidth="1"/>
    <col min="2544" max="2544" width="4.140625" style="66" customWidth="1"/>
    <col min="2545" max="2545" width="15" style="66" customWidth="1"/>
    <col min="2546" max="2547" width="9.140625" style="66" customWidth="1"/>
    <col min="2548" max="2548" width="11.5703125" style="66" customWidth="1"/>
    <col min="2549" max="2549" width="18.140625" style="66" customWidth="1"/>
    <col min="2550" max="2550" width="13.140625" style="66" customWidth="1"/>
    <col min="2551" max="2551" width="12.28515625" style="66" customWidth="1"/>
    <col min="2552" max="2789" width="9.140625" style="66"/>
    <col min="2790" max="2790" width="1.42578125" style="66" customWidth="1"/>
    <col min="2791" max="2791" width="59.5703125" style="66" customWidth="1"/>
    <col min="2792" max="2792" width="9.140625" style="66" customWidth="1"/>
    <col min="2793" max="2794" width="3.85546875" style="66" customWidth="1"/>
    <col min="2795" max="2795" width="10.5703125" style="66" customWidth="1"/>
    <col min="2796" max="2796" width="3.85546875" style="66" customWidth="1"/>
    <col min="2797" max="2799" width="14.42578125" style="66" customWidth="1"/>
    <col min="2800" max="2800" width="4.140625" style="66" customWidth="1"/>
    <col min="2801" max="2801" width="15" style="66" customWidth="1"/>
    <col min="2802" max="2803" width="9.140625" style="66" customWidth="1"/>
    <col min="2804" max="2804" width="11.5703125" style="66" customWidth="1"/>
    <col min="2805" max="2805" width="18.140625" style="66" customWidth="1"/>
    <col min="2806" max="2806" width="13.140625" style="66" customWidth="1"/>
    <col min="2807" max="2807" width="12.28515625" style="66" customWidth="1"/>
    <col min="2808" max="3045" width="9.140625" style="66"/>
    <col min="3046" max="3046" width="1.42578125" style="66" customWidth="1"/>
    <col min="3047" max="3047" width="59.5703125" style="66" customWidth="1"/>
    <col min="3048" max="3048" width="9.140625" style="66" customWidth="1"/>
    <col min="3049" max="3050" width="3.85546875" style="66" customWidth="1"/>
    <col min="3051" max="3051" width="10.5703125" style="66" customWidth="1"/>
    <col min="3052" max="3052" width="3.85546875" style="66" customWidth="1"/>
    <col min="3053" max="3055" width="14.42578125" style="66" customWidth="1"/>
    <col min="3056" max="3056" width="4.140625" style="66" customWidth="1"/>
    <col min="3057" max="3057" width="15" style="66" customWidth="1"/>
    <col min="3058" max="3059" width="9.140625" style="66" customWidth="1"/>
    <col min="3060" max="3060" width="11.5703125" style="66" customWidth="1"/>
    <col min="3061" max="3061" width="18.140625" style="66" customWidth="1"/>
    <col min="3062" max="3062" width="13.140625" style="66" customWidth="1"/>
    <col min="3063" max="3063" width="12.28515625" style="66" customWidth="1"/>
    <col min="3064" max="3301" width="9.140625" style="66"/>
    <col min="3302" max="3302" width="1.42578125" style="66" customWidth="1"/>
    <col min="3303" max="3303" width="59.5703125" style="66" customWidth="1"/>
    <col min="3304" max="3304" width="9.140625" style="66" customWidth="1"/>
    <col min="3305" max="3306" width="3.85546875" style="66" customWidth="1"/>
    <col min="3307" max="3307" width="10.5703125" style="66" customWidth="1"/>
    <col min="3308" max="3308" width="3.85546875" style="66" customWidth="1"/>
    <col min="3309" max="3311" width="14.42578125" style="66" customWidth="1"/>
    <col min="3312" max="3312" width="4.140625" style="66" customWidth="1"/>
    <col min="3313" max="3313" width="15" style="66" customWidth="1"/>
    <col min="3314" max="3315" width="9.140625" style="66" customWidth="1"/>
    <col min="3316" max="3316" width="11.5703125" style="66" customWidth="1"/>
    <col min="3317" max="3317" width="18.140625" style="66" customWidth="1"/>
    <col min="3318" max="3318" width="13.140625" style="66" customWidth="1"/>
    <col min="3319" max="3319" width="12.28515625" style="66" customWidth="1"/>
    <col min="3320" max="3557" width="9.140625" style="66"/>
    <col min="3558" max="3558" width="1.42578125" style="66" customWidth="1"/>
    <col min="3559" max="3559" width="59.5703125" style="66" customWidth="1"/>
    <col min="3560" max="3560" width="9.140625" style="66" customWidth="1"/>
    <col min="3561" max="3562" width="3.85546875" style="66" customWidth="1"/>
    <col min="3563" max="3563" width="10.5703125" style="66" customWidth="1"/>
    <col min="3564" max="3564" width="3.85546875" style="66" customWidth="1"/>
    <col min="3565" max="3567" width="14.42578125" style="66" customWidth="1"/>
    <col min="3568" max="3568" width="4.140625" style="66" customWidth="1"/>
    <col min="3569" max="3569" width="15" style="66" customWidth="1"/>
    <col min="3570" max="3571" width="9.140625" style="66" customWidth="1"/>
    <col min="3572" max="3572" width="11.5703125" style="66" customWidth="1"/>
    <col min="3573" max="3573" width="18.140625" style="66" customWidth="1"/>
    <col min="3574" max="3574" width="13.140625" style="66" customWidth="1"/>
    <col min="3575" max="3575" width="12.28515625" style="66" customWidth="1"/>
    <col min="3576" max="3813" width="9.140625" style="66"/>
    <col min="3814" max="3814" width="1.42578125" style="66" customWidth="1"/>
    <col min="3815" max="3815" width="59.5703125" style="66" customWidth="1"/>
    <col min="3816" max="3816" width="9.140625" style="66" customWidth="1"/>
    <col min="3817" max="3818" width="3.85546875" style="66" customWidth="1"/>
    <col min="3819" max="3819" width="10.5703125" style="66" customWidth="1"/>
    <col min="3820" max="3820" width="3.85546875" style="66" customWidth="1"/>
    <col min="3821" max="3823" width="14.42578125" style="66" customWidth="1"/>
    <col min="3824" max="3824" width="4.140625" style="66" customWidth="1"/>
    <col min="3825" max="3825" width="15" style="66" customWidth="1"/>
    <col min="3826" max="3827" width="9.140625" style="66" customWidth="1"/>
    <col min="3828" max="3828" width="11.5703125" style="66" customWidth="1"/>
    <col min="3829" max="3829" width="18.140625" style="66" customWidth="1"/>
    <col min="3830" max="3830" width="13.140625" style="66" customWidth="1"/>
    <col min="3831" max="3831" width="12.28515625" style="66" customWidth="1"/>
    <col min="3832" max="4069" width="9.140625" style="66"/>
    <col min="4070" max="4070" width="1.42578125" style="66" customWidth="1"/>
    <col min="4071" max="4071" width="59.5703125" style="66" customWidth="1"/>
    <col min="4072" max="4072" width="9.140625" style="66" customWidth="1"/>
    <col min="4073" max="4074" width="3.85546875" style="66" customWidth="1"/>
    <col min="4075" max="4075" width="10.5703125" style="66" customWidth="1"/>
    <col min="4076" max="4076" width="3.85546875" style="66" customWidth="1"/>
    <col min="4077" max="4079" width="14.42578125" style="66" customWidth="1"/>
    <col min="4080" max="4080" width="4.140625" style="66" customWidth="1"/>
    <col min="4081" max="4081" width="15" style="66" customWidth="1"/>
    <col min="4082" max="4083" width="9.140625" style="66" customWidth="1"/>
    <col min="4084" max="4084" width="11.5703125" style="66" customWidth="1"/>
    <col min="4085" max="4085" width="18.140625" style="66" customWidth="1"/>
    <col min="4086" max="4086" width="13.140625" style="66" customWidth="1"/>
    <col min="4087" max="4087" width="12.28515625" style="66" customWidth="1"/>
    <col min="4088" max="4325" width="9.140625" style="66"/>
    <col min="4326" max="4326" width="1.42578125" style="66" customWidth="1"/>
    <col min="4327" max="4327" width="59.5703125" style="66" customWidth="1"/>
    <col min="4328" max="4328" width="9.140625" style="66" customWidth="1"/>
    <col min="4329" max="4330" width="3.85546875" style="66" customWidth="1"/>
    <col min="4331" max="4331" width="10.5703125" style="66" customWidth="1"/>
    <col min="4332" max="4332" width="3.85546875" style="66" customWidth="1"/>
    <col min="4333" max="4335" width="14.42578125" style="66" customWidth="1"/>
    <col min="4336" max="4336" width="4.140625" style="66" customWidth="1"/>
    <col min="4337" max="4337" width="15" style="66" customWidth="1"/>
    <col min="4338" max="4339" width="9.140625" style="66" customWidth="1"/>
    <col min="4340" max="4340" width="11.5703125" style="66" customWidth="1"/>
    <col min="4341" max="4341" width="18.140625" style="66" customWidth="1"/>
    <col min="4342" max="4342" width="13.140625" style="66" customWidth="1"/>
    <col min="4343" max="4343" width="12.28515625" style="66" customWidth="1"/>
    <col min="4344" max="4581" width="9.140625" style="66"/>
    <col min="4582" max="4582" width="1.42578125" style="66" customWidth="1"/>
    <col min="4583" max="4583" width="59.5703125" style="66" customWidth="1"/>
    <col min="4584" max="4584" width="9.140625" style="66" customWidth="1"/>
    <col min="4585" max="4586" width="3.85546875" style="66" customWidth="1"/>
    <col min="4587" max="4587" width="10.5703125" style="66" customWidth="1"/>
    <col min="4588" max="4588" width="3.85546875" style="66" customWidth="1"/>
    <col min="4589" max="4591" width="14.42578125" style="66" customWidth="1"/>
    <col min="4592" max="4592" width="4.140625" style="66" customWidth="1"/>
    <col min="4593" max="4593" width="15" style="66" customWidth="1"/>
    <col min="4594" max="4595" width="9.140625" style="66" customWidth="1"/>
    <col min="4596" max="4596" width="11.5703125" style="66" customWidth="1"/>
    <col min="4597" max="4597" width="18.140625" style="66" customWidth="1"/>
    <col min="4598" max="4598" width="13.140625" style="66" customWidth="1"/>
    <col min="4599" max="4599" width="12.28515625" style="66" customWidth="1"/>
    <col min="4600" max="4837" width="9.140625" style="66"/>
    <col min="4838" max="4838" width="1.42578125" style="66" customWidth="1"/>
    <col min="4839" max="4839" width="59.5703125" style="66" customWidth="1"/>
    <col min="4840" max="4840" width="9.140625" style="66" customWidth="1"/>
    <col min="4841" max="4842" width="3.85546875" style="66" customWidth="1"/>
    <col min="4843" max="4843" width="10.5703125" style="66" customWidth="1"/>
    <col min="4844" max="4844" width="3.85546875" style="66" customWidth="1"/>
    <col min="4845" max="4847" width="14.42578125" style="66" customWidth="1"/>
    <col min="4848" max="4848" width="4.140625" style="66" customWidth="1"/>
    <col min="4849" max="4849" width="15" style="66" customWidth="1"/>
    <col min="4850" max="4851" width="9.140625" style="66" customWidth="1"/>
    <col min="4852" max="4852" width="11.5703125" style="66" customWidth="1"/>
    <col min="4853" max="4853" width="18.140625" style="66" customWidth="1"/>
    <col min="4854" max="4854" width="13.140625" style="66" customWidth="1"/>
    <col min="4855" max="4855" width="12.28515625" style="66" customWidth="1"/>
    <col min="4856" max="5093" width="9.140625" style="66"/>
    <col min="5094" max="5094" width="1.42578125" style="66" customWidth="1"/>
    <col min="5095" max="5095" width="59.5703125" style="66" customWidth="1"/>
    <col min="5096" max="5096" width="9.140625" style="66" customWidth="1"/>
    <col min="5097" max="5098" width="3.85546875" style="66" customWidth="1"/>
    <col min="5099" max="5099" width="10.5703125" style="66" customWidth="1"/>
    <col min="5100" max="5100" width="3.85546875" style="66" customWidth="1"/>
    <col min="5101" max="5103" width="14.42578125" style="66" customWidth="1"/>
    <col min="5104" max="5104" width="4.140625" style="66" customWidth="1"/>
    <col min="5105" max="5105" width="15" style="66" customWidth="1"/>
    <col min="5106" max="5107" width="9.140625" style="66" customWidth="1"/>
    <col min="5108" max="5108" width="11.5703125" style="66" customWidth="1"/>
    <col min="5109" max="5109" width="18.140625" style="66" customWidth="1"/>
    <col min="5110" max="5110" width="13.140625" style="66" customWidth="1"/>
    <col min="5111" max="5111" width="12.28515625" style="66" customWidth="1"/>
    <col min="5112" max="5349" width="9.140625" style="66"/>
    <col min="5350" max="5350" width="1.42578125" style="66" customWidth="1"/>
    <col min="5351" max="5351" width="59.5703125" style="66" customWidth="1"/>
    <col min="5352" max="5352" width="9.140625" style="66" customWidth="1"/>
    <col min="5353" max="5354" width="3.85546875" style="66" customWidth="1"/>
    <col min="5355" max="5355" width="10.5703125" style="66" customWidth="1"/>
    <col min="5356" max="5356" width="3.85546875" style="66" customWidth="1"/>
    <col min="5357" max="5359" width="14.42578125" style="66" customWidth="1"/>
    <col min="5360" max="5360" width="4.140625" style="66" customWidth="1"/>
    <col min="5361" max="5361" width="15" style="66" customWidth="1"/>
    <col min="5362" max="5363" width="9.140625" style="66" customWidth="1"/>
    <col min="5364" max="5364" width="11.5703125" style="66" customWidth="1"/>
    <col min="5365" max="5365" width="18.140625" style="66" customWidth="1"/>
    <col min="5366" max="5366" width="13.140625" style="66" customWidth="1"/>
    <col min="5367" max="5367" width="12.28515625" style="66" customWidth="1"/>
    <col min="5368" max="5605" width="9.140625" style="66"/>
    <col min="5606" max="5606" width="1.42578125" style="66" customWidth="1"/>
    <col min="5607" max="5607" width="59.5703125" style="66" customWidth="1"/>
    <col min="5608" max="5608" width="9.140625" style="66" customWidth="1"/>
    <col min="5609" max="5610" width="3.85546875" style="66" customWidth="1"/>
    <col min="5611" max="5611" width="10.5703125" style="66" customWidth="1"/>
    <col min="5612" max="5612" width="3.85546875" style="66" customWidth="1"/>
    <col min="5613" max="5615" width="14.42578125" style="66" customWidth="1"/>
    <col min="5616" max="5616" width="4.140625" style="66" customWidth="1"/>
    <col min="5617" max="5617" width="15" style="66" customWidth="1"/>
    <col min="5618" max="5619" width="9.140625" style="66" customWidth="1"/>
    <col min="5620" max="5620" width="11.5703125" style="66" customWidth="1"/>
    <col min="5621" max="5621" width="18.140625" style="66" customWidth="1"/>
    <col min="5622" max="5622" width="13.140625" style="66" customWidth="1"/>
    <col min="5623" max="5623" width="12.28515625" style="66" customWidth="1"/>
    <col min="5624" max="5861" width="9.140625" style="66"/>
    <col min="5862" max="5862" width="1.42578125" style="66" customWidth="1"/>
    <col min="5863" max="5863" width="59.5703125" style="66" customWidth="1"/>
    <col min="5864" max="5864" width="9.140625" style="66" customWidth="1"/>
    <col min="5865" max="5866" width="3.85546875" style="66" customWidth="1"/>
    <col min="5867" max="5867" width="10.5703125" style="66" customWidth="1"/>
    <col min="5868" max="5868" width="3.85546875" style="66" customWidth="1"/>
    <col min="5869" max="5871" width="14.42578125" style="66" customWidth="1"/>
    <col min="5872" max="5872" width="4.140625" style="66" customWidth="1"/>
    <col min="5873" max="5873" width="15" style="66" customWidth="1"/>
    <col min="5874" max="5875" width="9.140625" style="66" customWidth="1"/>
    <col min="5876" max="5876" width="11.5703125" style="66" customWidth="1"/>
    <col min="5877" max="5877" width="18.140625" style="66" customWidth="1"/>
    <col min="5878" max="5878" width="13.140625" style="66" customWidth="1"/>
    <col min="5879" max="5879" width="12.28515625" style="66" customWidth="1"/>
    <col min="5880" max="6117" width="9.140625" style="66"/>
    <col min="6118" max="6118" width="1.42578125" style="66" customWidth="1"/>
    <col min="6119" max="6119" width="59.5703125" style="66" customWidth="1"/>
    <col min="6120" max="6120" width="9.140625" style="66" customWidth="1"/>
    <col min="6121" max="6122" width="3.85546875" style="66" customWidth="1"/>
    <col min="6123" max="6123" width="10.5703125" style="66" customWidth="1"/>
    <col min="6124" max="6124" width="3.85546875" style="66" customWidth="1"/>
    <col min="6125" max="6127" width="14.42578125" style="66" customWidth="1"/>
    <col min="6128" max="6128" width="4.140625" style="66" customWidth="1"/>
    <col min="6129" max="6129" width="15" style="66" customWidth="1"/>
    <col min="6130" max="6131" width="9.140625" style="66" customWidth="1"/>
    <col min="6132" max="6132" width="11.5703125" style="66" customWidth="1"/>
    <col min="6133" max="6133" width="18.140625" style="66" customWidth="1"/>
    <col min="6134" max="6134" width="13.140625" style="66" customWidth="1"/>
    <col min="6135" max="6135" width="12.28515625" style="66" customWidth="1"/>
    <col min="6136" max="6373" width="9.140625" style="66"/>
    <col min="6374" max="6374" width="1.42578125" style="66" customWidth="1"/>
    <col min="6375" max="6375" width="59.5703125" style="66" customWidth="1"/>
    <col min="6376" max="6376" width="9.140625" style="66" customWidth="1"/>
    <col min="6377" max="6378" width="3.85546875" style="66" customWidth="1"/>
    <col min="6379" max="6379" width="10.5703125" style="66" customWidth="1"/>
    <col min="6380" max="6380" width="3.85546875" style="66" customWidth="1"/>
    <col min="6381" max="6383" width="14.42578125" style="66" customWidth="1"/>
    <col min="6384" max="6384" width="4.140625" style="66" customWidth="1"/>
    <col min="6385" max="6385" width="15" style="66" customWidth="1"/>
    <col min="6386" max="6387" width="9.140625" style="66" customWidth="1"/>
    <col min="6388" max="6388" width="11.5703125" style="66" customWidth="1"/>
    <col min="6389" max="6389" width="18.140625" style="66" customWidth="1"/>
    <col min="6390" max="6390" width="13.140625" style="66" customWidth="1"/>
    <col min="6391" max="6391" width="12.28515625" style="66" customWidth="1"/>
    <col min="6392" max="6629" width="9.140625" style="66"/>
    <col min="6630" max="6630" width="1.42578125" style="66" customWidth="1"/>
    <col min="6631" max="6631" width="59.5703125" style="66" customWidth="1"/>
    <col min="6632" max="6632" width="9.140625" style="66" customWidth="1"/>
    <col min="6633" max="6634" width="3.85546875" style="66" customWidth="1"/>
    <col min="6635" max="6635" width="10.5703125" style="66" customWidth="1"/>
    <col min="6636" max="6636" width="3.85546875" style="66" customWidth="1"/>
    <col min="6637" max="6639" width="14.42578125" style="66" customWidth="1"/>
    <col min="6640" max="6640" width="4.140625" style="66" customWidth="1"/>
    <col min="6641" max="6641" width="15" style="66" customWidth="1"/>
    <col min="6642" max="6643" width="9.140625" style="66" customWidth="1"/>
    <col min="6644" max="6644" width="11.5703125" style="66" customWidth="1"/>
    <col min="6645" max="6645" width="18.140625" style="66" customWidth="1"/>
    <col min="6646" max="6646" width="13.140625" style="66" customWidth="1"/>
    <col min="6647" max="6647" width="12.28515625" style="66" customWidth="1"/>
    <col min="6648" max="6885" width="9.140625" style="66"/>
    <col min="6886" max="6886" width="1.42578125" style="66" customWidth="1"/>
    <col min="6887" max="6887" width="59.5703125" style="66" customWidth="1"/>
    <col min="6888" max="6888" width="9.140625" style="66" customWidth="1"/>
    <col min="6889" max="6890" width="3.85546875" style="66" customWidth="1"/>
    <col min="6891" max="6891" width="10.5703125" style="66" customWidth="1"/>
    <col min="6892" max="6892" width="3.85546875" style="66" customWidth="1"/>
    <col min="6893" max="6895" width="14.42578125" style="66" customWidth="1"/>
    <col min="6896" max="6896" width="4.140625" style="66" customWidth="1"/>
    <col min="6897" max="6897" width="15" style="66" customWidth="1"/>
    <col min="6898" max="6899" width="9.140625" style="66" customWidth="1"/>
    <col min="6900" max="6900" width="11.5703125" style="66" customWidth="1"/>
    <col min="6901" max="6901" width="18.140625" style="66" customWidth="1"/>
    <col min="6902" max="6902" width="13.140625" style="66" customWidth="1"/>
    <col min="6903" max="6903" width="12.28515625" style="66" customWidth="1"/>
    <col min="6904" max="7141" width="9.140625" style="66"/>
    <col min="7142" max="7142" width="1.42578125" style="66" customWidth="1"/>
    <col min="7143" max="7143" width="59.5703125" style="66" customWidth="1"/>
    <col min="7144" max="7144" width="9.140625" style="66" customWidth="1"/>
    <col min="7145" max="7146" width="3.85546875" style="66" customWidth="1"/>
    <col min="7147" max="7147" width="10.5703125" style="66" customWidth="1"/>
    <col min="7148" max="7148" width="3.85546875" style="66" customWidth="1"/>
    <col min="7149" max="7151" width="14.42578125" style="66" customWidth="1"/>
    <col min="7152" max="7152" width="4.140625" style="66" customWidth="1"/>
    <col min="7153" max="7153" width="15" style="66" customWidth="1"/>
    <col min="7154" max="7155" width="9.140625" style="66" customWidth="1"/>
    <col min="7156" max="7156" width="11.5703125" style="66" customWidth="1"/>
    <col min="7157" max="7157" width="18.140625" style="66" customWidth="1"/>
    <col min="7158" max="7158" width="13.140625" style="66" customWidth="1"/>
    <col min="7159" max="7159" width="12.28515625" style="66" customWidth="1"/>
    <col min="7160" max="7397" width="9.140625" style="66"/>
    <col min="7398" max="7398" width="1.42578125" style="66" customWidth="1"/>
    <col min="7399" max="7399" width="59.5703125" style="66" customWidth="1"/>
    <col min="7400" max="7400" width="9.140625" style="66" customWidth="1"/>
    <col min="7401" max="7402" width="3.85546875" style="66" customWidth="1"/>
    <col min="7403" max="7403" width="10.5703125" style="66" customWidth="1"/>
    <col min="7404" max="7404" width="3.85546875" style="66" customWidth="1"/>
    <col min="7405" max="7407" width="14.42578125" style="66" customWidth="1"/>
    <col min="7408" max="7408" width="4.140625" style="66" customWidth="1"/>
    <col min="7409" max="7409" width="15" style="66" customWidth="1"/>
    <col min="7410" max="7411" width="9.140625" style="66" customWidth="1"/>
    <col min="7412" max="7412" width="11.5703125" style="66" customWidth="1"/>
    <col min="7413" max="7413" width="18.140625" style="66" customWidth="1"/>
    <col min="7414" max="7414" width="13.140625" style="66" customWidth="1"/>
    <col min="7415" max="7415" width="12.28515625" style="66" customWidth="1"/>
    <col min="7416" max="7653" width="9.140625" style="66"/>
    <col min="7654" max="7654" width="1.42578125" style="66" customWidth="1"/>
    <col min="7655" max="7655" width="59.5703125" style="66" customWidth="1"/>
    <col min="7656" max="7656" width="9.140625" style="66" customWidth="1"/>
    <col min="7657" max="7658" width="3.85546875" style="66" customWidth="1"/>
    <col min="7659" max="7659" width="10.5703125" style="66" customWidth="1"/>
    <col min="7660" max="7660" width="3.85546875" style="66" customWidth="1"/>
    <col min="7661" max="7663" width="14.42578125" style="66" customWidth="1"/>
    <col min="7664" max="7664" width="4.140625" style="66" customWidth="1"/>
    <col min="7665" max="7665" width="15" style="66" customWidth="1"/>
    <col min="7666" max="7667" width="9.140625" style="66" customWidth="1"/>
    <col min="7668" max="7668" width="11.5703125" style="66" customWidth="1"/>
    <col min="7669" max="7669" width="18.140625" style="66" customWidth="1"/>
    <col min="7670" max="7670" width="13.140625" style="66" customWidth="1"/>
    <col min="7671" max="7671" width="12.28515625" style="66" customWidth="1"/>
    <col min="7672" max="7909" width="9.140625" style="66"/>
    <col min="7910" max="7910" width="1.42578125" style="66" customWidth="1"/>
    <col min="7911" max="7911" width="59.5703125" style="66" customWidth="1"/>
    <col min="7912" max="7912" width="9.140625" style="66" customWidth="1"/>
    <col min="7913" max="7914" width="3.85546875" style="66" customWidth="1"/>
    <col min="7915" max="7915" width="10.5703125" style="66" customWidth="1"/>
    <col min="7916" max="7916" width="3.85546875" style="66" customWidth="1"/>
    <col min="7917" max="7919" width="14.42578125" style="66" customWidth="1"/>
    <col min="7920" max="7920" width="4.140625" style="66" customWidth="1"/>
    <col min="7921" max="7921" width="15" style="66" customWidth="1"/>
    <col min="7922" max="7923" width="9.140625" style="66" customWidth="1"/>
    <col min="7924" max="7924" width="11.5703125" style="66" customWidth="1"/>
    <col min="7925" max="7925" width="18.140625" style="66" customWidth="1"/>
    <col min="7926" max="7926" width="13.140625" style="66" customWidth="1"/>
    <col min="7927" max="7927" width="12.28515625" style="66" customWidth="1"/>
    <col min="7928" max="8165" width="9.140625" style="66"/>
    <col min="8166" max="8166" width="1.42578125" style="66" customWidth="1"/>
    <col min="8167" max="8167" width="59.5703125" style="66" customWidth="1"/>
    <col min="8168" max="8168" width="9.140625" style="66" customWidth="1"/>
    <col min="8169" max="8170" width="3.85546875" style="66" customWidth="1"/>
    <col min="8171" max="8171" width="10.5703125" style="66" customWidth="1"/>
    <col min="8172" max="8172" width="3.85546875" style="66" customWidth="1"/>
    <col min="8173" max="8175" width="14.42578125" style="66" customWidth="1"/>
    <col min="8176" max="8176" width="4.140625" style="66" customWidth="1"/>
    <col min="8177" max="8177" width="15" style="66" customWidth="1"/>
    <col min="8178" max="8179" width="9.140625" style="66" customWidth="1"/>
    <col min="8180" max="8180" width="11.5703125" style="66" customWidth="1"/>
    <col min="8181" max="8181" width="18.140625" style="66" customWidth="1"/>
    <col min="8182" max="8182" width="13.140625" style="66" customWidth="1"/>
    <col min="8183" max="8183" width="12.28515625" style="66" customWidth="1"/>
    <col min="8184" max="8421" width="9.140625" style="66"/>
    <col min="8422" max="8422" width="1.42578125" style="66" customWidth="1"/>
    <col min="8423" max="8423" width="59.5703125" style="66" customWidth="1"/>
    <col min="8424" max="8424" width="9.140625" style="66" customWidth="1"/>
    <col min="8425" max="8426" width="3.85546875" style="66" customWidth="1"/>
    <col min="8427" max="8427" width="10.5703125" style="66" customWidth="1"/>
    <col min="8428" max="8428" width="3.85546875" style="66" customWidth="1"/>
    <col min="8429" max="8431" width="14.42578125" style="66" customWidth="1"/>
    <col min="8432" max="8432" width="4.140625" style="66" customWidth="1"/>
    <col min="8433" max="8433" width="15" style="66" customWidth="1"/>
    <col min="8434" max="8435" width="9.140625" style="66" customWidth="1"/>
    <col min="8436" max="8436" width="11.5703125" style="66" customWidth="1"/>
    <col min="8437" max="8437" width="18.140625" style="66" customWidth="1"/>
    <col min="8438" max="8438" width="13.140625" style="66" customWidth="1"/>
    <col min="8439" max="8439" width="12.28515625" style="66" customWidth="1"/>
    <col min="8440" max="8677" width="9.140625" style="66"/>
    <col min="8678" max="8678" width="1.42578125" style="66" customWidth="1"/>
    <col min="8679" max="8679" width="59.5703125" style="66" customWidth="1"/>
    <col min="8680" max="8680" width="9.140625" style="66" customWidth="1"/>
    <col min="8681" max="8682" width="3.85546875" style="66" customWidth="1"/>
    <col min="8683" max="8683" width="10.5703125" style="66" customWidth="1"/>
    <col min="8684" max="8684" width="3.85546875" style="66" customWidth="1"/>
    <col min="8685" max="8687" width="14.42578125" style="66" customWidth="1"/>
    <col min="8688" max="8688" width="4.140625" style="66" customWidth="1"/>
    <col min="8689" max="8689" width="15" style="66" customWidth="1"/>
    <col min="8690" max="8691" width="9.140625" style="66" customWidth="1"/>
    <col min="8692" max="8692" width="11.5703125" style="66" customWidth="1"/>
    <col min="8693" max="8693" width="18.140625" style="66" customWidth="1"/>
    <col min="8694" max="8694" width="13.140625" style="66" customWidth="1"/>
    <col min="8695" max="8695" width="12.28515625" style="66" customWidth="1"/>
    <col min="8696" max="8933" width="9.140625" style="66"/>
    <col min="8934" max="8934" width="1.42578125" style="66" customWidth="1"/>
    <col min="8935" max="8935" width="59.5703125" style="66" customWidth="1"/>
    <col min="8936" max="8936" width="9.140625" style="66" customWidth="1"/>
    <col min="8937" max="8938" width="3.85546875" style="66" customWidth="1"/>
    <col min="8939" max="8939" width="10.5703125" style="66" customWidth="1"/>
    <col min="8940" max="8940" width="3.85546875" style="66" customWidth="1"/>
    <col min="8941" max="8943" width="14.42578125" style="66" customWidth="1"/>
    <col min="8944" max="8944" width="4.140625" style="66" customWidth="1"/>
    <col min="8945" max="8945" width="15" style="66" customWidth="1"/>
    <col min="8946" max="8947" width="9.140625" style="66" customWidth="1"/>
    <col min="8948" max="8948" width="11.5703125" style="66" customWidth="1"/>
    <col min="8949" max="8949" width="18.140625" style="66" customWidth="1"/>
    <col min="8950" max="8950" width="13.140625" style="66" customWidth="1"/>
    <col min="8951" max="8951" width="12.28515625" style="66" customWidth="1"/>
    <col min="8952" max="9189" width="9.140625" style="66"/>
    <col min="9190" max="9190" width="1.42578125" style="66" customWidth="1"/>
    <col min="9191" max="9191" width="59.5703125" style="66" customWidth="1"/>
    <col min="9192" max="9192" width="9.140625" style="66" customWidth="1"/>
    <col min="9193" max="9194" width="3.85546875" style="66" customWidth="1"/>
    <col min="9195" max="9195" width="10.5703125" style="66" customWidth="1"/>
    <col min="9196" max="9196" width="3.85546875" style="66" customWidth="1"/>
    <col min="9197" max="9199" width="14.42578125" style="66" customWidth="1"/>
    <col min="9200" max="9200" width="4.140625" style="66" customWidth="1"/>
    <col min="9201" max="9201" width="15" style="66" customWidth="1"/>
    <col min="9202" max="9203" width="9.140625" style="66" customWidth="1"/>
    <col min="9204" max="9204" width="11.5703125" style="66" customWidth="1"/>
    <col min="9205" max="9205" width="18.140625" style="66" customWidth="1"/>
    <col min="9206" max="9206" width="13.140625" style="66" customWidth="1"/>
    <col min="9207" max="9207" width="12.28515625" style="66" customWidth="1"/>
    <col min="9208" max="9445" width="9.140625" style="66"/>
    <col min="9446" max="9446" width="1.42578125" style="66" customWidth="1"/>
    <col min="9447" max="9447" width="59.5703125" style="66" customWidth="1"/>
    <col min="9448" max="9448" width="9.140625" style="66" customWidth="1"/>
    <col min="9449" max="9450" width="3.85546875" style="66" customWidth="1"/>
    <col min="9451" max="9451" width="10.5703125" style="66" customWidth="1"/>
    <col min="9452" max="9452" width="3.85546875" style="66" customWidth="1"/>
    <col min="9453" max="9455" width="14.42578125" style="66" customWidth="1"/>
    <col min="9456" max="9456" width="4.140625" style="66" customWidth="1"/>
    <col min="9457" max="9457" width="15" style="66" customWidth="1"/>
    <col min="9458" max="9459" width="9.140625" style="66" customWidth="1"/>
    <col min="9460" max="9460" width="11.5703125" style="66" customWidth="1"/>
    <col min="9461" max="9461" width="18.140625" style="66" customWidth="1"/>
    <col min="9462" max="9462" width="13.140625" style="66" customWidth="1"/>
    <col min="9463" max="9463" width="12.28515625" style="66" customWidth="1"/>
    <col min="9464" max="9701" width="9.140625" style="66"/>
    <col min="9702" max="9702" width="1.42578125" style="66" customWidth="1"/>
    <col min="9703" max="9703" width="59.5703125" style="66" customWidth="1"/>
    <col min="9704" max="9704" width="9.140625" style="66" customWidth="1"/>
    <col min="9705" max="9706" width="3.85546875" style="66" customWidth="1"/>
    <col min="9707" max="9707" width="10.5703125" style="66" customWidth="1"/>
    <col min="9708" max="9708" width="3.85546875" style="66" customWidth="1"/>
    <col min="9709" max="9711" width="14.42578125" style="66" customWidth="1"/>
    <col min="9712" max="9712" width="4.140625" style="66" customWidth="1"/>
    <col min="9713" max="9713" width="15" style="66" customWidth="1"/>
    <col min="9714" max="9715" width="9.140625" style="66" customWidth="1"/>
    <col min="9716" max="9716" width="11.5703125" style="66" customWidth="1"/>
    <col min="9717" max="9717" width="18.140625" style="66" customWidth="1"/>
    <col min="9718" max="9718" width="13.140625" style="66" customWidth="1"/>
    <col min="9719" max="9719" width="12.28515625" style="66" customWidth="1"/>
    <col min="9720" max="9957" width="9.140625" style="66"/>
    <col min="9958" max="9958" width="1.42578125" style="66" customWidth="1"/>
    <col min="9959" max="9959" width="59.5703125" style="66" customWidth="1"/>
    <col min="9960" max="9960" width="9.140625" style="66" customWidth="1"/>
    <col min="9961" max="9962" width="3.85546875" style="66" customWidth="1"/>
    <col min="9963" max="9963" width="10.5703125" style="66" customWidth="1"/>
    <col min="9964" max="9964" width="3.85546875" style="66" customWidth="1"/>
    <col min="9965" max="9967" width="14.42578125" style="66" customWidth="1"/>
    <col min="9968" max="9968" width="4.140625" style="66" customWidth="1"/>
    <col min="9969" max="9969" width="15" style="66" customWidth="1"/>
    <col min="9970" max="9971" width="9.140625" style="66" customWidth="1"/>
    <col min="9972" max="9972" width="11.5703125" style="66" customWidth="1"/>
    <col min="9973" max="9973" width="18.140625" style="66" customWidth="1"/>
    <col min="9974" max="9974" width="13.140625" style="66" customWidth="1"/>
    <col min="9975" max="9975" width="12.28515625" style="66" customWidth="1"/>
    <col min="9976" max="10213" width="9.140625" style="66"/>
    <col min="10214" max="10214" width="1.42578125" style="66" customWidth="1"/>
    <col min="10215" max="10215" width="59.5703125" style="66" customWidth="1"/>
    <col min="10216" max="10216" width="9.140625" style="66" customWidth="1"/>
    <col min="10217" max="10218" width="3.85546875" style="66" customWidth="1"/>
    <col min="10219" max="10219" width="10.5703125" style="66" customWidth="1"/>
    <col min="10220" max="10220" width="3.85546875" style="66" customWidth="1"/>
    <col min="10221" max="10223" width="14.42578125" style="66" customWidth="1"/>
    <col min="10224" max="10224" width="4.140625" style="66" customWidth="1"/>
    <col min="10225" max="10225" width="15" style="66" customWidth="1"/>
    <col min="10226" max="10227" width="9.140625" style="66" customWidth="1"/>
    <col min="10228" max="10228" width="11.5703125" style="66" customWidth="1"/>
    <col min="10229" max="10229" width="18.140625" style="66" customWidth="1"/>
    <col min="10230" max="10230" width="13.140625" style="66" customWidth="1"/>
    <col min="10231" max="10231" width="12.28515625" style="66" customWidth="1"/>
    <col min="10232" max="10469" width="9.140625" style="66"/>
    <col min="10470" max="10470" width="1.42578125" style="66" customWidth="1"/>
    <col min="10471" max="10471" width="59.5703125" style="66" customWidth="1"/>
    <col min="10472" max="10472" width="9.140625" style="66" customWidth="1"/>
    <col min="10473" max="10474" width="3.85546875" style="66" customWidth="1"/>
    <col min="10475" max="10475" width="10.5703125" style="66" customWidth="1"/>
    <col min="10476" max="10476" width="3.85546875" style="66" customWidth="1"/>
    <col min="10477" max="10479" width="14.42578125" style="66" customWidth="1"/>
    <col min="10480" max="10480" width="4.140625" style="66" customWidth="1"/>
    <col min="10481" max="10481" width="15" style="66" customWidth="1"/>
    <col min="10482" max="10483" width="9.140625" style="66" customWidth="1"/>
    <col min="10484" max="10484" width="11.5703125" style="66" customWidth="1"/>
    <col min="10485" max="10485" width="18.140625" style="66" customWidth="1"/>
    <col min="10486" max="10486" width="13.140625" style="66" customWidth="1"/>
    <col min="10487" max="10487" width="12.28515625" style="66" customWidth="1"/>
    <col min="10488" max="10725" width="9.140625" style="66"/>
    <col min="10726" max="10726" width="1.42578125" style="66" customWidth="1"/>
    <col min="10727" max="10727" width="59.5703125" style="66" customWidth="1"/>
    <col min="10728" max="10728" width="9.140625" style="66" customWidth="1"/>
    <col min="10729" max="10730" width="3.85546875" style="66" customWidth="1"/>
    <col min="10731" max="10731" width="10.5703125" style="66" customWidth="1"/>
    <col min="10732" max="10732" width="3.85546875" style="66" customWidth="1"/>
    <col min="10733" max="10735" width="14.42578125" style="66" customWidth="1"/>
    <col min="10736" max="10736" width="4.140625" style="66" customWidth="1"/>
    <col min="10737" max="10737" width="15" style="66" customWidth="1"/>
    <col min="10738" max="10739" width="9.140625" style="66" customWidth="1"/>
    <col min="10740" max="10740" width="11.5703125" style="66" customWidth="1"/>
    <col min="10741" max="10741" width="18.140625" style="66" customWidth="1"/>
    <col min="10742" max="10742" width="13.140625" style="66" customWidth="1"/>
    <col min="10743" max="10743" width="12.28515625" style="66" customWidth="1"/>
    <col min="10744" max="10981" width="9.140625" style="66"/>
    <col min="10982" max="10982" width="1.42578125" style="66" customWidth="1"/>
    <col min="10983" max="10983" width="59.5703125" style="66" customWidth="1"/>
    <col min="10984" max="10984" width="9.140625" style="66" customWidth="1"/>
    <col min="10985" max="10986" width="3.85546875" style="66" customWidth="1"/>
    <col min="10987" max="10987" width="10.5703125" style="66" customWidth="1"/>
    <col min="10988" max="10988" width="3.85546875" style="66" customWidth="1"/>
    <col min="10989" max="10991" width="14.42578125" style="66" customWidth="1"/>
    <col min="10992" max="10992" width="4.140625" style="66" customWidth="1"/>
    <col min="10993" max="10993" width="15" style="66" customWidth="1"/>
    <col min="10994" max="10995" width="9.140625" style="66" customWidth="1"/>
    <col min="10996" max="10996" width="11.5703125" style="66" customWidth="1"/>
    <col min="10997" max="10997" width="18.140625" style="66" customWidth="1"/>
    <col min="10998" max="10998" width="13.140625" style="66" customWidth="1"/>
    <col min="10999" max="10999" width="12.28515625" style="66" customWidth="1"/>
    <col min="11000" max="11237" width="9.140625" style="66"/>
    <col min="11238" max="11238" width="1.42578125" style="66" customWidth="1"/>
    <col min="11239" max="11239" width="59.5703125" style="66" customWidth="1"/>
    <col min="11240" max="11240" width="9.140625" style="66" customWidth="1"/>
    <col min="11241" max="11242" width="3.85546875" style="66" customWidth="1"/>
    <col min="11243" max="11243" width="10.5703125" style="66" customWidth="1"/>
    <col min="11244" max="11244" width="3.85546875" style="66" customWidth="1"/>
    <col min="11245" max="11247" width="14.42578125" style="66" customWidth="1"/>
    <col min="11248" max="11248" width="4.140625" style="66" customWidth="1"/>
    <col min="11249" max="11249" width="15" style="66" customWidth="1"/>
    <col min="11250" max="11251" width="9.140625" style="66" customWidth="1"/>
    <col min="11252" max="11252" width="11.5703125" style="66" customWidth="1"/>
    <col min="11253" max="11253" width="18.140625" style="66" customWidth="1"/>
    <col min="11254" max="11254" width="13.140625" style="66" customWidth="1"/>
    <col min="11255" max="11255" width="12.28515625" style="66" customWidth="1"/>
    <col min="11256" max="11493" width="9.140625" style="66"/>
    <col min="11494" max="11494" width="1.42578125" style="66" customWidth="1"/>
    <col min="11495" max="11495" width="59.5703125" style="66" customWidth="1"/>
    <col min="11496" max="11496" width="9.140625" style="66" customWidth="1"/>
    <col min="11497" max="11498" width="3.85546875" style="66" customWidth="1"/>
    <col min="11499" max="11499" width="10.5703125" style="66" customWidth="1"/>
    <col min="11500" max="11500" width="3.85546875" style="66" customWidth="1"/>
    <col min="11501" max="11503" width="14.42578125" style="66" customWidth="1"/>
    <col min="11504" max="11504" width="4.140625" style="66" customWidth="1"/>
    <col min="11505" max="11505" width="15" style="66" customWidth="1"/>
    <col min="11506" max="11507" width="9.140625" style="66" customWidth="1"/>
    <col min="11508" max="11508" width="11.5703125" style="66" customWidth="1"/>
    <col min="11509" max="11509" width="18.140625" style="66" customWidth="1"/>
    <col min="11510" max="11510" width="13.140625" style="66" customWidth="1"/>
    <col min="11511" max="11511" width="12.28515625" style="66" customWidth="1"/>
    <col min="11512" max="11749" width="9.140625" style="66"/>
    <col min="11750" max="11750" width="1.42578125" style="66" customWidth="1"/>
    <col min="11751" max="11751" width="59.5703125" style="66" customWidth="1"/>
    <col min="11752" max="11752" width="9.140625" style="66" customWidth="1"/>
    <col min="11753" max="11754" width="3.85546875" style="66" customWidth="1"/>
    <col min="11755" max="11755" width="10.5703125" style="66" customWidth="1"/>
    <col min="11756" max="11756" width="3.85546875" style="66" customWidth="1"/>
    <col min="11757" max="11759" width="14.42578125" style="66" customWidth="1"/>
    <col min="11760" max="11760" width="4.140625" style="66" customWidth="1"/>
    <col min="11761" max="11761" width="15" style="66" customWidth="1"/>
    <col min="11762" max="11763" width="9.140625" style="66" customWidth="1"/>
    <col min="11764" max="11764" width="11.5703125" style="66" customWidth="1"/>
    <col min="11765" max="11765" width="18.140625" style="66" customWidth="1"/>
    <col min="11766" max="11766" width="13.140625" style="66" customWidth="1"/>
    <col min="11767" max="11767" width="12.28515625" style="66" customWidth="1"/>
    <col min="11768" max="12005" width="9.140625" style="66"/>
    <col min="12006" max="12006" width="1.42578125" style="66" customWidth="1"/>
    <col min="12007" max="12007" width="59.5703125" style="66" customWidth="1"/>
    <col min="12008" max="12008" width="9.140625" style="66" customWidth="1"/>
    <col min="12009" max="12010" width="3.85546875" style="66" customWidth="1"/>
    <col min="12011" max="12011" width="10.5703125" style="66" customWidth="1"/>
    <col min="12012" max="12012" width="3.85546875" style="66" customWidth="1"/>
    <col min="12013" max="12015" width="14.42578125" style="66" customWidth="1"/>
    <col min="12016" max="12016" width="4.140625" style="66" customWidth="1"/>
    <col min="12017" max="12017" width="15" style="66" customWidth="1"/>
    <col min="12018" max="12019" width="9.140625" style="66" customWidth="1"/>
    <col min="12020" max="12020" width="11.5703125" style="66" customWidth="1"/>
    <col min="12021" max="12021" width="18.140625" style="66" customWidth="1"/>
    <col min="12022" max="12022" width="13.140625" style="66" customWidth="1"/>
    <col min="12023" max="12023" width="12.28515625" style="66" customWidth="1"/>
    <col min="12024" max="12261" width="9.140625" style="66"/>
    <col min="12262" max="12262" width="1.42578125" style="66" customWidth="1"/>
    <col min="12263" max="12263" width="59.5703125" style="66" customWidth="1"/>
    <col min="12264" max="12264" width="9.140625" style="66" customWidth="1"/>
    <col min="12265" max="12266" width="3.85546875" style="66" customWidth="1"/>
    <col min="12267" max="12267" width="10.5703125" style="66" customWidth="1"/>
    <col min="12268" max="12268" width="3.85546875" style="66" customWidth="1"/>
    <col min="12269" max="12271" width="14.42578125" style="66" customWidth="1"/>
    <col min="12272" max="12272" width="4.140625" style="66" customWidth="1"/>
    <col min="12273" max="12273" width="15" style="66" customWidth="1"/>
    <col min="12274" max="12275" width="9.140625" style="66" customWidth="1"/>
    <col min="12276" max="12276" width="11.5703125" style="66" customWidth="1"/>
    <col min="12277" max="12277" width="18.140625" style="66" customWidth="1"/>
    <col min="12278" max="12278" width="13.140625" style="66" customWidth="1"/>
    <col min="12279" max="12279" width="12.28515625" style="66" customWidth="1"/>
    <col min="12280" max="12517" width="9.140625" style="66"/>
    <col min="12518" max="12518" width="1.42578125" style="66" customWidth="1"/>
    <col min="12519" max="12519" width="59.5703125" style="66" customWidth="1"/>
    <col min="12520" max="12520" width="9.140625" style="66" customWidth="1"/>
    <col min="12521" max="12522" width="3.85546875" style="66" customWidth="1"/>
    <col min="12523" max="12523" width="10.5703125" style="66" customWidth="1"/>
    <col min="12524" max="12524" width="3.85546875" style="66" customWidth="1"/>
    <col min="12525" max="12527" width="14.42578125" style="66" customWidth="1"/>
    <col min="12528" max="12528" width="4.140625" style="66" customWidth="1"/>
    <col min="12529" max="12529" width="15" style="66" customWidth="1"/>
    <col min="12530" max="12531" width="9.140625" style="66" customWidth="1"/>
    <col min="12532" max="12532" width="11.5703125" style="66" customWidth="1"/>
    <col min="12533" max="12533" width="18.140625" style="66" customWidth="1"/>
    <col min="12534" max="12534" width="13.140625" style="66" customWidth="1"/>
    <col min="12535" max="12535" width="12.28515625" style="66" customWidth="1"/>
    <col min="12536" max="12773" width="9.140625" style="66"/>
    <col min="12774" max="12774" width="1.42578125" style="66" customWidth="1"/>
    <col min="12775" max="12775" width="59.5703125" style="66" customWidth="1"/>
    <col min="12776" max="12776" width="9.140625" style="66" customWidth="1"/>
    <col min="12777" max="12778" width="3.85546875" style="66" customWidth="1"/>
    <col min="12779" max="12779" width="10.5703125" style="66" customWidth="1"/>
    <col min="12780" max="12780" width="3.85546875" style="66" customWidth="1"/>
    <col min="12781" max="12783" width="14.42578125" style="66" customWidth="1"/>
    <col min="12784" max="12784" width="4.140625" style="66" customWidth="1"/>
    <col min="12785" max="12785" width="15" style="66" customWidth="1"/>
    <col min="12786" max="12787" width="9.140625" style="66" customWidth="1"/>
    <col min="12788" max="12788" width="11.5703125" style="66" customWidth="1"/>
    <col min="12789" max="12789" width="18.140625" style="66" customWidth="1"/>
    <col min="12790" max="12790" width="13.140625" style="66" customWidth="1"/>
    <col min="12791" max="12791" width="12.28515625" style="66" customWidth="1"/>
    <col min="12792" max="13029" width="9.140625" style="66"/>
    <col min="13030" max="13030" width="1.42578125" style="66" customWidth="1"/>
    <col min="13031" max="13031" width="59.5703125" style="66" customWidth="1"/>
    <col min="13032" max="13032" width="9.140625" style="66" customWidth="1"/>
    <col min="13033" max="13034" width="3.85546875" style="66" customWidth="1"/>
    <col min="13035" max="13035" width="10.5703125" style="66" customWidth="1"/>
    <col min="13036" max="13036" width="3.85546875" style="66" customWidth="1"/>
    <col min="13037" max="13039" width="14.42578125" style="66" customWidth="1"/>
    <col min="13040" max="13040" width="4.140625" style="66" customWidth="1"/>
    <col min="13041" max="13041" width="15" style="66" customWidth="1"/>
    <col min="13042" max="13043" width="9.140625" style="66" customWidth="1"/>
    <col min="13044" max="13044" width="11.5703125" style="66" customWidth="1"/>
    <col min="13045" max="13045" width="18.140625" style="66" customWidth="1"/>
    <col min="13046" max="13046" width="13.140625" style="66" customWidth="1"/>
    <col min="13047" max="13047" width="12.28515625" style="66" customWidth="1"/>
    <col min="13048" max="13285" width="9.140625" style="66"/>
    <col min="13286" max="13286" width="1.42578125" style="66" customWidth="1"/>
    <col min="13287" max="13287" width="59.5703125" style="66" customWidth="1"/>
    <col min="13288" max="13288" width="9.140625" style="66" customWidth="1"/>
    <col min="13289" max="13290" width="3.85546875" style="66" customWidth="1"/>
    <col min="13291" max="13291" width="10.5703125" style="66" customWidth="1"/>
    <col min="13292" max="13292" width="3.85546875" style="66" customWidth="1"/>
    <col min="13293" max="13295" width="14.42578125" style="66" customWidth="1"/>
    <col min="13296" max="13296" width="4.140625" style="66" customWidth="1"/>
    <col min="13297" max="13297" width="15" style="66" customWidth="1"/>
    <col min="13298" max="13299" width="9.140625" style="66" customWidth="1"/>
    <col min="13300" max="13300" width="11.5703125" style="66" customWidth="1"/>
    <col min="13301" max="13301" width="18.140625" style="66" customWidth="1"/>
    <col min="13302" max="13302" width="13.140625" style="66" customWidth="1"/>
    <col min="13303" max="13303" width="12.28515625" style="66" customWidth="1"/>
    <col min="13304" max="13541" width="9.140625" style="66"/>
    <col min="13542" max="13542" width="1.42578125" style="66" customWidth="1"/>
    <col min="13543" max="13543" width="59.5703125" style="66" customWidth="1"/>
    <col min="13544" max="13544" width="9.140625" style="66" customWidth="1"/>
    <col min="13545" max="13546" width="3.85546875" style="66" customWidth="1"/>
    <col min="13547" max="13547" width="10.5703125" style="66" customWidth="1"/>
    <col min="13548" max="13548" width="3.85546875" style="66" customWidth="1"/>
    <col min="13549" max="13551" width="14.42578125" style="66" customWidth="1"/>
    <col min="13552" max="13552" width="4.140625" style="66" customWidth="1"/>
    <col min="13553" max="13553" width="15" style="66" customWidth="1"/>
    <col min="13554" max="13555" width="9.140625" style="66" customWidth="1"/>
    <col min="13556" max="13556" width="11.5703125" style="66" customWidth="1"/>
    <col min="13557" max="13557" width="18.140625" style="66" customWidth="1"/>
    <col min="13558" max="13558" width="13.140625" style="66" customWidth="1"/>
    <col min="13559" max="13559" width="12.28515625" style="66" customWidth="1"/>
    <col min="13560" max="13797" width="9.140625" style="66"/>
    <col min="13798" max="13798" width="1.42578125" style="66" customWidth="1"/>
    <col min="13799" max="13799" width="59.5703125" style="66" customWidth="1"/>
    <col min="13800" max="13800" width="9.140625" style="66" customWidth="1"/>
    <col min="13801" max="13802" width="3.85546875" style="66" customWidth="1"/>
    <col min="13803" max="13803" width="10.5703125" style="66" customWidth="1"/>
    <col min="13804" max="13804" width="3.85546875" style="66" customWidth="1"/>
    <col min="13805" max="13807" width="14.42578125" style="66" customWidth="1"/>
    <col min="13808" max="13808" width="4.140625" style="66" customWidth="1"/>
    <col min="13809" max="13809" width="15" style="66" customWidth="1"/>
    <col min="13810" max="13811" width="9.140625" style="66" customWidth="1"/>
    <col min="13812" max="13812" width="11.5703125" style="66" customWidth="1"/>
    <col min="13813" max="13813" width="18.140625" style="66" customWidth="1"/>
    <col min="13814" max="13814" width="13.140625" style="66" customWidth="1"/>
    <col min="13815" max="13815" width="12.28515625" style="66" customWidth="1"/>
    <col min="13816" max="14053" width="9.140625" style="66"/>
    <col min="14054" max="14054" width="1.42578125" style="66" customWidth="1"/>
    <col min="14055" max="14055" width="59.5703125" style="66" customWidth="1"/>
    <col min="14056" max="14056" width="9.140625" style="66" customWidth="1"/>
    <col min="14057" max="14058" width="3.85546875" style="66" customWidth="1"/>
    <col min="14059" max="14059" width="10.5703125" style="66" customWidth="1"/>
    <col min="14060" max="14060" width="3.85546875" style="66" customWidth="1"/>
    <col min="14061" max="14063" width="14.42578125" style="66" customWidth="1"/>
    <col min="14064" max="14064" width="4.140625" style="66" customWidth="1"/>
    <col min="14065" max="14065" width="15" style="66" customWidth="1"/>
    <col min="14066" max="14067" width="9.140625" style="66" customWidth="1"/>
    <col min="14068" max="14068" width="11.5703125" style="66" customWidth="1"/>
    <col min="14069" max="14069" width="18.140625" style="66" customWidth="1"/>
    <col min="14070" max="14070" width="13.140625" style="66" customWidth="1"/>
    <col min="14071" max="14071" width="12.28515625" style="66" customWidth="1"/>
    <col min="14072" max="14309" width="9.140625" style="66"/>
    <col min="14310" max="14310" width="1.42578125" style="66" customWidth="1"/>
    <col min="14311" max="14311" width="59.5703125" style="66" customWidth="1"/>
    <col min="14312" max="14312" width="9.140625" style="66" customWidth="1"/>
    <col min="14313" max="14314" width="3.85546875" style="66" customWidth="1"/>
    <col min="14315" max="14315" width="10.5703125" style="66" customWidth="1"/>
    <col min="14316" max="14316" width="3.85546875" style="66" customWidth="1"/>
    <col min="14317" max="14319" width="14.42578125" style="66" customWidth="1"/>
    <col min="14320" max="14320" width="4.140625" style="66" customWidth="1"/>
    <col min="14321" max="14321" width="15" style="66" customWidth="1"/>
    <col min="14322" max="14323" width="9.140625" style="66" customWidth="1"/>
    <col min="14324" max="14324" width="11.5703125" style="66" customWidth="1"/>
    <col min="14325" max="14325" width="18.140625" style="66" customWidth="1"/>
    <col min="14326" max="14326" width="13.140625" style="66" customWidth="1"/>
    <col min="14327" max="14327" width="12.28515625" style="66" customWidth="1"/>
    <col min="14328" max="14565" width="9.140625" style="66"/>
    <col min="14566" max="14566" width="1.42578125" style="66" customWidth="1"/>
    <col min="14567" max="14567" width="59.5703125" style="66" customWidth="1"/>
    <col min="14568" max="14568" width="9.140625" style="66" customWidth="1"/>
    <col min="14569" max="14570" width="3.85546875" style="66" customWidth="1"/>
    <col min="14571" max="14571" width="10.5703125" style="66" customWidth="1"/>
    <col min="14572" max="14572" width="3.85546875" style="66" customWidth="1"/>
    <col min="14573" max="14575" width="14.42578125" style="66" customWidth="1"/>
    <col min="14576" max="14576" width="4.140625" style="66" customWidth="1"/>
    <col min="14577" max="14577" width="15" style="66" customWidth="1"/>
    <col min="14578" max="14579" width="9.140625" style="66" customWidth="1"/>
    <col min="14580" max="14580" width="11.5703125" style="66" customWidth="1"/>
    <col min="14581" max="14581" width="18.140625" style="66" customWidth="1"/>
    <col min="14582" max="14582" width="13.140625" style="66" customWidth="1"/>
    <col min="14583" max="14583" width="12.28515625" style="66" customWidth="1"/>
    <col min="14584" max="14821" width="9.140625" style="66"/>
    <col min="14822" max="14822" width="1.42578125" style="66" customWidth="1"/>
    <col min="14823" max="14823" width="59.5703125" style="66" customWidth="1"/>
    <col min="14824" max="14824" width="9.140625" style="66" customWidth="1"/>
    <col min="14825" max="14826" width="3.85546875" style="66" customWidth="1"/>
    <col min="14827" max="14827" width="10.5703125" style="66" customWidth="1"/>
    <col min="14828" max="14828" width="3.85546875" style="66" customWidth="1"/>
    <col min="14829" max="14831" width="14.42578125" style="66" customWidth="1"/>
    <col min="14832" max="14832" width="4.140625" style="66" customWidth="1"/>
    <col min="14833" max="14833" width="15" style="66" customWidth="1"/>
    <col min="14834" max="14835" width="9.140625" style="66" customWidth="1"/>
    <col min="14836" max="14836" width="11.5703125" style="66" customWidth="1"/>
    <col min="14837" max="14837" width="18.140625" style="66" customWidth="1"/>
    <col min="14838" max="14838" width="13.140625" style="66" customWidth="1"/>
    <col min="14839" max="14839" width="12.28515625" style="66" customWidth="1"/>
    <col min="14840" max="15077" width="9.140625" style="66"/>
    <col min="15078" max="15078" width="1.42578125" style="66" customWidth="1"/>
    <col min="15079" max="15079" width="59.5703125" style="66" customWidth="1"/>
    <col min="15080" max="15080" width="9.140625" style="66" customWidth="1"/>
    <col min="15081" max="15082" width="3.85546875" style="66" customWidth="1"/>
    <col min="15083" max="15083" width="10.5703125" style="66" customWidth="1"/>
    <col min="15084" max="15084" width="3.85546875" style="66" customWidth="1"/>
    <col min="15085" max="15087" width="14.42578125" style="66" customWidth="1"/>
    <col min="15088" max="15088" width="4.140625" style="66" customWidth="1"/>
    <col min="15089" max="15089" width="15" style="66" customWidth="1"/>
    <col min="15090" max="15091" width="9.140625" style="66" customWidth="1"/>
    <col min="15092" max="15092" width="11.5703125" style="66" customWidth="1"/>
    <col min="15093" max="15093" width="18.140625" style="66" customWidth="1"/>
    <col min="15094" max="15094" width="13.140625" style="66" customWidth="1"/>
    <col min="15095" max="15095" width="12.28515625" style="66" customWidth="1"/>
    <col min="15096" max="15333" width="9.140625" style="66"/>
    <col min="15334" max="15334" width="1.42578125" style="66" customWidth="1"/>
    <col min="15335" max="15335" width="59.5703125" style="66" customWidth="1"/>
    <col min="15336" max="15336" width="9.140625" style="66" customWidth="1"/>
    <col min="15337" max="15338" width="3.85546875" style="66" customWidth="1"/>
    <col min="15339" max="15339" width="10.5703125" style="66" customWidth="1"/>
    <col min="15340" max="15340" width="3.85546875" style="66" customWidth="1"/>
    <col min="15341" max="15343" width="14.42578125" style="66" customWidth="1"/>
    <col min="15344" max="15344" width="4.140625" style="66" customWidth="1"/>
    <col min="15345" max="15345" width="15" style="66" customWidth="1"/>
    <col min="15346" max="15347" width="9.140625" style="66" customWidth="1"/>
    <col min="15348" max="15348" width="11.5703125" style="66" customWidth="1"/>
    <col min="15349" max="15349" width="18.140625" style="66" customWidth="1"/>
    <col min="15350" max="15350" width="13.140625" style="66" customWidth="1"/>
    <col min="15351" max="15351" width="12.28515625" style="66" customWidth="1"/>
    <col min="15352" max="15589" width="9.140625" style="66"/>
    <col min="15590" max="15590" width="1.42578125" style="66" customWidth="1"/>
    <col min="15591" max="15591" width="59.5703125" style="66" customWidth="1"/>
    <col min="15592" max="15592" width="9.140625" style="66" customWidth="1"/>
    <col min="15593" max="15594" width="3.85546875" style="66" customWidth="1"/>
    <col min="15595" max="15595" width="10.5703125" style="66" customWidth="1"/>
    <col min="15596" max="15596" width="3.85546875" style="66" customWidth="1"/>
    <col min="15597" max="15599" width="14.42578125" style="66" customWidth="1"/>
    <col min="15600" max="15600" width="4.140625" style="66" customWidth="1"/>
    <col min="15601" max="15601" width="15" style="66" customWidth="1"/>
    <col min="15602" max="15603" width="9.140625" style="66" customWidth="1"/>
    <col min="15604" max="15604" width="11.5703125" style="66" customWidth="1"/>
    <col min="15605" max="15605" width="18.140625" style="66" customWidth="1"/>
    <col min="15606" max="15606" width="13.140625" style="66" customWidth="1"/>
    <col min="15607" max="15607" width="12.28515625" style="66" customWidth="1"/>
    <col min="15608" max="15845" width="9.140625" style="66"/>
    <col min="15846" max="15846" width="1.42578125" style="66" customWidth="1"/>
    <col min="15847" max="15847" width="59.5703125" style="66" customWidth="1"/>
    <col min="15848" max="15848" width="9.140625" style="66" customWidth="1"/>
    <col min="15849" max="15850" width="3.85546875" style="66" customWidth="1"/>
    <col min="15851" max="15851" width="10.5703125" style="66" customWidth="1"/>
    <col min="15852" max="15852" width="3.85546875" style="66" customWidth="1"/>
    <col min="15853" max="15855" width="14.42578125" style="66" customWidth="1"/>
    <col min="15856" max="15856" width="4.140625" style="66" customWidth="1"/>
    <col min="15857" max="15857" width="15" style="66" customWidth="1"/>
    <col min="15858" max="15859" width="9.140625" style="66" customWidth="1"/>
    <col min="15860" max="15860" width="11.5703125" style="66" customWidth="1"/>
    <col min="15861" max="15861" width="18.140625" style="66" customWidth="1"/>
    <col min="15862" max="15862" width="13.140625" style="66" customWidth="1"/>
    <col min="15863" max="15863" width="12.28515625" style="66" customWidth="1"/>
    <col min="15864" max="16101" width="9.140625" style="66"/>
    <col min="16102" max="16102" width="1.42578125" style="66" customWidth="1"/>
    <col min="16103" max="16103" width="59.5703125" style="66" customWidth="1"/>
    <col min="16104" max="16104" width="9.140625" style="66" customWidth="1"/>
    <col min="16105" max="16106" width="3.85546875" style="66" customWidth="1"/>
    <col min="16107" max="16107" width="10.5703125" style="66" customWidth="1"/>
    <col min="16108" max="16108" width="3.85546875" style="66" customWidth="1"/>
    <col min="16109" max="16111" width="14.42578125" style="66" customWidth="1"/>
    <col min="16112" max="16112" width="4.140625" style="66" customWidth="1"/>
    <col min="16113" max="16113" width="15" style="66" customWidth="1"/>
    <col min="16114" max="16115" width="9.140625" style="66" customWidth="1"/>
    <col min="16116" max="16116" width="11.5703125" style="66" customWidth="1"/>
    <col min="16117" max="16117" width="18.140625" style="66" customWidth="1"/>
    <col min="16118" max="16118" width="13.140625" style="66" customWidth="1"/>
    <col min="16119" max="16119" width="12.28515625" style="66" customWidth="1"/>
    <col min="16120" max="16384" width="9.140625" style="66"/>
  </cols>
  <sheetData>
    <row r="1" spans="1:19" s="124" customFormat="1" ht="13.5" customHeight="1" x14ac:dyDescent="0.2">
      <c r="D1" s="190"/>
      <c r="E1" s="535" t="s">
        <v>694</v>
      </c>
      <c r="F1" s="535"/>
      <c r="G1" s="535"/>
      <c r="H1" s="535"/>
      <c r="I1" s="535"/>
      <c r="J1" s="535"/>
      <c r="K1" s="535"/>
      <c r="L1" s="463"/>
      <c r="M1" s="463"/>
      <c r="N1" s="463"/>
      <c r="O1" s="463"/>
      <c r="P1" s="463"/>
      <c r="Q1" s="463"/>
      <c r="R1" s="463"/>
      <c r="S1" s="463"/>
    </row>
    <row r="2" spans="1:19" s="94" customFormat="1" ht="36.75" customHeight="1" x14ac:dyDescent="0.25">
      <c r="B2" s="165"/>
      <c r="C2" s="165"/>
      <c r="D2" s="180"/>
      <c r="E2" s="536" t="s">
        <v>462</v>
      </c>
      <c r="F2" s="536"/>
      <c r="G2" s="536"/>
      <c r="H2" s="536"/>
      <c r="I2" s="536"/>
      <c r="J2" s="536"/>
      <c r="K2" s="536"/>
      <c r="L2" s="536"/>
      <c r="M2" s="536"/>
      <c r="N2" s="536"/>
      <c r="O2" s="536"/>
      <c r="P2" s="536"/>
      <c r="Q2" s="536"/>
      <c r="R2" s="536"/>
      <c r="S2" s="536"/>
    </row>
    <row r="3" spans="1:19" s="94" customFormat="1" ht="59.25" customHeight="1" x14ac:dyDescent="0.25">
      <c r="A3" s="504" t="s">
        <v>695</v>
      </c>
      <c r="B3" s="504"/>
      <c r="C3" s="504"/>
      <c r="D3" s="504"/>
      <c r="E3" s="504"/>
      <c r="F3" s="504"/>
      <c r="G3" s="504"/>
      <c r="H3" s="504"/>
      <c r="I3" s="504"/>
      <c r="J3" s="504"/>
      <c r="K3" s="504"/>
      <c r="L3" s="504"/>
      <c r="M3" s="504"/>
      <c r="N3" s="504"/>
      <c r="O3" s="504"/>
      <c r="P3" s="504"/>
      <c r="Q3" s="504"/>
      <c r="R3" s="504"/>
      <c r="S3" s="504"/>
    </row>
    <row r="4" spans="1:19" s="6" customFormat="1" ht="7.5" customHeight="1" x14ac:dyDescent="0.25">
      <c r="A4" s="4"/>
      <c r="B4" s="4"/>
      <c r="C4" s="4"/>
      <c r="D4" s="4"/>
      <c r="E4" s="4"/>
      <c r="F4" s="5"/>
      <c r="G4" s="540" t="s">
        <v>503</v>
      </c>
      <c r="H4" s="540"/>
      <c r="I4" s="242"/>
      <c r="J4" s="4"/>
      <c r="K4" s="9"/>
    </row>
    <row r="5" spans="1:19" s="95" customFormat="1" ht="24.75" customHeight="1" x14ac:dyDescent="0.25">
      <c r="A5" s="505" t="s">
        <v>10</v>
      </c>
      <c r="B5" s="505"/>
      <c r="C5" s="232"/>
      <c r="D5" s="232" t="s">
        <v>549</v>
      </c>
      <c r="E5" s="232" t="s">
        <v>550</v>
      </c>
      <c r="F5" s="232" t="s">
        <v>207</v>
      </c>
      <c r="G5" s="200" t="s">
        <v>11</v>
      </c>
      <c r="H5" s="200" t="s">
        <v>12</v>
      </c>
      <c r="I5" s="90" t="s">
        <v>208</v>
      </c>
      <c r="J5" s="90" t="s">
        <v>14</v>
      </c>
      <c r="K5" s="327" t="s">
        <v>420</v>
      </c>
      <c r="L5" s="327" t="s">
        <v>605</v>
      </c>
      <c r="M5" s="327" t="s">
        <v>581</v>
      </c>
      <c r="N5" s="327" t="s">
        <v>606</v>
      </c>
      <c r="O5" s="327" t="s">
        <v>607</v>
      </c>
      <c r="P5" s="414" t="s">
        <v>653</v>
      </c>
      <c r="Q5" s="414" t="s">
        <v>645</v>
      </c>
      <c r="R5" s="423" t="s">
        <v>673</v>
      </c>
      <c r="S5" s="423" t="s">
        <v>692</v>
      </c>
    </row>
    <row r="6" spans="1:19" s="6" customFormat="1" ht="26.25" customHeight="1" x14ac:dyDescent="0.25">
      <c r="A6" s="531" t="s">
        <v>511</v>
      </c>
      <c r="B6" s="531"/>
      <c r="C6" s="234"/>
      <c r="D6" s="234">
        <v>51</v>
      </c>
      <c r="E6" s="234"/>
      <c r="F6" s="234"/>
      <c r="G6" s="7"/>
      <c r="H6" s="7"/>
      <c r="I6" s="7"/>
      <c r="J6" s="7"/>
      <c r="K6" s="97">
        <f t="shared" ref="K6:Q6" si="0">K7+K109+K117+K147+K152+K160+K173+K181</f>
        <v>64055337</v>
      </c>
      <c r="L6" s="97">
        <f t="shared" si="0"/>
        <v>8179526</v>
      </c>
      <c r="M6" s="97">
        <f t="shared" si="0"/>
        <v>72234863</v>
      </c>
      <c r="N6" s="97">
        <f t="shared" si="0"/>
        <v>-201418</v>
      </c>
      <c r="O6" s="97">
        <f t="shared" si="0"/>
        <v>72033445</v>
      </c>
      <c r="P6" s="97">
        <f t="shared" si="0"/>
        <v>-2787500</v>
      </c>
      <c r="Q6" s="97">
        <f t="shared" si="0"/>
        <v>69245945</v>
      </c>
      <c r="R6" s="97">
        <f t="shared" ref="R6:S6" si="1">R7+R109+R117+R147+R152+R160+R173+R181</f>
        <v>12182878.25</v>
      </c>
      <c r="S6" s="97">
        <f t="shared" si="1"/>
        <v>81428823.25</v>
      </c>
    </row>
    <row r="7" spans="1:19" s="6" customFormat="1" x14ac:dyDescent="0.25">
      <c r="A7" s="541" t="s">
        <v>15</v>
      </c>
      <c r="B7" s="542"/>
      <c r="C7" s="75"/>
      <c r="D7" s="75">
        <v>51</v>
      </c>
      <c r="E7" s="75">
        <v>0</v>
      </c>
      <c r="F7" s="75">
        <v>851</v>
      </c>
      <c r="G7" s="11"/>
      <c r="H7" s="11"/>
      <c r="I7" s="1"/>
      <c r="J7" s="1"/>
      <c r="K7" s="36">
        <f>K8+K11+K20+K23+K26+K29+K34+K39+K42+K45+K48+K53+K58+K61+K64+K69+K72+K75+K84+K89+K92+K97+K103+K106</f>
        <v>37033462</v>
      </c>
      <c r="L7" s="36">
        <f>L8+L11+L20+L23+L26+L29+L34+L39+L42+L45+L48+L53+L58+L61+L64+L69+L72+L75+L84+L89+L92+L97+L103+L106</f>
        <v>6274526</v>
      </c>
      <c r="M7" s="36">
        <f>M8+M11+M20+M23+M26+M29+M34+M39+M42+M45+M48+M53+M58+M61+M64+M69+M72+M75+M84+M89+M92+M97+M103+M106</f>
        <v>43307988</v>
      </c>
      <c r="N7" s="36">
        <f>N8+N11+N20+N23+N26+N29+N34+N39+N42+N45+N48+N53+N58+N61+N64+N69+N72+N75+N84+N89+N92+N97+N103+N106</f>
        <v>-316418</v>
      </c>
      <c r="O7" s="36">
        <f>O8+O11+O20+O23+O26+O29+O34+O39+O42+O45+O48+O53+O58+O61+O64+O69+O72+O75+O84+O89+O92+O97+O103+O106</f>
        <v>42991570</v>
      </c>
      <c r="P7" s="36">
        <f t="shared" ref="P7" si="2">P8+P11+P20+P23+P26+P29+P34+P39+P42+P45+P48+P53+P58+P61+P64+P69+P72+P75+P84+P89+P92+P97+P103+P106</f>
        <v>-2817500</v>
      </c>
      <c r="Q7" s="36">
        <f>Q8+Q11+Q20+Q23+Q26+Q29+Q34+Q39+Q42+Q45+Q48+Q53+Q58+Q61+Q64+Q69+Q72+Q75+Q78+Q81+Q84+Q89+Q92+Q97+Q100+Q103+Q106</f>
        <v>40174070</v>
      </c>
      <c r="R7" s="36">
        <f t="shared" ref="R7:S7" si="3">R8+R11+R20+R23+R26+R29+R34+R39+R42+R45+R48+R53+R58+R61+R64+R69+R72+R75+R78+R81+R84+R89+R92+R97+R100+R103+R106</f>
        <v>9770653</v>
      </c>
      <c r="S7" s="36">
        <f t="shared" si="3"/>
        <v>49944723</v>
      </c>
    </row>
    <row r="8" spans="1:19" s="6" customFormat="1" ht="27" customHeight="1" x14ac:dyDescent="0.25">
      <c r="A8" s="509" t="s">
        <v>19</v>
      </c>
      <c r="B8" s="509"/>
      <c r="C8" s="225"/>
      <c r="D8" s="219">
        <v>51</v>
      </c>
      <c r="E8" s="219">
        <v>0</v>
      </c>
      <c r="F8" s="219">
        <v>851</v>
      </c>
      <c r="G8" s="1" t="s">
        <v>17</v>
      </c>
      <c r="H8" s="1" t="s">
        <v>6</v>
      </c>
      <c r="I8" s="1" t="s">
        <v>209</v>
      </c>
      <c r="J8" s="1"/>
      <c r="K8" s="2">
        <f t="shared" ref="K8:S9" si="4">K9</f>
        <v>946200</v>
      </c>
      <c r="L8" s="2">
        <f t="shared" si="4"/>
        <v>0</v>
      </c>
      <c r="M8" s="2">
        <f t="shared" si="4"/>
        <v>946200</v>
      </c>
      <c r="N8" s="2">
        <f t="shared" si="4"/>
        <v>0</v>
      </c>
      <c r="O8" s="2">
        <f t="shared" si="4"/>
        <v>946200</v>
      </c>
      <c r="P8" s="2">
        <f t="shared" si="4"/>
        <v>0</v>
      </c>
      <c r="Q8" s="2">
        <f t="shared" si="4"/>
        <v>946200</v>
      </c>
      <c r="R8" s="2">
        <f t="shared" si="4"/>
        <v>0</v>
      </c>
      <c r="S8" s="2">
        <f t="shared" si="4"/>
        <v>946200</v>
      </c>
    </row>
    <row r="9" spans="1:19" s="6" customFormat="1" ht="38.25" customHeight="1" x14ac:dyDescent="0.25">
      <c r="A9" s="225"/>
      <c r="B9" s="224" t="s">
        <v>21</v>
      </c>
      <c r="C9" s="225"/>
      <c r="D9" s="219">
        <v>51</v>
      </c>
      <c r="E9" s="219">
        <v>0</v>
      </c>
      <c r="F9" s="219">
        <v>851</v>
      </c>
      <c r="G9" s="1" t="s">
        <v>22</v>
      </c>
      <c r="H9" s="1" t="s">
        <v>6</v>
      </c>
      <c r="I9" s="1" t="s">
        <v>209</v>
      </c>
      <c r="J9" s="1" t="s">
        <v>23</v>
      </c>
      <c r="K9" s="2">
        <f t="shared" si="4"/>
        <v>946200</v>
      </c>
      <c r="L9" s="2">
        <f t="shared" si="4"/>
        <v>0</v>
      </c>
      <c r="M9" s="2">
        <f t="shared" si="4"/>
        <v>946200</v>
      </c>
      <c r="N9" s="2">
        <f t="shared" si="4"/>
        <v>0</v>
      </c>
      <c r="O9" s="2">
        <f t="shared" si="4"/>
        <v>946200</v>
      </c>
      <c r="P9" s="2">
        <f t="shared" si="4"/>
        <v>0</v>
      </c>
      <c r="Q9" s="2">
        <f t="shared" si="4"/>
        <v>946200</v>
      </c>
      <c r="R9" s="2">
        <f t="shared" si="4"/>
        <v>0</v>
      </c>
      <c r="S9" s="2">
        <f t="shared" si="4"/>
        <v>946200</v>
      </c>
    </row>
    <row r="10" spans="1:19" s="6" customFormat="1" ht="16.5" customHeight="1" x14ac:dyDescent="0.25">
      <c r="A10" s="15"/>
      <c r="B10" s="224" t="s">
        <v>24</v>
      </c>
      <c r="C10" s="224"/>
      <c r="D10" s="219">
        <v>51</v>
      </c>
      <c r="E10" s="219">
        <v>0</v>
      </c>
      <c r="F10" s="219">
        <v>851</v>
      </c>
      <c r="G10" s="1" t="s">
        <v>17</v>
      </c>
      <c r="H10" s="1" t="s">
        <v>6</v>
      </c>
      <c r="I10" s="1" t="s">
        <v>209</v>
      </c>
      <c r="J10" s="1" t="s">
        <v>25</v>
      </c>
      <c r="K10" s="2">
        <f>'6 Вед15'!J11</f>
        <v>946200</v>
      </c>
      <c r="L10" s="92">
        <f>'6 Вед15'!K11</f>
        <v>0</v>
      </c>
      <c r="M10" s="2">
        <f>K10+L10</f>
        <v>946200</v>
      </c>
      <c r="N10" s="92">
        <f>'6 Вед15'!M11</f>
        <v>0</v>
      </c>
      <c r="O10" s="2">
        <f t="shared" ref="O10:O71" si="5">M10+N10</f>
        <v>946200</v>
      </c>
      <c r="P10" s="92">
        <f>'6 Вед15'!O11</f>
        <v>0</v>
      </c>
      <c r="Q10" s="2">
        <f t="shared" ref="Q10" si="6">O10+P10</f>
        <v>946200</v>
      </c>
      <c r="R10" s="92">
        <f>'6 Вед15'!Q11</f>
        <v>0</v>
      </c>
      <c r="S10" s="2">
        <f t="shared" ref="S10" si="7">Q10+R10</f>
        <v>946200</v>
      </c>
    </row>
    <row r="11" spans="1:19" s="6" customFormat="1" ht="27" customHeight="1" x14ac:dyDescent="0.25">
      <c r="A11" s="509" t="s">
        <v>26</v>
      </c>
      <c r="B11" s="509"/>
      <c r="C11" s="219"/>
      <c r="D11" s="219">
        <v>51</v>
      </c>
      <c r="E11" s="219">
        <v>0</v>
      </c>
      <c r="F11" s="219">
        <v>851</v>
      </c>
      <c r="G11" s="1" t="s">
        <v>22</v>
      </c>
      <c r="H11" s="1" t="s">
        <v>6</v>
      </c>
      <c r="I11" s="1" t="s">
        <v>435</v>
      </c>
      <c r="J11" s="1"/>
      <c r="K11" s="2">
        <f t="shared" ref="K11" si="8">K12+K14+K16</f>
        <v>16387680</v>
      </c>
      <c r="L11" s="2">
        <f t="shared" ref="L11:O11" si="9">L12+L14+L16</f>
        <v>0</v>
      </c>
      <c r="M11" s="2">
        <f t="shared" si="9"/>
        <v>16387680</v>
      </c>
      <c r="N11" s="2">
        <f t="shared" si="9"/>
        <v>0</v>
      </c>
      <c r="O11" s="2">
        <f t="shared" si="9"/>
        <v>16387680</v>
      </c>
      <c r="P11" s="2">
        <f t="shared" ref="P11:Q11" si="10">P12+P14+P16</f>
        <v>0</v>
      </c>
      <c r="Q11" s="2">
        <f t="shared" si="10"/>
        <v>16387680</v>
      </c>
      <c r="R11" s="2">
        <f t="shared" ref="R11:S11" si="11">R12+R14+R16</f>
        <v>0</v>
      </c>
      <c r="S11" s="2">
        <f t="shared" si="11"/>
        <v>16387680</v>
      </c>
    </row>
    <row r="12" spans="1:19" s="6" customFormat="1" ht="37.5" customHeight="1" x14ac:dyDescent="0.25">
      <c r="A12" s="15"/>
      <c r="B12" s="224" t="s">
        <v>21</v>
      </c>
      <c r="C12" s="219"/>
      <c r="D12" s="219">
        <v>51</v>
      </c>
      <c r="E12" s="219">
        <v>0</v>
      </c>
      <c r="F12" s="219">
        <v>851</v>
      </c>
      <c r="G12" s="1" t="s">
        <v>17</v>
      </c>
      <c r="H12" s="1" t="s">
        <v>6</v>
      </c>
      <c r="I12" s="1" t="s">
        <v>435</v>
      </c>
      <c r="J12" s="1" t="s">
        <v>23</v>
      </c>
      <c r="K12" s="2">
        <f t="shared" ref="K12:S12" si="12">K13</f>
        <v>11544100</v>
      </c>
      <c r="L12" s="2">
        <f t="shared" si="12"/>
        <v>0</v>
      </c>
      <c r="M12" s="2">
        <f t="shared" si="12"/>
        <v>11544100</v>
      </c>
      <c r="N12" s="2">
        <f t="shared" si="12"/>
        <v>0</v>
      </c>
      <c r="O12" s="2">
        <f t="shared" si="12"/>
        <v>11544100</v>
      </c>
      <c r="P12" s="2">
        <f t="shared" si="12"/>
        <v>0</v>
      </c>
      <c r="Q12" s="2">
        <f t="shared" si="12"/>
        <v>11544100</v>
      </c>
      <c r="R12" s="2">
        <f t="shared" si="12"/>
        <v>76094</v>
      </c>
      <c r="S12" s="2">
        <f t="shared" si="12"/>
        <v>11620194</v>
      </c>
    </row>
    <row r="13" spans="1:19" s="6" customFormat="1" ht="15" customHeight="1" x14ac:dyDescent="0.25">
      <c r="A13" s="15"/>
      <c r="B13" s="224" t="s">
        <v>24</v>
      </c>
      <c r="C13" s="219"/>
      <c r="D13" s="219">
        <v>51</v>
      </c>
      <c r="E13" s="219">
        <v>0</v>
      </c>
      <c r="F13" s="219">
        <v>851</v>
      </c>
      <c r="G13" s="1" t="s">
        <v>17</v>
      </c>
      <c r="H13" s="1" t="s">
        <v>6</v>
      </c>
      <c r="I13" s="1" t="s">
        <v>435</v>
      </c>
      <c r="J13" s="1" t="s">
        <v>25</v>
      </c>
      <c r="K13" s="2">
        <f>'6 Вед15'!J14</f>
        <v>11544100</v>
      </c>
      <c r="L13" s="92">
        <f>'6 Вед15'!K14</f>
        <v>0</v>
      </c>
      <c r="M13" s="2">
        <f t="shared" ref="M13:M74" si="13">K13+L13</f>
        <v>11544100</v>
      </c>
      <c r="N13" s="92">
        <f>'6 Вед15'!M14</f>
        <v>0</v>
      </c>
      <c r="O13" s="2">
        <f t="shared" si="5"/>
        <v>11544100</v>
      </c>
      <c r="P13" s="92">
        <f>'6 Вед15'!O14</f>
        <v>0</v>
      </c>
      <c r="Q13" s="2">
        <f t="shared" ref="Q13" si="14">O13+P13</f>
        <v>11544100</v>
      </c>
      <c r="R13" s="92">
        <f>'6 Вед15'!Q14</f>
        <v>76094</v>
      </c>
      <c r="S13" s="2">
        <f t="shared" ref="S13" si="15">Q13+R13</f>
        <v>11620194</v>
      </c>
    </row>
    <row r="14" spans="1:19" s="6" customFormat="1" ht="15" customHeight="1" x14ac:dyDescent="0.25">
      <c r="A14" s="15"/>
      <c r="B14" s="228" t="s">
        <v>27</v>
      </c>
      <c r="C14" s="219"/>
      <c r="D14" s="219">
        <v>51</v>
      </c>
      <c r="E14" s="219">
        <v>0</v>
      </c>
      <c r="F14" s="219">
        <v>851</v>
      </c>
      <c r="G14" s="1" t="s">
        <v>17</v>
      </c>
      <c r="H14" s="1" t="s">
        <v>6</v>
      </c>
      <c r="I14" s="1" t="s">
        <v>435</v>
      </c>
      <c r="J14" s="1" t="s">
        <v>28</v>
      </c>
      <c r="K14" s="2">
        <f t="shared" ref="K14" si="16">K15</f>
        <v>3777580</v>
      </c>
      <c r="L14" s="2">
        <f t="shared" ref="L14" si="17">L15</f>
        <v>0</v>
      </c>
      <c r="M14" s="2">
        <f t="shared" ref="M14" si="18">M15</f>
        <v>3777580</v>
      </c>
      <c r="N14" s="2">
        <f t="shared" ref="N14" si="19">N15</f>
        <v>0</v>
      </c>
      <c r="O14" s="2">
        <f t="shared" ref="O14" si="20">O15</f>
        <v>3777580</v>
      </c>
      <c r="P14" s="2">
        <f t="shared" ref="P14:R14" si="21">P15</f>
        <v>0</v>
      </c>
      <c r="Q14" s="2">
        <f t="shared" ref="Q14:S14" si="22">Q15</f>
        <v>3777580</v>
      </c>
      <c r="R14" s="2">
        <f t="shared" si="21"/>
        <v>-39614</v>
      </c>
      <c r="S14" s="2">
        <f t="shared" si="22"/>
        <v>3737966</v>
      </c>
    </row>
    <row r="15" spans="1:19" s="6" customFormat="1" ht="25.5" customHeight="1" x14ac:dyDescent="0.25">
      <c r="A15" s="15"/>
      <c r="B15" s="228" t="s">
        <v>29</v>
      </c>
      <c r="C15" s="219"/>
      <c r="D15" s="219">
        <v>51</v>
      </c>
      <c r="E15" s="219">
        <v>0</v>
      </c>
      <c r="F15" s="219">
        <v>851</v>
      </c>
      <c r="G15" s="1" t="s">
        <v>17</v>
      </c>
      <c r="H15" s="1" t="s">
        <v>6</v>
      </c>
      <c r="I15" s="1" t="s">
        <v>435</v>
      </c>
      <c r="J15" s="1" t="s">
        <v>30</v>
      </c>
      <c r="K15" s="2">
        <f>'6 Вед15'!J16</f>
        <v>3777580</v>
      </c>
      <c r="L15" s="92">
        <f>'6 Вед15'!K16</f>
        <v>0</v>
      </c>
      <c r="M15" s="2">
        <f t="shared" si="13"/>
        <v>3777580</v>
      </c>
      <c r="N15" s="92">
        <f>'6 Вед15'!M16</f>
        <v>0</v>
      </c>
      <c r="O15" s="2">
        <f t="shared" si="5"/>
        <v>3777580</v>
      </c>
      <c r="P15" s="92">
        <f>'6 Вед15'!O16</f>
        <v>0</v>
      </c>
      <c r="Q15" s="2">
        <f t="shared" ref="Q15" si="23">O15+P15</f>
        <v>3777580</v>
      </c>
      <c r="R15" s="92">
        <f>'6 Вед15'!Q16</f>
        <v>-39614</v>
      </c>
      <c r="S15" s="2">
        <f t="shared" ref="S15" si="24">Q15+R15</f>
        <v>3737966</v>
      </c>
    </row>
    <row r="16" spans="1:19" s="6" customFormat="1" ht="14.25" customHeight="1" x14ac:dyDescent="0.25">
      <c r="A16" s="15"/>
      <c r="B16" s="228" t="s">
        <v>31</v>
      </c>
      <c r="C16" s="219"/>
      <c r="D16" s="219">
        <v>51</v>
      </c>
      <c r="E16" s="219">
        <v>0</v>
      </c>
      <c r="F16" s="219">
        <v>851</v>
      </c>
      <c r="G16" s="1" t="s">
        <v>17</v>
      </c>
      <c r="H16" s="1" t="s">
        <v>6</v>
      </c>
      <c r="I16" s="1" t="s">
        <v>435</v>
      </c>
      <c r="J16" s="1" t="s">
        <v>32</v>
      </c>
      <c r="K16" s="2">
        <f>K17+K18+K19</f>
        <v>1066000</v>
      </c>
      <c r="L16" s="2">
        <f t="shared" ref="L16:O16" si="25">L17+L18+L19</f>
        <v>0</v>
      </c>
      <c r="M16" s="2">
        <f t="shared" si="25"/>
        <v>1066000</v>
      </c>
      <c r="N16" s="2">
        <f t="shared" si="25"/>
        <v>0</v>
      </c>
      <c r="O16" s="2">
        <f t="shared" si="25"/>
        <v>1066000</v>
      </c>
      <c r="P16" s="2">
        <f t="shared" ref="P16:R16" si="26">P17+P18+P19</f>
        <v>0</v>
      </c>
      <c r="Q16" s="2">
        <f t="shared" ref="Q16:S16" si="27">Q17+Q18+Q19</f>
        <v>1066000</v>
      </c>
      <c r="R16" s="2">
        <f t="shared" si="26"/>
        <v>-36480</v>
      </c>
      <c r="S16" s="2">
        <f t="shared" si="27"/>
        <v>1029520</v>
      </c>
    </row>
    <row r="17" spans="1:19" s="6" customFormat="1" ht="14.25" customHeight="1" x14ac:dyDescent="0.25">
      <c r="A17" s="15"/>
      <c r="B17" s="225" t="s">
        <v>33</v>
      </c>
      <c r="C17" s="219"/>
      <c r="D17" s="219">
        <v>51</v>
      </c>
      <c r="E17" s="219">
        <v>0</v>
      </c>
      <c r="F17" s="219">
        <v>851</v>
      </c>
      <c r="G17" s="1" t="s">
        <v>17</v>
      </c>
      <c r="H17" s="1" t="s">
        <v>6</v>
      </c>
      <c r="I17" s="1" t="s">
        <v>435</v>
      </c>
      <c r="J17" s="1" t="s">
        <v>34</v>
      </c>
      <c r="K17" s="2">
        <f>'6 Вед15'!J18</f>
        <v>945200</v>
      </c>
      <c r="L17" s="92">
        <f>'6 Вед15'!K18</f>
        <v>0</v>
      </c>
      <c r="M17" s="2">
        <f t="shared" si="13"/>
        <v>945200</v>
      </c>
      <c r="N17" s="92">
        <f>'6 Вед15'!M18</f>
        <v>0</v>
      </c>
      <c r="O17" s="2">
        <f t="shared" si="5"/>
        <v>945200</v>
      </c>
      <c r="P17" s="92">
        <f>'6 Вед15'!O18</f>
        <v>0</v>
      </c>
      <c r="Q17" s="2">
        <f t="shared" ref="Q17:Q19" si="28">O17+P17</f>
        <v>945200</v>
      </c>
      <c r="R17" s="92">
        <f>'6 Вед15'!Q18</f>
        <v>-36480</v>
      </c>
      <c r="S17" s="2">
        <f t="shared" ref="S17:S19" si="29">Q17+R17</f>
        <v>908720</v>
      </c>
    </row>
    <row r="18" spans="1:19" s="6" customFormat="1" ht="14.25" customHeight="1" x14ac:dyDescent="0.25">
      <c r="A18" s="15"/>
      <c r="B18" s="224" t="s">
        <v>466</v>
      </c>
      <c r="C18" s="219"/>
      <c r="D18" s="219">
        <v>51</v>
      </c>
      <c r="E18" s="219">
        <v>0</v>
      </c>
      <c r="F18" s="219">
        <v>851</v>
      </c>
      <c r="G18" s="1" t="s">
        <v>22</v>
      </c>
      <c r="H18" s="1" t="s">
        <v>6</v>
      </c>
      <c r="I18" s="1" t="s">
        <v>435</v>
      </c>
      <c r="J18" s="1" t="s">
        <v>35</v>
      </c>
      <c r="K18" s="2">
        <f>'6 Вед15'!J19</f>
        <v>70800</v>
      </c>
      <c r="L18" s="92">
        <f>'6 Вед15'!K19</f>
        <v>0</v>
      </c>
      <c r="M18" s="2">
        <f t="shared" si="13"/>
        <v>70800</v>
      </c>
      <c r="N18" s="92">
        <f>'6 Вед15'!M19</f>
        <v>0</v>
      </c>
      <c r="O18" s="2">
        <f t="shared" si="5"/>
        <v>70800</v>
      </c>
      <c r="P18" s="92">
        <f>'6 Вед15'!O19</f>
        <v>0</v>
      </c>
      <c r="Q18" s="2">
        <f t="shared" si="28"/>
        <v>70800</v>
      </c>
      <c r="R18" s="92">
        <f>'6 Вед15'!Q19</f>
        <v>0</v>
      </c>
      <c r="S18" s="2">
        <f t="shared" si="29"/>
        <v>70800</v>
      </c>
    </row>
    <row r="19" spans="1:19" s="6" customFormat="1" ht="14.25" customHeight="1" x14ac:dyDescent="0.25">
      <c r="A19" s="15"/>
      <c r="B19" s="225" t="s">
        <v>465</v>
      </c>
      <c r="C19" s="219"/>
      <c r="D19" s="219">
        <v>51</v>
      </c>
      <c r="E19" s="219">
        <v>0</v>
      </c>
      <c r="F19" s="219">
        <v>851</v>
      </c>
      <c r="G19" s="1" t="s">
        <v>22</v>
      </c>
      <c r="H19" s="1" t="s">
        <v>6</v>
      </c>
      <c r="I19" s="1" t="s">
        <v>435</v>
      </c>
      <c r="J19" s="1" t="s">
        <v>464</v>
      </c>
      <c r="K19" s="2">
        <f>'6 Вед15'!J20</f>
        <v>50000</v>
      </c>
      <c r="L19" s="92">
        <f>'6 Вед15'!K20</f>
        <v>0</v>
      </c>
      <c r="M19" s="2">
        <f t="shared" si="13"/>
        <v>50000</v>
      </c>
      <c r="N19" s="92">
        <f>'6 Вед15'!M20</f>
        <v>0</v>
      </c>
      <c r="O19" s="2">
        <f t="shared" si="5"/>
        <v>50000</v>
      </c>
      <c r="P19" s="92">
        <f>'6 Вед15'!O20</f>
        <v>0</v>
      </c>
      <c r="Q19" s="2">
        <f t="shared" si="28"/>
        <v>50000</v>
      </c>
      <c r="R19" s="92">
        <f>'6 Вед15'!Q20</f>
        <v>0</v>
      </c>
      <c r="S19" s="2">
        <f t="shared" si="29"/>
        <v>50000</v>
      </c>
    </row>
    <row r="20" spans="1:19" s="6" customFormat="1" ht="37.5" customHeight="1" x14ac:dyDescent="0.25">
      <c r="A20" s="509" t="s">
        <v>479</v>
      </c>
      <c r="B20" s="509"/>
      <c r="C20" s="225"/>
      <c r="D20" s="219">
        <v>51</v>
      </c>
      <c r="E20" s="219">
        <v>0</v>
      </c>
      <c r="F20" s="219">
        <v>851</v>
      </c>
      <c r="G20" s="1" t="s">
        <v>17</v>
      </c>
      <c r="H20" s="1" t="s">
        <v>6</v>
      </c>
      <c r="I20" s="1" t="s">
        <v>484</v>
      </c>
      <c r="J20" s="1"/>
      <c r="K20" s="2">
        <f t="shared" ref="K20:S21" si="30">K21</f>
        <v>2500</v>
      </c>
      <c r="L20" s="2">
        <f t="shared" si="30"/>
        <v>0</v>
      </c>
      <c r="M20" s="2">
        <f t="shared" si="30"/>
        <v>2500</v>
      </c>
      <c r="N20" s="2">
        <f t="shared" si="30"/>
        <v>0</v>
      </c>
      <c r="O20" s="2">
        <f t="shared" si="30"/>
        <v>2500</v>
      </c>
      <c r="P20" s="2">
        <f t="shared" si="30"/>
        <v>0</v>
      </c>
      <c r="Q20" s="2">
        <f t="shared" si="30"/>
        <v>2500</v>
      </c>
      <c r="R20" s="2">
        <f t="shared" si="30"/>
        <v>0</v>
      </c>
      <c r="S20" s="2">
        <f t="shared" si="30"/>
        <v>2500</v>
      </c>
    </row>
    <row r="21" spans="1:19" s="6" customFormat="1" ht="15" customHeight="1" x14ac:dyDescent="0.25">
      <c r="A21" s="15"/>
      <c r="B21" s="228" t="s">
        <v>27</v>
      </c>
      <c r="C21" s="224"/>
      <c r="D21" s="219">
        <v>51</v>
      </c>
      <c r="E21" s="219">
        <v>0</v>
      </c>
      <c r="F21" s="219">
        <v>851</v>
      </c>
      <c r="G21" s="1" t="s">
        <v>17</v>
      </c>
      <c r="H21" s="1" t="s">
        <v>6</v>
      </c>
      <c r="I21" s="1" t="s">
        <v>484</v>
      </c>
      <c r="J21" s="1" t="s">
        <v>28</v>
      </c>
      <c r="K21" s="2">
        <f t="shared" si="30"/>
        <v>2500</v>
      </c>
      <c r="L21" s="2">
        <f t="shared" si="30"/>
        <v>0</v>
      </c>
      <c r="M21" s="2">
        <f t="shared" si="30"/>
        <v>2500</v>
      </c>
      <c r="N21" s="2">
        <f t="shared" si="30"/>
        <v>0</v>
      </c>
      <c r="O21" s="2">
        <f t="shared" si="30"/>
        <v>2500</v>
      </c>
      <c r="P21" s="2">
        <f t="shared" si="30"/>
        <v>0</v>
      </c>
      <c r="Q21" s="2">
        <f t="shared" si="30"/>
        <v>2500</v>
      </c>
      <c r="R21" s="2">
        <f t="shared" si="30"/>
        <v>0</v>
      </c>
      <c r="S21" s="2">
        <f t="shared" si="30"/>
        <v>2500</v>
      </c>
    </row>
    <row r="22" spans="1:19" s="6" customFormat="1" ht="24" customHeight="1" x14ac:dyDescent="0.25">
      <c r="A22" s="15"/>
      <c r="B22" s="228" t="s">
        <v>29</v>
      </c>
      <c r="C22" s="225"/>
      <c r="D22" s="219">
        <v>51</v>
      </c>
      <c r="E22" s="219">
        <v>0</v>
      </c>
      <c r="F22" s="219">
        <v>851</v>
      </c>
      <c r="G22" s="1" t="s">
        <v>17</v>
      </c>
      <c r="H22" s="1" t="s">
        <v>6</v>
      </c>
      <c r="I22" s="1" t="s">
        <v>484</v>
      </c>
      <c r="J22" s="1" t="s">
        <v>30</v>
      </c>
      <c r="K22" s="2">
        <f>'6 Вед15'!J23</f>
        <v>2500</v>
      </c>
      <c r="L22" s="92">
        <f>'6 Вед15'!K23</f>
        <v>0</v>
      </c>
      <c r="M22" s="2">
        <f t="shared" si="13"/>
        <v>2500</v>
      </c>
      <c r="N22" s="92">
        <f>'6 Вед15'!M23</f>
        <v>0</v>
      </c>
      <c r="O22" s="2">
        <f t="shared" si="5"/>
        <v>2500</v>
      </c>
      <c r="P22" s="92">
        <f>'6 Вед15'!O23</f>
        <v>0</v>
      </c>
      <c r="Q22" s="2">
        <f t="shared" ref="Q22" si="31">O22+P22</f>
        <v>2500</v>
      </c>
      <c r="R22" s="92">
        <f>'6 Вед15'!Q23</f>
        <v>0</v>
      </c>
      <c r="S22" s="2">
        <f t="shared" ref="S22" si="32">Q22+R22</f>
        <v>2500</v>
      </c>
    </row>
    <row r="23" spans="1:19" s="6" customFormat="1" ht="15" customHeight="1" x14ac:dyDescent="0.25">
      <c r="A23" s="525" t="s">
        <v>586</v>
      </c>
      <c r="B23" s="526"/>
      <c r="C23" s="314"/>
      <c r="D23" s="219">
        <v>51</v>
      </c>
      <c r="E23" s="219">
        <v>0</v>
      </c>
      <c r="F23" s="219">
        <v>851</v>
      </c>
      <c r="G23" s="1"/>
      <c r="H23" s="1"/>
      <c r="I23" s="1" t="s">
        <v>595</v>
      </c>
      <c r="J23" s="1"/>
      <c r="K23" s="2">
        <f>K24</f>
        <v>0</v>
      </c>
      <c r="L23" s="2">
        <f t="shared" ref="L23:O24" si="33">L24</f>
        <v>4802500</v>
      </c>
      <c r="M23" s="2">
        <f t="shared" si="33"/>
        <v>4802500</v>
      </c>
      <c r="N23" s="2">
        <f t="shared" si="33"/>
        <v>0</v>
      </c>
      <c r="O23" s="2">
        <f t="shared" si="33"/>
        <v>4802500</v>
      </c>
      <c r="P23" s="2">
        <f t="shared" ref="P23:R24" si="34">P24</f>
        <v>-4017500</v>
      </c>
      <c r="Q23" s="2">
        <f t="shared" ref="Q23:S24" si="35">Q24</f>
        <v>785000</v>
      </c>
      <c r="R23" s="2">
        <f t="shared" si="34"/>
        <v>11500000</v>
      </c>
      <c r="S23" s="2">
        <f t="shared" si="35"/>
        <v>12285000</v>
      </c>
    </row>
    <row r="24" spans="1:19" s="6" customFormat="1" ht="24" customHeight="1" x14ac:dyDescent="0.25">
      <c r="A24" s="320"/>
      <c r="B24" s="314" t="s">
        <v>467</v>
      </c>
      <c r="C24" s="314"/>
      <c r="D24" s="219">
        <v>51</v>
      </c>
      <c r="E24" s="219">
        <v>0</v>
      </c>
      <c r="F24" s="219">
        <v>851</v>
      </c>
      <c r="G24" s="1"/>
      <c r="H24" s="1"/>
      <c r="I24" s="1" t="s">
        <v>595</v>
      </c>
      <c r="J24" s="1" t="s">
        <v>75</v>
      </c>
      <c r="K24" s="2">
        <f>K25</f>
        <v>0</v>
      </c>
      <c r="L24" s="2">
        <f t="shared" si="33"/>
        <v>4802500</v>
      </c>
      <c r="M24" s="2">
        <f t="shared" si="33"/>
        <v>4802500</v>
      </c>
      <c r="N24" s="2">
        <f t="shared" si="33"/>
        <v>0</v>
      </c>
      <c r="O24" s="2">
        <f t="shared" si="33"/>
        <v>4802500</v>
      </c>
      <c r="P24" s="2">
        <f t="shared" si="34"/>
        <v>-4017500</v>
      </c>
      <c r="Q24" s="2">
        <f t="shared" si="35"/>
        <v>785000</v>
      </c>
      <c r="R24" s="2">
        <f t="shared" si="34"/>
        <v>11500000</v>
      </c>
      <c r="S24" s="2">
        <f t="shared" si="35"/>
        <v>12285000</v>
      </c>
    </row>
    <row r="25" spans="1:19" s="6" customFormat="1" ht="24" customHeight="1" x14ac:dyDescent="0.25">
      <c r="A25" s="320"/>
      <c r="B25" s="314" t="s">
        <v>76</v>
      </c>
      <c r="C25" s="314"/>
      <c r="D25" s="219">
        <v>51</v>
      </c>
      <c r="E25" s="219">
        <v>0</v>
      </c>
      <c r="F25" s="219">
        <v>851</v>
      </c>
      <c r="G25" s="1"/>
      <c r="H25" s="1"/>
      <c r="I25" s="1" t="s">
        <v>595</v>
      </c>
      <c r="J25" s="1" t="s">
        <v>77</v>
      </c>
      <c r="K25" s="2"/>
      <c r="L25" s="92">
        <f>'6 Вед15'!K119+'6 Вед15'!K139</f>
        <v>4802500</v>
      </c>
      <c r="M25" s="2">
        <f t="shared" si="13"/>
        <v>4802500</v>
      </c>
      <c r="N25" s="92">
        <f>'6 Вед15'!M119+'6 Вед15'!M139</f>
        <v>0</v>
      </c>
      <c r="O25" s="2">
        <f t="shared" si="5"/>
        <v>4802500</v>
      </c>
      <c r="P25" s="92">
        <f>'6 Вед15'!O119+'6 Вед15'!O139</f>
        <v>-4017500</v>
      </c>
      <c r="Q25" s="2">
        <f t="shared" ref="Q25" si="36">O25+P25</f>
        <v>785000</v>
      </c>
      <c r="R25" s="92">
        <f>'6 Вед15'!Q119+'6 Вед15'!Q139</f>
        <v>11500000</v>
      </c>
      <c r="S25" s="2">
        <f t="shared" ref="S25" si="37">Q25+R25</f>
        <v>12285000</v>
      </c>
    </row>
    <row r="26" spans="1:19" s="6" customFormat="1" ht="24" customHeight="1" x14ac:dyDescent="0.25">
      <c r="A26" s="516" t="s">
        <v>621</v>
      </c>
      <c r="B26" s="517"/>
      <c r="C26" s="359"/>
      <c r="D26" s="219">
        <v>51</v>
      </c>
      <c r="E26" s="219">
        <v>0</v>
      </c>
      <c r="F26" s="219">
        <v>851</v>
      </c>
      <c r="G26" s="1"/>
      <c r="H26" s="1"/>
      <c r="I26" s="1" t="s">
        <v>622</v>
      </c>
      <c r="J26" s="1"/>
      <c r="K26" s="2"/>
      <c r="L26" s="92"/>
      <c r="M26" s="2">
        <f>M27</f>
        <v>0</v>
      </c>
      <c r="N26" s="2">
        <f t="shared" ref="N26:O27" si="38">N27</f>
        <v>700000</v>
      </c>
      <c r="O26" s="2">
        <f t="shared" si="38"/>
        <v>700000</v>
      </c>
      <c r="P26" s="2">
        <f t="shared" ref="P26:R27" si="39">P27</f>
        <v>0</v>
      </c>
      <c r="Q26" s="2">
        <f t="shared" ref="Q26:S27" si="40">Q27</f>
        <v>700000</v>
      </c>
      <c r="R26" s="2">
        <f t="shared" si="39"/>
        <v>0</v>
      </c>
      <c r="S26" s="2">
        <f t="shared" si="40"/>
        <v>700000</v>
      </c>
    </row>
    <row r="27" spans="1:19" s="6" customFormat="1" ht="14.25" customHeight="1" x14ac:dyDescent="0.25">
      <c r="A27" s="360"/>
      <c r="B27" s="359" t="s">
        <v>31</v>
      </c>
      <c r="C27" s="359"/>
      <c r="D27" s="219">
        <v>51</v>
      </c>
      <c r="E27" s="219">
        <v>0</v>
      </c>
      <c r="F27" s="219">
        <v>851</v>
      </c>
      <c r="G27" s="1"/>
      <c r="H27" s="1"/>
      <c r="I27" s="1" t="s">
        <v>622</v>
      </c>
      <c r="J27" s="1" t="s">
        <v>32</v>
      </c>
      <c r="K27" s="2"/>
      <c r="L27" s="92"/>
      <c r="M27" s="2">
        <f>M28</f>
        <v>0</v>
      </c>
      <c r="N27" s="2">
        <f t="shared" si="38"/>
        <v>700000</v>
      </c>
      <c r="O27" s="2">
        <f t="shared" si="38"/>
        <v>700000</v>
      </c>
      <c r="P27" s="2">
        <f t="shared" si="39"/>
        <v>0</v>
      </c>
      <c r="Q27" s="2">
        <f t="shared" si="40"/>
        <v>700000</v>
      </c>
      <c r="R27" s="2">
        <f t="shared" si="39"/>
        <v>0</v>
      </c>
      <c r="S27" s="2">
        <f t="shared" si="40"/>
        <v>700000</v>
      </c>
    </row>
    <row r="28" spans="1:19" s="6" customFormat="1" ht="36.75" customHeight="1" x14ac:dyDescent="0.25">
      <c r="A28" s="360"/>
      <c r="B28" s="359" t="s">
        <v>250</v>
      </c>
      <c r="C28" s="359"/>
      <c r="D28" s="219">
        <v>51</v>
      </c>
      <c r="E28" s="219">
        <v>0</v>
      </c>
      <c r="F28" s="219">
        <v>851</v>
      </c>
      <c r="G28" s="1"/>
      <c r="H28" s="1"/>
      <c r="I28" s="1" t="s">
        <v>622</v>
      </c>
      <c r="J28" s="1" t="s">
        <v>65</v>
      </c>
      <c r="K28" s="2"/>
      <c r="L28" s="92"/>
      <c r="M28" s="2">
        <f t="shared" si="13"/>
        <v>0</v>
      </c>
      <c r="N28" s="92">
        <f>'6 Вед15'!M82</f>
        <v>700000</v>
      </c>
      <c r="O28" s="2">
        <f t="shared" si="5"/>
        <v>700000</v>
      </c>
      <c r="P28" s="92">
        <f>'6 Вед15'!O82</f>
        <v>0</v>
      </c>
      <c r="Q28" s="2">
        <f t="shared" ref="Q28" si="41">O28+P28</f>
        <v>700000</v>
      </c>
      <c r="R28" s="92">
        <f>'6 Вед15'!Q82</f>
        <v>0</v>
      </c>
      <c r="S28" s="2">
        <f t="shared" ref="S28" si="42">Q28+R28</f>
        <v>700000</v>
      </c>
    </row>
    <row r="29" spans="1:19" s="13" customFormat="1" ht="14.25" customHeight="1" x14ac:dyDescent="0.25">
      <c r="A29" s="509" t="s">
        <v>442</v>
      </c>
      <c r="B29" s="509"/>
      <c r="C29" s="227"/>
      <c r="D29" s="219">
        <v>51</v>
      </c>
      <c r="E29" s="219">
        <v>0</v>
      </c>
      <c r="F29" s="219">
        <v>851</v>
      </c>
      <c r="G29" s="1" t="s">
        <v>3</v>
      </c>
      <c r="H29" s="1" t="s">
        <v>57</v>
      </c>
      <c r="I29" s="1" t="s">
        <v>215</v>
      </c>
      <c r="J29" s="11"/>
      <c r="K29" s="2">
        <f>K30+K32</f>
        <v>1332400</v>
      </c>
      <c r="L29" s="2">
        <f t="shared" ref="L29:O29" si="43">L30+L32</f>
        <v>10900</v>
      </c>
      <c r="M29" s="2">
        <f t="shared" si="43"/>
        <v>1343300</v>
      </c>
      <c r="N29" s="2">
        <f t="shared" si="43"/>
        <v>0</v>
      </c>
      <c r="O29" s="2">
        <f t="shared" si="43"/>
        <v>1343300</v>
      </c>
      <c r="P29" s="2">
        <f t="shared" ref="P29:R29" si="44">P30+P32</f>
        <v>0</v>
      </c>
      <c r="Q29" s="2">
        <f t="shared" ref="Q29:S29" si="45">Q30+Q32</f>
        <v>1343300</v>
      </c>
      <c r="R29" s="2">
        <f t="shared" si="44"/>
        <v>0</v>
      </c>
      <c r="S29" s="2">
        <f t="shared" si="45"/>
        <v>1343300</v>
      </c>
    </row>
    <row r="30" spans="1:19" s="6" customFormat="1" ht="38.25" customHeight="1" x14ac:dyDescent="0.25">
      <c r="A30" s="176"/>
      <c r="B30" s="224" t="s">
        <v>21</v>
      </c>
      <c r="C30" s="225"/>
      <c r="D30" s="219">
        <v>51</v>
      </c>
      <c r="E30" s="219">
        <v>0</v>
      </c>
      <c r="F30" s="219">
        <v>851</v>
      </c>
      <c r="G30" s="1" t="s">
        <v>3</v>
      </c>
      <c r="H30" s="18" t="s">
        <v>57</v>
      </c>
      <c r="I30" s="18" t="s">
        <v>215</v>
      </c>
      <c r="J30" s="1" t="s">
        <v>23</v>
      </c>
      <c r="K30" s="2">
        <f t="shared" ref="K30:S30" si="46">K31</f>
        <v>1246000</v>
      </c>
      <c r="L30" s="2">
        <f t="shared" si="46"/>
        <v>0</v>
      </c>
      <c r="M30" s="2">
        <f t="shared" si="46"/>
        <v>1246000</v>
      </c>
      <c r="N30" s="2">
        <f t="shared" si="46"/>
        <v>0</v>
      </c>
      <c r="O30" s="2">
        <f t="shared" si="46"/>
        <v>1246000</v>
      </c>
      <c r="P30" s="2">
        <f t="shared" si="46"/>
        <v>0</v>
      </c>
      <c r="Q30" s="2">
        <f t="shared" si="46"/>
        <v>1246000</v>
      </c>
      <c r="R30" s="2">
        <f t="shared" si="46"/>
        <v>0</v>
      </c>
      <c r="S30" s="2">
        <f t="shared" si="46"/>
        <v>1246000</v>
      </c>
    </row>
    <row r="31" spans="1:19" s="6" customFormat="1" x14ac:dyDescent="0.25">
      <c r="A31" s="176"/>
      <c r="B31" s="225" t="s">
        <v>59</v>
      </c>
      <c r="C31" s="225"/>
      <c r="D31" s="219">
        <v>51</v>
      </c>
      <c r="E31" s="219">
        <v>0</v>
      </c>
      <c r="F31" s="219">
        <v>851</v>
      </c>
      <c r="G31" s="1" t="s">
        <v>3</v>
      </c>
      <c r="H31" s="18" t="s">
        <v>57</v>
      </c>
      <c r="I31" s="18" t="s">
        <v>215</v>
      </c>
      <c r="J31" s="1" t="s">
        <v>60</v>
      </c>
      <c r="K31" s="2">
        <f>'6 Вед15'!J75</f>
        <v>1246000</v>
      </c>
      <c r="L31" s="92">
        <f>'6 Вед15'!K75</f>
        <v>0</v>
      </c>
      <c r="M31" s="2">
        <f t="shared" si="13"/>
        <v>1246000</v>
      </c>
      <c r="N31" s="92">
        <f>'6 Вед15'!M75</f>
        <v>0</v>
      </c>
      <c r="O31" s="2">
        <f t="shared" si="5"/>
        <v>1246000</v>
      </c>
      <c r="P31" s="92">
        <f>'6 Вед15'!O75</f>
        <v>0</v>
      </c>
      <c r="Q31" s="2">
        <f t="shared" ref="Q31" si="47">O31+P31</f>
        <v>1246000</v>
      </c>
      <c r="R31" s="92">
        <f>'6 Вед15'!Q75</f>
        <v>0</v>
      </c>
      <c r="S31" s="2">
        <f t="shared" ref="S31" si="48">Q31+R31</f>
        <v>1246000</v>
      </c>
    </row>
    <row r="32" spans="1:19" s="6" customFormat="1" ht="12.75" customHeight="1" x14ac:dyDescent="0.25">
      <c r="A32" s="19"/>
      <c r="B32" s="228" t="s">
        <v>27</v>
      </c>
      <c r="C32" s="224"/>
      <c r="D32" s="219">
        <v>51</v>
      </c>
      <c r="E32" s="219">
        <v>0</v>
      </c>
      <c r="F32" s="219">
        <v>851</v>
      </c>
      <c r="G32" s="1" t="s">
        <v>3</v>
      </c>
      <c r="H32" s="18" t="s">
        <v>57</v>
      </c>
      <c r="I32" s="18" t="s">
        <v>215</v>
      </c>
      <c r="J32" s="1" t="s">
        <v>28</v>
      </c>
      <c r="K32" s="2">
        <f t="shared" ref="K32" si="49">K33</f>
        <v>86400</v>
      </c>
      <c r="L32" s="2">
        <f t="shared" ref="L32" si="50">L33</f>
        <v>10900</v>
      </c>
      <c r="M32" s="2">
        <f t="shared" ref="M32" si="51">M33</f>
        <v>97300</v>
      </c>
      <c r="N32" s="2">
        <f t="shared" ref="N32" si="52">N33</f>
        <v>0</v>
      </c>
      <c r="O32" s="2">
        <f t="shared" ref="O32" si="53">O33</f>
        <v>97300</v>
      </c>
      <c r="P32" s="2">
        <f t="shared" ref="P32:R32" si="54">P33</f>
        <v>0</v>
      </c>
      <c r="Q32" s="2">
        <f t="shared" ref="Q32:S32" si="55">Q33</f>
        <v>97300</v>
      </c>
      <c r="R32" s="2">
        <f t="shared" si="54"/>
        <v>0</v>
      </c>
      <c r="S32" s="2">
        <f t="shared" si="55"/>
        <v>97300</v>
      </c>
    </row>
    <row r="33" spans="1:19" s="6" customFormat="1" ht="24" x14ac:dyDescent="0.25">
      <c r="A33" s="19"/>
      <c r="B33" s="228" t="s">
        <v>29</v>
      </c>
      <c r="C33" s="225"/>
      <c r="D33" s="219">
        <v>51</v>
      </c>
      <c r="E33" s="219">
        <v>0</v>
      </c>
      <c r="F33" s="219">
        <v>851</v>
      </c>
      <c r="G33" s="1" t="s">
        <v>3</v>
      </c>
      <c r="H33" s="18" t="s">
        <v>57</v>
      </c>
      <c r="I33" s="18" t="s">
        <v>215</v>
      </c>
      <c r="J33" s="1" t="s">
        <v>30</v>
      </c>
      <c r="K33" s="2">
        <f>'6 Вед15'!J77</f>
        <v>86400</v>
      </c>
      <c r="L33" s="92">
        <f>'6 Вед15'!K77</f>
        <v>10900</v>
      </c>
      <c r="M33" s="2">
        <f t="shared" si="13"/>
        <v>97300</v>
      </c>
      <c r="N33" s="92">
        <f>'6 Вед15'!M77</f>
        <v>0</v>
      </c>
      <c r="O33" s="2">
        <f t="shared" si="5"/>
        <v>97300</v>
      </c>
      <c r="P33" s="92">
        <f>'6 Вед15'!O77</f>
        <v>0</v>
      </c>
      <c r="Q33" s="2">
        <f t="shared" ref="Q33" si="56">O33+P33</f>
        <v>97300</v>
      </c>
      <c r="R33" s="92">
        <f>'6 Вед15'!Q77</f>
        <v>0</v>
      </c>
      <c r="S33" s="2">
        <f t="shared" ref="S33" si="57">Q33+R33</f>
        <v>97300</v>
      </c>
    </row>
    <row r="34" spans="1:19" s="6" customFormat="1" ht="47.25" customHeight="1" x14ac:dyDescent="0.25">
      <c r="A34" s="509" t="s">
        <v>45</v>
      </c>
      <c r="B34" s="509"/>
      <c r="C34" s="219"/>
      <c r="D34" s="219">
        <v>51</v>
      </c>
      <c r="E34" s="219">
        <v>0</v>
      </c>
      <c r="F34" s="219">
        <v>851</v>
      </c>
      <c r="G34" s="1" t="s">
        <v>17</v>
      </c>
      <c r="H34" s="1" t="s">
        <v>44</v>
      </c>
      <c r="I34" s="1" t="s">
        <v>210</v>
      </c>
      <c r="J34" s="1"/>
      <c r="K34" s="2">
        <f t="shared" ref="K34" si="58">K35+K37</f>
        <v>340700</v>
      </c>
      <c r="L34" s="2">
        <f t="shared" ref="L34:O34" si="59">L35+L37</f>
        <v>0</v>
      </c>
      <c r="M34" s="2">
        <f t="shared" si="59"/>
        <v>340700</v>
      </c>
      <c r="N34" s="2">
        <f t="shared" si="59"/>
        <v>-23856</v>
      </c>
      <c r="O34" s="2">
        <f t="shared" si="59"/>
        <v>316844</v>
      </c>
      <c r="P34" s="2">
        <f t="shared" ref="P34:Q34" si="60">P35+P37</f>
        <v>0</v>
      </c>
      <c r="Q34" s="2">
        <f t="shared" si="60"/>
        <v>316844</v>
      </c>
      <c r="R34" s="2">
        <f t="shared" ref="R34:S34" si="61">R35+R37</f>
        <v>0</v>
      </c>
      <c r="S34" s="2">
        <f t="shared" si="61"/>
        <v>316844</v>
      </c>
    </row>
    <row r="35" spans="1:19" s="6" customFormat="1" ht="38.25" customHeight="1" x14ac:dyDescent="0.25">
      <c r="A35" s="15"/>
      <c r="B35" s="224" t="s">
        <v>21</v>
      </c>
      <c r="C35" s="219"/>
      <c r="D35" s="219">
        <v>51</v>
      </c>
      <c r="E35" s="219">
        <v>0</v>
      </c>
      <c r="F35" s="219">
        <v>851</v>
      </c>
      <c r="G35" s="1" t="s">
        <v>17</v>
      </c>
      <c r="H35" s="1" t="s">
        <v>44</v>
      </c>
      <c r="I35" s="1" t="s">
        <v>210</v>
      </c>
      <c r="J35" s="1" t="s">
        <v>23</v>
      </c>
      <c r="K35" s="2">
        <f t="shared" ref="K35:S35" si="62">K36</f>
        <v>216840</v>
      </c>
      <c r="L35" s="2">
        <f t="shared" si="62"/>
        <v>0</v>
      </c>
      <c r="M35" s="2">
        <f t="shared" si="62"/>
        <v>216840</v>
      </c>
      <c r="N35" s="2">
        <f t="shared" si="62"/>
        <v>0</v>
      </c>
      <c r="O35" s="2">
        <f t="shared" si="62"/>
        <v>216840</v>
      </c>
      <c r="P35" s="2">
        <f t="shared" si="62"/>
        <v>0</v>
      </c>
      <c r="Q35" s="2">
        <f t="shared" si="62"/>
        <v>216840</v>
      </c>
      <c r="R35" s="2">
        <f t="shared" si="62"/>
        <v>0</v>
      </c>
      <c r="S35" s="2">
        <f t="shared" si="62"/>
        <v>216840</v>
      </c>
    </row>
    <row r="36" spans="1:19" s="6" customFormat="1" ht="15.75" customHeight="1" x14ac:dyDescent="0.25">
      <c r="A36" s="15"/>
      <c r="B36" s="224" t="s">
        <v>24</v>
      </c>
      <c r="C36" s="219"/>
      <c r="D36" s="219">
        <v>51</v>
      </c>
      <c r="E36" s="219">
        <v>0</v>
      </c>
      <c r="F36" s="219">
        <v>851</v>
      </c>
      <c r="G36" s="1" t="s">
        <v>17</v>
      </c>
      <c r="H36" s="1" t="s">
        <v>44</v>
      </c>
      <c r="I36" s="1" t="s">
        <v>210</v>
      </c>
      <c r="J36" s="1" t="s">
        <v>25</v>
      </c>
      <c r="K36" s="2">
        <f>'6 Вед15'!J39</f>
        <v>216840</v>
      </c>
      <c r="L36" s="92">
        <f>'6 Вед15'!K39</f>
        <v>0</v>
      </c>
      <c r="M36" s="2">
        <f t="shared" si="13"/>
        <v>216840</v>
      </c>
      <c r="N36" s="92">
        <f>'6 Вед15'!M39</f>
        <v>0</v>
      </c>
      <c r="O36" s="2">
        <f t="shared" si="5"/>
        <v>216840</v>
      </c>
      <c r="P36" s="92">
        <f>'6 Вед15'!O39</f>
        <v>0</v>
      </c>
      <c r="Q36" s="2">
        <f t="shared" ref="Q36" si="63">O36+P36</f>
        <v>216840</v>
      </c>
      <c r="R36" s="92">
        <f>'6 Вед15'!Q39</f>
        <v>0</v>
      </c>
      <c r="S36" s="2">
        <f t="shared" ref="S36" si="64">Q36+R36</f>
        <v>216840</v>
      </c>
    </row>
    <row r="37" spans="1:19" s="6" customFormat="1" ht="15.75" customHeight="1" x14ac:dyDescent="0.25">
      <c r="A37" s="15"/>
      <c r="B37" s="228" t="s">
        <v>27</v>
      </c>
      <c r="C37" s="219"/>
      <c r="D37" s="219">
        <v>51</v>
      </c>
      <c r="E37" s="219">
        <v>0</v>
      </c>
      <c r="F37" s="219">
        <v>851</v>
      </c>
      <c r="G37" s="1" t="s">
        <v>17</v>
      </c>
      <c r="H37" s="1" t="s">
        <v>44</v>
      </c>
      <c r="I37" s="1" t="s">
        <v>210</v>
      </c>
      <c r="J37" s="1" t="s">
        <v>28</v>
      </c>
      <c r="K37" s="2">
        <f t="shared" ref="K37" si="65">K38</f>
        <v>123860</v>
      </c>
      <c r="L37" s="2">
        <f t="shared" ref="L37" si="66">L38</f>
        <v>0</v>
      </c>
      <c r="M37" s="2">
        <f t="shared" ref="M37" si="67">M38</f>
        <v>123860</v>
      </c>
      <c r="N37" s="2">
        <f t="shared" ref="N37" si="68">N38</f>
        <v>-23856</v>
      </c>
      <c r="O37" s="2">
        <f t="shared" ref="O37" si="69">O38</f>
        <v>100004</v>
      </c>
      <c r="P37" s="2">
        <f t="shared" ref="P37:R37" si="70">P38</f>
        <v>0</v>
      </c>
      <c r="Q37" s="2">
        <f t="shared" ref="Q37:S37" si="71">Q38</f>
        <v>100004</v>
      </c>
      <c r="R37" s="2">
        <f t="shared" si="70"/>
        <v>0</v>
      </c>
      <c r="S37" s="2">
        <f t="shared" si="71"/>
        <v>100004</v>
      </c>
    </row>
    <row r="38" spans="1:19" s="6" customFormat="1" ht="24" customHeight="1" x14ac:dyDescent="0.25">
      <c r="A38" s="15"/>
      <c r="B38" s="228" t="s">
        <v>29</v>
      </c>
      <c r="C38" s="219"/>
      <c r="D38" s="219">
        <v>51</v>
      </c>
      <c r="E38" s="219">
        <v>0</v>
      </c>
      <c r="F38" s="219">
        <v>851</v>
      </c>
      <c r="G38" s="1" t="s">
        <v>17</v>
      </c>
      <c r="H38" s="1" t="s">
        <v>44</v>
      </c>
      <c r="I38" s="1" t="s">
        <v>210</v>
      </c>
      <c r="J38" s="1" t="s">
        <v>30</v>
      </c>
      <c r="K38" s="2">
        <f>'6 Вед15'!J41</f>
        <v>123860</v>
      </c>
      <c r="L38" s="92">
        <f>'6 Вед15'!K41</f>
        <v>0</v>
      </c>
      <c r="M38" s="2">
        <f t="shared" si="13"/>
        <v>123860</v>
      </c>
      <c r="N38" s="92">
        <f>'6 Вед15'!M41</f>
        <v>-23856</v>
      </c>
      <c r="O38" s="2">
        <f t="shared" si="5"/>
        <v>100004</v>
      </c>
      <c r="P38" s="92">
        <f>'6 Вед15'!O41</f>
        <v>0</v>
      </c>
      <c r="Q38" s="2">
        <f t="shared" ref="Q38" si="72">O38+P38</f>
        <v>100004</v>
      </c>
      <c r="R38" s="92">
        <f>'6 Вед15'!Q41</f>
        <v>0</v>
      </c>
      <c r="S38" s="2">
        <f t="shared" ref="S38" si="73">Q38+R38</f>
        <v>100004</v>
      </c>
    </row>
    <row r="39" spans="1:19" s="13" customFormat="1" ht="59.25" customHeight="1" x14ac:dyDescent="0.25">
      <c r="A39" s="509" t="s">
        <v>473</v>
      </c>
      <c r="B39" s="509"/>
      <c r="C39" s="227"/>
      <c r="D39" s="63">
        <v>51</v>
      </c>
      <c r="E39" s="63">
        <v>0</v>
      </c>
      <c r="F39" s="219">
        <v>851</v>
      </c>
      <c r="G39" s="1" t="s">
        <v>6</v>
      </c>
      <c r="H39" s="1" t="s">
        <v>63</v>
      </c>
      <c r="I39" s="1" t="s">
        <v>487</v>
      </c>
      <c r="J39" s="1"/>
      <c r="K39" s="2">
        <f>K40</f>
        <v>11140</v>
      </c>
      <c r="L39" s="2">
        <f t="shared" ref="L39:O40" si="74">L40</f>
        <v>0</v>
      </c>
      <c r="M39" s="2">
        <f t="shared" si="74"/>
        <v>11140</v>
      </c>
      <c r="N39" s="2">
        <f t="shared" si="74"/>
        <v>0</v>
      </c>
      <c r="O39" s="2">
        <f t="shared" si="74"/>
        <v>11140</v>
      </c>
      <c r="P39" s="2">
        <f t="shared" ref="P39:R40" si="75">P40</f>
        <v>0</v>
      </c>
      <c r="Q39" s="2">
        <f t="shared" ref="Q39:S40" si="76">Q40</f>
        <v>11140</v>
      </c>
      <c r="R39" s="2">
        <f t="shared" si="75"/>
        <v>0</v>
      </c>
      <c r="S39" s="2">
        <f t="shared" si="76"/>
        <v>11140</v>
      </c>
    </row>
    <row r="40" spans="1:19" s="13" customFormat="1" ht="12" customHeight="1" x14ac:dyDescent="0.25">
      <c r="A40" s="227"/>
      <c r="B40" s="228" t="s">
        <v>27</v>
      </c>
      <c r="C40" s="224"/>
      <c r="D40" s="63">
        <v>51</v>
      </c>
      <c r="E40" s="63">
        <v>0</v>
      </c>
      <c r="F40" s="219">
        <v>851</v>
      </c>
      <c r="G40" s="1" t="s">
        <v>6</v>
      </c>
      <c r="H40" s="1" t="s">
        <v>63</v>
      </c>
      <c r="I40" s="1" t="s">
        <v>487</v>
      </c>
      <c r="J40" s="1" t="s">
        <v>28</v>
      </c>
      <c r="K40" s="2">
        <f>K41</f>
        <v>11140</v>
      </c>
      <c r="L40" s="2">
        <f t="shared" si="74"/>
        <v>0</v>
      </c>
      <c r="M40" s="2">
        <f t="shared" si="74"/>
        <v>11140</v>
      </c>
      <c r="N40" s="2">
        <f t="shared" si="74"/>
        <v>0</v>
      </c>
      <c r="O40" s="2">
        <f t="shared" si="74"/>
        <v>11140</v>
      </c>
      <c r="P40" s="2">
        <f t="shared" si="75"/>
        <v>0</v>
      </c>
      <c r="Q40" s="2">
        <f t="shared" si="76"/>
        <v>11140</v>
      </c>
      <c r="R40" s="2">
        <f t="shared" si="75"/>
        <v>0</v>
      </c>
      <c r="S40" s="2">
        <f t="shared" si="76"/>
        <v>11140</v>
      </c>
    </row>
    <row r="41" spans="1:19" s="13" customFormat="1" ht="24" x14ac:dyDescent="0.25">
      <c r="A41" s="227"/>
      <c r="B41" s="228" t="s">
        <v>29</v>
      </c>
      <c r="C41" s="225"/>
      <c r="D41" s="63">
        <v>51</v>
      </c>
      <c r="E41" s="63">
        <v>0</v>
      </c>
      <c r="F41" s="219">
        <v>851</v>
      </c>
      <c r="G41" s="1" t="s">
        <v>6</v>
      </c>
      <c r="H41" s="1" t="s">
        <v>63</v>
      </c>
      <c r="I41" s="1" t="s">
        <v>487</v>
      </c>
      <c r="J41" s="1" t="s">
        <v>30</v>
      </c>
      <c r="K41" s="2">
        <f>'6 Вед15'!J85</f>
        <v>11140</v>
      </c>
      <c r="L41" s="92">
        <f>'6 Вед15'!K85</f>
        <v>0</v>
      </c>
      <c r="M41" s="2">
        <f t="shared" si="13"/>
        <v>11140</v>
      </c>
      <c r="N41" s="92">
        <f>'6 Вед15'!M85</f>
        <v>0</v>
      </c>
      <c r="O41" s="2">
        <f t="shared" si="5"/>
        <v>11140</v>
      </c>
      <c r="P41" s="92">
        <f>'6 Вед15'!O85</f>
        <v>0</v>
      </c>
      <c r="Q41" s="2">
        <f t="shared" ref="Q41" si="77">O41+P41</f>
        <v>11140</v>
      </c>
      <c r="R41" s="92">
        <f>'6 Вед15'!Q85</f>
        <v>0</v>
      </c>
      <c r="S41" s="2">
        <f t="shared" ref="S41" si="78">Q41+R41</f>
        <v>11140</v>
      </c>
    </row>
    <row r="42" spans="1:19" s="6" customFormat="1" ht="24" customHeight="1" x14ac:dyDescent="0.25">
      <c r="A42" s="509" t="s">
        <v>51</v>
      </c>
      <c r="B42" s="509"/>
      <c r="C42" s="225"/>
      <c r="D42" s="219">
        <v>51</v>
      </c>
      <c r="E42" s="219">
        <v>0</v>
      </c>
      <c r="F42" s="219">
        <v>851</v>
      </c>
      <c r="G42" s="1" t="s">
        <v>22</v>
      </c>
      <c r="H42" s="18" t="s">
        <v>44</v>
      </c>
      <c r="I42" s="18" t="s">
        <v>213</v>
      </c>
      <c r="J42" s="1"/>
      <c r="K42" s="2">
        <f t="shared" ref="K42:S43" si="79">K43</f>
        <v>450000</v>
      </c>
      <c r="L42" s="2">
        <f t="shared" si="79"/>
        <v>0</v>
      </c>
      <c r="M42" s="2">
        <f t="shared" si="79"/>
        <v>450000</v>
      </c>
      <c r="N42" s="2">
        <f t="shared" si="79"/>
        <v>0</v>
      </c>
      <c r="O42" s="2">
        <f t="shared" si="79"/>
        <v>450000</v>
      </c>
      <c r="P42" s="2">
        <f t="shared" si="79"/>
        <v>0</v>
      </c>
      <c r="Q42" s="2">
        <f t="shared" si="79"/>
        <v>450000</v>
      </c>
      <c r="R42" s="2">
        <f t="shared" si="79"/>
        <v>0</v>
      </c>
      <c r="S42" s="2">
        <f t="shared" si="79"/>
        <v>450000</v>
      </c>
    </row>
    <row r="43" spans="1:19" s="6" customFormat="1" ht="18" customHeight="1" x14ac:dyDescent="0.25">
      <c r="A43" s="15"/>
      <c r="B43" s="228" t="s">
        <v>27</v>
      </c>
      <c r="C43" s="224"/>
      <c r="D43" s="219">
        <v>51</v>
      </c>
      <c r="E43" s="219">
        <v>0</v>
      </c>
      <c r="F43" s="219">
        <v>851</v>
      </c>
      <c r="G43" s="1" t="s">
        <v>17</v>
      </c>
      <c r="H43" s="1" t="s">
        <v>44</v>
      </c>
      <c r="I43" s="1" t="s">
        <v>213</v>
      </c>
      <c r="J43" s="1" t="s">
        <v>28</v>
      </c>
      <c r="K43" s="2">
        <f t="shared" si="79"/>
        <v>450000</v>
      </c>
      <c r="L43" s="2">
        <f t="shared" si="79"/>
        <v>0</v>
      </c>
      <c r="M43" s="2">
        <f t="shared" si="79"/>
        <v>450000</v>
      </c>
      <c r="N43" s="2">
        <f t="shared" si="79"/>
        <v>0</v>
      </c>
      <c r="O43" s="2">
        <f t="shared" si="79"/>
        <v>450000</v>
      </c>
      <c r="P43" s="2">
        <f t="shared" si="79"/>
        <v>0</v>
      </c>
      <c r="Q43" s="2">
        <f t="shared" si="79"/>
        <v>450000</v>
      </c>
      <c r="R43" s="2">
        <f t="shared" si="79"/>
        <v>0</v>
      </c>
      <c r="S43" s="2">
        <f t="shared" si="79"/>
        <v>450000</v>
      </c>
    </row>
    <row r="44" spans="1:19" s="6" customFormat="1" ht="26.25" customHeight="1" x14ac:dyDescent="0.25">
      <c r="A44" s="15"/>
      <c r="B44" s="228" t="s">
        <v>29</v>
      </c>
      <c r="C44" s="225"/>
      <c r="D44" s="219">
        <v>51</v>
      </c>
      <c r="E44" s="219">
        <v>0</v>
      </c>
      <c r="F44" s="219">
        <v>851</v>
      </c>
      <c r="G44" s="1" t="s">
        <v>17</v>
      </c>
      <c r="H44" s="1" t="s">
        <v>44</v>
      </c>
      <c r="I44" s="1" t="s">
        <v>213</v>
      </c>
      <c r="J44" s="1" t="s">
        <v>30</v>
      </c>
      <c r="K44" s="2">
        <f>'6 Вед15'!J44</f>
        <v>450000</v>
      </c>
      <c r="L44" s="92">
        <f>'6 Вед15'!K44</f>
        <v>0</v>
      </c>
      <c r="M44" s="2">
        <f t="shared" si="13"/>
        <v>450000</v>
      </c>
      <c r="N44" s="92">
        <f>'6 Вед15'!M44</f>
        <v>0</v>
      </c>
      <c r="O44" s="2">
        <f t="shared" si="5"/>
        <v>450000</v>
      </c>
      <c r="P44" s="92">
        <f>'6 Вед15'!O44</f>
        <v>0</v>
      </c>
      <c r="Q44" s="2">
        <f t="shared" ref="Q44" si="80">O44+P44</f>
        <v>450000</v>
      </c>
      <c r="R44" s="92">
        <f>'6 Вед15'!Q44</f>
        <v>0</v>
      </c>
      <c r="S44" s="2">
        <f t="shared" ref="S44" si="81">Q44+R44</f>
        <v>450000</v>
      </c>
    </row>
    <row r="45" spans="1:19" s="6" customFormat="1" ht="17.25" customHeight="1" x14ac:dyDescent="0.25">
      <c r="A45" s="509" t="s">
        <v>53</v>
      </c>
      <c r="B45" s="509"/>
      <c r="C45" s="225"/>
      <c r="D45" s="219">
        <v>51</v>
      </c>
      <c r="E45" s="219">
        <v>0</v>
      </c>
      <c r="F45" s="219">
        <v>851</v>
      </c>
      <c r="G45" s="1" t="s">
        <v>17</v>
      </c>
      <c r="H45" s="1" t="s">
        <v>44</v>
      </c>
      <c r="I45" s="1" t="s">
        <v>214</v>
      </c>
      <c r="J45" s="1"/>
      <c r="K45" s="2">
        <f>K46</f>
        <v>1575000</v>
      </c>
      <c r="L45" s="2">
        <f t="shared" ref="L45:O45" si="82">L46</f>
        <v>0</v>
      </c>
      <c r="M45" s="2">
        <f t="shared" si="82"/>
        <v>1575000</v>
      </c>
      <c r="N45" s="2">
        <f t="shared" si="82"/>
        <v>0</v>
      </c>
      <c r="O45" s="2">
        <f t="shared" si="82"/>
        <v>1575000</v>
      </c>
      <c r="P45" s="2">
        <f t="shared" ref="P45:R45" si="83">P46</f>
        <v>0</v>
      </c>
      <c r="Q45" s="2">
        <f t="shared" ref="Q45:S45" si="84">Q46</f>
        <v>1575000</v>
      </c>
      <c r="R45" s="2">
        <f t="shared" si="83"/>
        <v>0</v>
      </c>
      <c r="S45" s="2">
        <f t="shared" si="84"/>
        <v>1575000</v>
      </c>
    </row>
    <row r="46" spans="1:19" s="6" customFormat="1" ht="12.75" customHeight="1" x14ac:dyDescent="0.25">
      <c r="A46" s="15"/>
      <c r="B46" s="228" t="s">
        <v>27</v>
      </c>
      <c r="C46" s="224"/>
      <c r="D46" s="219">
        <v>51</v>
      </c>
      <c r="E46" s="219">
        <v>0</v>
      </c>
      <c r="F46" s="219">
        <v>851</v>
      </c>
      <c r="G46" s="1" t="s">
        <v>17</v>
      </c>
      <c r="H46" s="1" t="s">
        <v>44</v>
      </c>
      <c r="I46" s="1" t="s">
        <v>214</v>
      </c>
      <c r="J46" s="1" t="s">
        <v>28</v>
      </c>
      <c r="K46" s="2">
        <f t="shared" ref="K46:S46" si="85">K47</f>
        <v>1575000</v>
      </c>
      <c r="L46" s="2">
        <f t="shared" si="85"/>
        <v>0</v>
      </c>
      <c r="M46" s="2">
        <f t="shared" si="85"/>
        <v>1575000</v>
      </c>
      <c r="N46" s="2">
        <f t="shared" si="85"/>
        <v>0</v>
      </c>
      <c r="O46" s="2">
        <f t="shared" si="85"/>
        <v>1575000</v>
      </c>
      <c r="P46" s="2">
        <f t="shared" si="85"/>
        <v>0</v>
      </c>
      <c r="Q46" s="2">
        <f t="shared" si="85"/>
        <v>1575000</v>
      </c>
      <c r="R46" s="2">
        <f t="shared" si="85"/>
        <v>0</v>
      </c>
      <c r="S46" s="2">
        <f t="shared" si="85"/>
        <v>1575000</v>
      </c>
    </row>
    <row r="47" spans="1:19" s="6" customFormat="1" ht="25.5" customHeight="1" x14ac:dyDescent="0.25">
      <c r="A47" s="15"/>
      <c r="B47" s="228" t="s">
        <v>29</v>
      </c>
      <c r="C47" s="225"/>
      <c r="D47" s="219">
        <v>51</v>
      </c>
      <c r="E47" s="219">
        <v>0</v>
      </c>
      <c r="F47" s="219">
        <v>851</v>
      </c>
      <c r="G47" s="1" t="s">
        <v>17</v>
      </c>
      <c r="H47" s="1" t="s">
        <v>44</v>
      </c>
      <c r="I47" s="1" t="s">
        <v>214</v>
      </c>
      <c r="J47" s="1" t="s">
        <v>30</v>
      </c>
      <c r="K47" s="2">
        <f>'6 Вед15'!J47</f>
        <v>1575000</v>
      </c>
      <c r="L47" s="92">
        <f>'6 Вед15'!K47</f>
        <v>0</v>
      </c>
      <c r="M47" s="2">
        <f t="shared" si="13"/>
        <v>1575000</v>
      </c>
      <c r="N47" s="92">
        <f>'6 Вед15'!M47</f>
        <v>0</v>
      </c>
      <c r="O47" s="2">
        <f t="shared" si="5"/>
        <v>1575000</v>
      </c>
      <c r="P47" s="92">
        <f>'6 Вед15'!O47</f>
        <v>0</v>
      </c>
      <c r="Q47" s="2">
        <f t="shared" ref="Q47" si="86">O47+P47</f>
        <v>1575000</v>
      </c>
      <c r="R47" s="92">
        <f>'6 Вед15'!Q47</f>
        <v>0</v>
      </c>
      <c r="S47" s="2">
        <f t="shared" ref="S47" si="87">Q47+R47</f>
        <v>1575000</v>
      </c>
    </row>
    <row r="48" spans="1:19" s="6" customFormat="1" ht="26.25" customHeight="1" x14ac:dyDescent="0.25">
      <c r="A48" s="509" t="s">
        <v>68</v>
      </c>
      <c r="B48" s="509"/>
      <c r="C48" s="225"/>
      <c r="D48" s="219">
        <v>51</v>
      </c>
      <c r="E48" s="219">
        <v>0</v>
      </c>
      <c r="F48" s="219">
        <v>851</v>
      </c>
      <c r="G48" s="18" t="s">
        <v>6</v>
      </c>
      <c r="H48" s="18" t="s">
        <v>67</v>
      </c>
      <c r="I48" s="18" t="s">
        <v>217</v>
      </c>
      <c r="J48" s="18"/>
      <c r="K48" s="2">
        <f t="shared" ref="K48" si="88">K49+K51</f>
        <v>173500</v>
      </c>
      <c r="L48" s="2">
        <f t="shared" ref="L48:O48" si="89">L49+L51</f>
        <v>0</v>
      </c>
      <c r="M48" s="2">
        <f t="shared" si="89"/>
        <v>173500</v>
      </c>
      <c r="N48" s="2">
        <f t="shared" si="89"/>
        <v>-12145</v>
      </c>
      <c r="O48" s="2">
        <f t="shared" si="89"/>
        <v>161355</v>
      </c>
      <c r="P48" s="2">
        <f t="shared" ref="P48:Q48" si="90">P49+P51</f>
        <v>0</v>
      </c>
      <c r="Q48" s="2">
        <f t="shared" si="90"/>
        <v>161355</v>
      </c>
      <c r="R48" s="2">
        <f t="shared" ref="R48:S48" si="91">R49+R51</f>
        <v>0</v>
      </c>
      <c r="S48" s="2">
        <f t="shared" si="91"/>
        <v>161355</v>
      </c>
    </row>
    <row r="49" spans="1:19" s="6" customFormat="1" ht="38.25" customHeight="1" x14ac:dyDescent="0.25">
      <c r="A49" s="225"/>
      <c r="B49" s="224" t="s">
        <v>21</v>
      </c>
      <c r="C49" s="225"/>
      <c r="D49" s="219">
        <v>51</v>
      </c>
      <c r="E49" s="219">
        <v>0</v>
      </c>
      <c r="F49" s="219">
        <v>851</v>
      </c>
      <c r="G49" s="18" t="s">
        <v>6</v>
      </c>
      <c r="H49" s="18" t="s">
        <v>67</v>
      </c>
      <c r="I49" s="18" t="s">
        <v>217</v>
      </c>
      <c r="J49" s="1" t="s">
        <v>23</v>
      </c>
      <c r="K49" s="2">
        <f t="shared" ref="K49:S49" si="92">K50</f>
        <v>97615</v>
      </c>
      <c r="L49" s="2">
        <f t="shared" si="92"/>
        <v>0</v>
      </c>
      <c r="M49" s="2">
        <f t="shared" si="92"/>
        <v>97615</v>
      </c>
      <c r="N49" s="2">
        <f t="shared" si="92"/>
        <v>0</v>
      </c>
      <c r="O49" s="2">
        <f t="shared" si="92"/>
        <v>97615</v>
      </c>
      <c r="P49" s="2">
        <f t="shared" si="92"/>
        <v>0</v>
      </c>
      <c r="Q49" s="2">
        <f t="shared" si="92"/>
        <v>97615</v>
      </c>
      <c r="R49" s="2">
        <f t="shared" si="92"/>
        <v>0</v>
      </c>
      <c r="S49" s="2">
        <f t="shared" si="92"/>
        <v>97615</v>
      </c>
    </row>
    <row r="50" spans="1:19" s="6" customFormat="1" ht="15" customHeight="1" x14ac:dyDescent="0.25">
      <c r="A50" s="15"/>
      <c r="B50" s="224" t="s">
        <v>24</v>
      </c>
      <c r="C50" s="224"/>
      <c r="D50" s="219">
        <v>51</v>
      </c>
      <c r="E50" s="219">
        <v>0</v>
      </c>
      <c r="F50" s="219">
        <v>851</v>
      </c>
      <c r="G50" s="18" t="s">
        <v>6</v>
      </c>
      <c r="H50" s="18" t="s">
        <v>67</v>
      </c>
      <c r="I50" s="18" t="s">
        <v>217</v>
      </c>
      <c r="J50" s="1" t="s">
        <v>25</v>
      </c>
      <c r="K50" s="2">
        <f>'6 Вед15'!J105</f>
        <v>97615</v>
      </c>
      <c r="L50" s="92">
        <f>'6 Вед15'!K105</f>
        <v>0</v>
      </c>
      <c r="M50" s="2">
        <f t="shared" si="13"/>
        <v>97615</v>
      </c>
      <c r="N50" s="92">
        <f>'6 Вед15'!M105</f>
        <v>0</v>
      </c>
      <c r="O50" s="2">
        <f t="shared" si="5"/>
        <v>97615</v>
      </c>
      <c r="P50" s="92">
        <f>'6 Вед15'!O105</f>
        <v>0</v>
      </c>
      <c r="Q50" s="2">
        <f t="shared" ref="Q50" si="93">O50+P50</f>
        <v>97615</v>
      </c>
      <c r="R50" s="92">
        <f>'6 Вед15'!Q105</f>
        <v>0</v>
      </c>
      <c r="S50" s="2">
        <f t="shared" ref="S50" si="94">Q50+R50</f>
        <v>97615</v>
      </c>
    </row>
    <row r="51" spans="1:19" s="6" customFormat="1" ht="15" customHeight="1" x14ac:dyDescent="0.25">
      <c r="A51" s="15"/>
      <c r="B51" s="228" t="s">
        <v>27</v>
      </c>
      <c r="C51" s="224"/>
      <c r="D51" s="219">
        <v>51</v>
      </c>
      <c r="E51" s="219">
        <v>0</v>
      </c>
      <c r="F51" s="219">
        <v>851</v>
      </c>
      <c r="G51" s="18" t="s">
        <v>6</v>
      </c>
      <c r="H51" s="18" t="s">
        <v>67</v>
      </c>
      <c r="I51" s="18" t="s">
        <v>217</v>
      </c>
      <c r="J51" s="1" t="s">
        <v>28</v>
      </c>
      <c r="K51" s="2">
        <f>K52</f>
        <v>75885</v>
      </c>
      <c r="L51" s="2">
        <f t="shared" ref="L51:O51" si="95">L52</f>
        <v>0</v>
      </c>
      <c r="M51" s="2">
        <f t="shared" si="95"/>
        <v>75885</v>
      </c>
      <c r="N51" s="2">
        <f t="shared" si="95"/>
        <v>-12145</v>
      </c>
      <c r="O51" s="2">
        <f t="shared" si="95"/>
        <v>63740</v>
      </c>
      <c r="P51" s="2">
        <f t="shared" ref="P51:R51" si="96">P52</f>
        <v>0</v>
      </c>
      <c r="Q51" s="2">
        <f t="shared" ref="Q51:S51" si="97">Q52</f>
        <v>63740</v>
      </c>
      <c r="R51" s="2">
        <f t="shared" si="96"/>
        <v>0</v>
      </c>
      <c r="S51" s="2">
        <f t="shared" si="97"/>
        <v>63740</v>
      </c>
    </row>
    <row r="52" spans="1:19" s="6" customFormat="1" ht="24" x14ac:dyDescent="0.25">
      <c r="A52" s="15"/>
      <c r="B52" s="228" t="s">
        <v>29</v>
      </c>
      <c r="C52" s="225"/>
      <c r="D52" s="219">
        <v>51</v>
      </c>
      <c r="E52" s="219">
        <v>0</v>
      </c>
      <c r="F52" s="219">
        <v>851</v>
      </c>
      <c r="G52" s="18" t="s">
        <v>6</v>
      </c>
      <c r="H52" s="18" t="s">
        <v>67</v>
      </c>
      <c r="I52" s="18" t="s">
        <v>217</v>
      </c>
      <c r="J52" s="1" t="s">
        <v>30</v>
      </c>
      <c r="K52" s="2">
        <f>'6 Вед15'!J107</f>
        <v>75885</v>
      </c>
      <c r="L52" s="92">
        <f>'6 Вед15'!K107</f>
        <v>0</v>
      </c>
      <c r="M52" s="2">
        <f t="shared" si="13"/>
        <v>75885</v>
      </c>
      <c r="N52" s="92">
        <f>'6 Вед15'!M107</f>
        <v>-12145</v>
      </c>
      <c r="O52" s="2">
        <f t="shared" si="5"/>
        <v>63740</v>
      </c>
      <c r="P52" s="92">
        <f>'6 Вед15'!O107</f>
        <v>0</v>
      </c>
      <c r="Q52" s="2">
        <f t="shared" ref="Q52" si="98">O52+P52</f>
        <v>63740</v>
      </c>
      <c r="R52" s="92">
        <f>'6 Вед15'!Q107</f>
        <v>0</v>
      </c>
      <c r="S52" s="2">
        <f t="shared" ref="S52" si="99">Q52+R52</f>
        <v>63740</v>
      </c>
    </row>
    <row r="53" spans="1:19" s="182" customFormat="1" ht="14.25" customHeight="1" x14ac:dyDescent="0.2">
      <c r="A53" s="516" t="s">
        <v>440</v>
      </c>
      <c r="B53" s="517"/>
      <c r="C53" s="181"/>
      <c r="D53" s="219">
        <v>51</v>
      </c>
      <c r="E53" s="219">
        <v>0</v>
      </c>
      <c r="F53" s="219">
        <v>851</v>
      </c>
      <c r="G53" s="18" t="s">
        <v>17</v>
      </c>
      <c r="H53" s="18" t="s">
        <v>44</v>
      </c>
      <c r="I53" s="18" t="s">
        <v>443</v>
      </c>
      <c r="J53" s="18"/>
      <c r="K53" s="21">
        <f>K54+K56</f>
        <v>1572000</v>
      </c>
      <c r="L53" s="21">
        <f t="shared" ref="L53:O53" si="100">L54+L56</f>
        <v>763089</v>
      </c>
      <c r="M53" s="21">
        <f t="shared" si="100"/>
        <v>2335089</v>
      </c>
      <c r="N53" s="21">
        <f t="shared" si="100"/>
        <v>0</v>
      </c>
      <c r="O53" s="21">
        <f t="shared" si="100"/>
        <v>2335089</v>
      </c>
      <c r="P53" s="21">
        <f t="shared" ref="P53:R53" si="101">P54+P56</f>
        <v>0</v>
      </c>
      <c r="Q53" s="21">
        <f t="shared" ref="Q53:S53" si="102">Q54+Q56</f>
        <v>2335089</v>
      </c>
      <c r="R53" s="21">
        <f t="shared" si="101"/>
        <v>0</v>
      </c>
      <c r="S53" s="21">
        <f t="shared" si="102"/>
        <v>2335089</v>
      </c>
    </row>
    <row r="54" spans="1:19" s="6" customFormat="1" ht="16.5" customHeight="1" x14ac:dyDescent="0.25">
      <c r="A54" s="15"/>
      <c r="B54" s="228" t="s">
        <v>27</v>
      </c>
      <c r="C54" s="224"/>
      <c r="D54" s="219">
        <v>51</v>
      </c>
      <c r="E54" s="219">
        <v>0</v>
      </c>
      <c r="F54" s="219">
        <v>851</v>
      </c>
      <c r="G54" s="18" t="s">
        <v>17</v>
      </c>
      <c r="H54" s="18" t="s">
        <v>44</v>
      </c>
      <c r="I54" s="18" t="s">
        <v>443</v>
      </c>
      <c r="J54" s="1" t="s">
        <v>28</v>
      </c>
      <c r="K54" s="2">
        <f>K55</f>
        <v>172000</v>
      </c>
      <c r="L54" s="2">
        <f t="shared" ref="L54:O54" si="103">L55</f>
        <v>0</v>
      </c>
      <c r="M54" s="2">
        <f t="shared" si="103"/>
        <v>172000</v>
      </c>
      <c r="N54" s="2">
        <f t="shared" si="103"/>
        <v>0</v>
      </c>
      <c r="O54" s="2">
        <f t="shared" si="103"/>
        <v>172000</v>
      </c>
      <c r="P54" s="2">
        <f t="shared" ref="P54:R54" si="104">P55</f>
        <v>0</v>
      </c>
      <c r="Q54" s="2">
        <f t="shared" ref="Q54:S54" si="105">Q55</f>
        <v>172000</v>
      </c>
      <c r="R54" s="2">
        <f t="shared" si="104"/>
        <v>2150404</v>
      </c>
      <c r="S54" s="2">
        <f t="shared" si="105"/>
        <v>2322404</v>
      </c>
    </row>
    <row r="55" spans="1:19" s="6" customFormat="1" ht="24" x14ac:dyDescent="0.25">
      <c r="A55" s="15"/>
      <c r="B55" s="228" t="s">
        <v>29</v>
      </c>
      <c r="C55" s="225"/>
      <c r="D55" s="219">
        <v>51</v>
      </c>
      <c r="E55" s="219">
        <v>0</v>
      </c>
      <c r="F55" s="219">
        <v>851</v>
      </c>
      <c r="G55" s="18" t="s">
        <v>17</v>
      </c>
      <c r="H55" s="18" t="s">
        <v>44</v>
      </c>
      <c r="I55" s="18" t="s">
        <v>443</v>
      </c>
      <c r="J55" s="1" t="s">
        <v>30</v>
      </c>
      <c r="K55" s="2">
        <f>'6 Вед15'!J50</f>
        <v>172000</v>
      </c>
      <c r="L55" s="92">
        <f>'6 Вед15'!K50</f>
        <v>0</v>
      </c>
      <c r="M55" s="2">
        <f t="shared" si="13"/>
        <v>172000</v>
      </c>
      <c r="N55" s="92">
        <f>'6 Вед15'!M50</f>
        <v>0</v>
      </c>
      <c r="O55" s="2">
        <f t="shared" si="5"/>
        <v>172000</v>
      </c>
      <c r="P55" s="92">
        <f>'6 Вед15'!O50</f>
        <v>0</v>
      </c>
      <c r="Q55" s="2">
        <f t="shared" ref="Q55" si="106">O55+P55</f>
        <v>172000</v>
      </c>
      <c r="R55" s="92">
        <f>'6 Вед15'!Q50</f>
        <v>2150404</v>
      </c>
      <c r="S55" s="2">
        <f t="shared" ref="S55" si="107">Q55+R55</f>
        <v>2322404</v>
      </c>
    </row>
    <row r="56" spans="1:19" s="182" customFormat="1" ht="14.25" customHeight="1" x14ac:dyDescent="0.2">
      <c r="A56" s="183"/>
      <c r="B56" s="225" t="s">
        <v>467</v>
      </c>
      <c r="C56" s="181"/>
      <c r="D56" s="219">
        <v>51</v>
      </c>
      <c r="E56" s="219">
        <v>0</v>
      </c>
      <c r="F56" s="219">
        <v>851</v>
      </c>
      <c r="G56" s="18" t="s">
        <v>17</v>
      </c>
      <c r="H56" s="18" t="s">
        <v>44</v>
      </c>
      <c r="I56" s="18" t="s">
        <v>443</v>
      </c>
      <c r="J56" s="18" t="s">
        <v>75</v>
      </c>
      <c r="K56" s="21">
        <f t="shared" ref="K56:S56" si="108">K57</f>
        <v>1400000</v>
      </c>
      <c r="L56" s="21">
        <f t="shared" si="108"/>
        <v>763089</v>
      </c>
      <c r="M56" s="21">
        <f t="shared" si="108"/>
        <v>2163089</v>
      </c>
      <c r="N56" s="21">
        <f t="shared" si="108"/>
        <v>0</v>
      </c>
      <c r="O56" s="21">
        <f t="shared" si="108"/>
        <v>2163089</v>
      </c>
      <c r="P56" s="21">
        <f t="shared" si="108"/>
        <v>0</v>
      </c>
      <c r="Q56" s="21">
        <f t="shared" si="108"/>
        <v>2163089</v>
      </c>
      <c r="R56" s="21">
        <f t="shared" si="108"/>
        <v>-2150404</v>
      </c>
      <c r="S56" s="21">
        <f t="shared" si="108"/>
        <v>12685</v>
      </c>
    </row>
    <row r="57" spans="1:19" s="182" customFormat="1" ht="24" x14ac:dyDescent="0.2">
      <c r="A57" s="183"/>
      <c r="B57" s="225" t="s">
        <v>76</v>
      </c>
      <c r="C57" s="181"/>
      <c r="D57" s="219">
        <v>51</v>
      </c>
      <c r="E57" s="219">
        <v>0</v>
      </c>
      <c r="F57" s="219">
        <v>851</v>
      </c>
      <c r="G57" s="18" t="s">
        <v>17</v>
      </c>
      <c r="H57" s="18" t="s">
        <v>44</v>
      </c>
      <c r="I57" s="18" t="s">
        <v>443</v>
      </c>
      <c r="J57" s="18" t="s">
        <v>77</v>
      </c>
      <c r="K57" s="21">
        <f>'6 Вед15'!J52</f>
        <v>1400000</v>
      </c>
      <c r="L57" s="211">
        <f>'6 Вед15'!K52</f>
        <v>763089</v>
      </c>
      <c r="M57" s="2">
        <f t="shared" si="13"/>
        <v>2163089</v>
      </c>
      <c r="N57" s="211">
        <f>'6 Вед15'!M52</f>
        <v>0</v>
      </c>
      <c r="O57" s="2">
        <f t="shared" si="5"/>
        <v>2163089</v>
      </c>
      <c r="P57" s="211">
        <f>'6 Вед15'!O52</f>
        <v>0</v>
      </c>
      <c r="Q57" s="2">
        <f t="shared" ref="Q57" si="109">O57+P57</f>
        <v>2163089</v>
      </c>
      <c r="R57" s="211">
        <f>'6 Вед15'!Q52</f>
        <v>-2150404</v>
      </c>
      <c r="S57" s="2">
        <f t="shared" ref="S57" si="110">Q57+R57</f>
        <v>12685</v>
      </c>
    </row>
    <row r="58" spans="1:19" s="6" customFormat="1" ht="24" customHeight="1" x14ac:dyDescent="0.25">
      <c r="A58" s="509" t="s">
        <v>47</v>
      </c>
      <c r="B58" s="509"/>
      <c r="C58" s="225"/>
      <c r="D58" s="219">
        <v>51</v>
      </c>
      <c r="E58" s="219">
        <v>0</v>
      </c>
      <c r="F58" s="219">
        <v>851</v>
      </c>
      <c r="G58" s="1" t="s">
        <v>17</v>
      </c>
      <c r="H58" s="1" t="s">
        <v>44</v>
      </c>
      <c r="I58" s="1" t="s">
        <v>211</v>
      </c>
      <c r="J58" s="1"/>
      <c r="K58" s="2">
        <f t="shared" ref="K58:S59" si="111">K59</f>
        <v>2000000</v>
      </c>
      <c r="L58" s="2">
        <f t="shared" si="111"/>
        <v>39999</v>
      </c>
      <c r="M58" s="2">
        <f t="shared" si="111"/>
        <v>2039999</v>
      </c>
      <c r="N58" s="2">
        <f t="shared" si="111"/>
        <v>0</v>
      </c>
      <c r="O58" s="2">
        <f t="shared" si="111"/>
        <v>2039999</v>
      </c>
      <c r="P58" s="2">
        <f t="shared" si="111"/>
        <v>0</v>
      </c>
      <c r="Q58" s="2">
        <f t="shared" si="111"/>
        <v>2039999</v>
      </c>
      <c r="R58" s="2">
        <f t="shared" si="111"/>
        <v>243839</v>
      </c>
      <c r="S58" s="2">
        <f t="shared" si="111"/>
        <v>2283838</v>
      </c>
    </row>
    <row r="59" spans="1:19" s="6" customFormat="1" ht="14.25" customHeight="1" x14ac:dyDescent="0.25">
      <c r="A59" s="15"/>
      <c r="B59" s="228" t="s">
        <v>27</v>
      </c>
      <c r="C59" s="224"/>
      <c r="D59" s="219">
        <v>51</v>
      </c>
      <c r="E59" s="219">
        <v>0</v>
      </c>
      <c r="F59" s="219">
        <v>851</v>
      </c>
      <c r="G59" s="1" t="s">
        <v>17</v>
      </c>
      <c r="H59" s="18" t="s">
        <v>44</v>
      </c>
      <c r="I59" s="18" t="s">
        <v>211</v>
      </c>
      <c r="J59" s="1" t="s">
        <v>28</v>
      </c>
      <c r="K59" s="2">
        <f t="shared" si="111"/>
        <v>2000000</v>
      </c>
      <c r="L59" s="2">
        <f t="shared" si="111"/>
        <v>39999</v>
      </c>
      <c r="M59" s="2">
        <f t="shared" si="111"/>
        <v>2039999</v>
      </c>
      <c r="N59" s="2">
        <f t="shared" si="111"/>
        <v>0</v>
      </c>
      <c r="O59" s="2">
        <f t="shared" si="111"/>
        <v>2039999</v>
      </c>
      <c r="P59" s="2">
        <f t="shared" si="111"/>
        <v>0</v>
      </c>
      <c r="Q59" s="2">
        <f t="shared" si="111"/>
        <v>2039999</v>
      </c>
      <c r="R59" s="2">
        <f t="shared" si="111"/>
        <v>243839</v>
      </c>
      <c r="S59" s="2">
        <f t="shared" si="111"/>
        <v>2283838</v>
      </c>
    </row>
    <row r="60" spans="1:19" s="6" customFormat="1" ht="25.5" customHeight="1" x14ac:dyDescent="0.25">
      <c r="A60" s="15"/>
      <c r="B60" s="228" t="s">
        <v>29</v>
      </c>
      <c r="C60" s="225"/>
      <c r="D60" s="219">
        <v>51</v>
      </c>
      <c r="E60" s="219">
        <v>0</v>
      </c>
      <c r="F60" s="219">
        <v>851</v>
      </c>
      <c r="G60" s="1" t="s">
        <v>17</v>
      </c>
      <c r="H60" s="18" t="s">
        <v>44</v>
      </c>
      <c r="I60" s="18" t="s">
        <v>211</v>
      </c>
      <c r="J60" s="1" t="s">
        <v>30</v>
      </c>
      <c r="K60" s="2">
        <f>'6 Вед15'!J55</f>
        <v>2000000</v>
      </c>
      <c r="L60" s="92">
        <f>'6 Вед15'!K55</f>
        <v>39999</v>
      </c>
      <c r="M60" s="2">
        <f t="shared" si="13"/>
        <v>2039999</v>
      </c>
      <c r="N60" s="92">
        <f>'6 Вед15'!M55</f>
        <v>0</v>
      </c>
      <c r="O60" s="2">
        <f t="shared" si="5"/>
        <v>2039999</v>
      </c>
      <c r="P60" s="92">
        <f>'6 Вед15'!O55</f>
        <v>0</v>
      </c>
      <c r="Q60" s="2">
        <f t="shared" ref="Q60" si="112">O60+P60</f>
        <v>2039999</v>
      </c>
      <c r="R60" s="92">
        <f>'6 Вед15'!Q55</f>
        <v>243839</v>
      </c>
      <c r="S60" s="2">
        <f t="shared" ref="S60" si="113">Q60+R60</f>
        <v>2283838</v>
      </c>
    </row>
    <row r="61" spans="1:19" s="6" customFormat="1" ht="14.25" customHeight="1" x14ac:dyDescent="0.25">
      <c r="A61" s="509" t="s">
        <v>49</v>
      </c>
      <c r="B61" s="509"/>
      <c r="C61" s="225"/>
      <c r="D61" s="219">
        <v>51</v>
      </c>
      <c r="E61" s="219">
        <v>0</v>
      </c>
      <c r="F61" s="219">
        <v>851</v>
      </c>
      <c r="G61" s="1" t="s">
        <v>17</v>
      </c>
      <c r="H61" s="18" t="s">
        <v>44</v>
      </c>
      <c r="I61" s="18" t="s">
        <v>212</v>
      </c>
      <c r="J61" s="1"/>
      <c r="K61" s="2">
        <f t="shared" ref="K61:S62" si="114">K62</f>
        <v>300000</v>
      </c>
      <c r="L61" s="2">
        <f t="shared" si="114"/>
        <v>0</v>
      </c>
      <c r="M61" s="2">
        <f t="shared" si="114"/>
        <v>300000</v>
      </c>
      <c r="N61" s="2">
        <f t="shared" si="114"/>
        <v>0</v>
      </c>
      <c r="O61" s="2">
        <f t="shared" si="114"/>
        <v>300000</v>
      </c>
      <c r="P61" s="2">
        <f t="shared" si="114"/>
        <v>0</v>
      </c>
      <c r="Q61" s="2">
        <f t="shared" si="114"/>
        <v>300000</v>
      </c>
      <c r="R61" s="2">
        <f t="shared" si="114"/>
        <v>-258323</v>
      </c>
      <c r="S61" s="2">
        <f t="shared" si="114"/>
        <v>41677</v>
      </c>
    </row>
    <row r="62" spans="1:19" s="6" customFormat="1" ht="18" customHeight="1" x14ac:dyDescent="0.25">
      <c r="A62" s="15"/>
      <c r="B62" s="228" t="s">
        <v>27</v>
      </c>
      <c r="C62" s="224"/>
      <c r="D62" s="219">
        <v>51</v>
      </c>
      <c r="E62" s="219">
        <v>0</v>
      </c>
      <c r="F62" s="219">
        <v>851</v>
      </c>
      <c r="G62" s="1" t="s">
        <v>17</v>
      </c>
      <c r="H62" s="18" t="s">
        <v>44</v>
      </c>
      <c r="I62" s="18" t="s">
        <v>212</v>
      </c>
      <c r="J62" s="1" t="s">
        <v>28</v>
      </c>
      <c r="K62" s="2">
        <f t="shared" si="114"/>
        <v>300000</v>
      </c>
      <c r="L62" s="2">
        <f t="shared" si="114"/>
        <v>0</v>
      </c>
      <c r="M62" s="2">
        <f t="shared" si="114"/>
        <v>300000</v>
      </c>
      <c r="N62" s="2">
        <f t="shared" si="114"/>
        <v>0</v>
      </c>
      <c r="O62" s="2">
        <f t="shared" si="114"/>
        <v>300000</v>
      </c>
      <c r="P62" s="2">
        <f t="shared" si="114"/>
        <v>0</v>
      </c>
      <c r="Q62" s="2">
        <f t="shared" si="114"/>
        <v>300000</v>
      </c>
      <c r="R62" s="2">
        <f t="shared" si="114"/>
        <v>-258323</v>
      </c>
      <c r="S62" s="2">
        <f t="shared" si="114"/>
        <v>41677</v>
      </c>
    </row>
    <row r="63" spans="1:19" s="6" customFormat="1" ht="24" x14ac:dyDescent="0.25">
      <c r="A63" s="15"/>
      <c r="B63" s="228" t="s">
        <v>29</v>
      </c>
      <c r="C63" s="225"/>
      <c r="D63" s="219">
        <v>51</v>
      </c>
      <c r="E63" s="219">
        <v>0</v>
      </c>
      <c r="F63" s="219">
        <v>851</v>
      </c>
      <c r="G63" s="1" t="s">
        <v>17</v>
      </c>
      <c r="H63" s="18" t="s">
        <v>44</v>
      </c>
      <c r="I63" s="18" t="s">
        <v>212</v>
      </c>
      <c r="J63" s="1" t="s">
        <v>30</v>
      </c>
      <c r="K63" s="2">
        <f>'6 Вед15'!J58</f>
        <v>300000</v>
      </c>
      <c r="L63" s="92">
        <f>'6 Вед15'!K58</f>
        <v>0</v>
      </c>
      <c r="M63" s="2">
        <f t="shared" si="13"/>
        <v>300000</v>
      </c>
      <c r="N63" s="92">
        <f>'6 Вед15'!M58</f>
        <v>0</v>
      </c>
      <c r="O63" s="2">
        <f t="shared" si="5"/>
        <v>300000</v>
      </c>
      <c r="P63" s="92">
        <f>'6 Вед15'!O58</f>
        <v>0</v>
      </c>
      <c r="Q63" s="2">
        <f t="shared" ref="Q63" si="115">O63+P63</f>
        <v>300000</v>
      </c>
      <c r="R63" s="92">
        <f>'6 Вед15'!Q58</f>
        <v>-258323</v>
      </c>
      <c r="S63" s="2">
        <f t="shared" ref="S63" si="116">Q63+R63</f>
        <v>41677</v>
      </c>
    </row>
    <row r="64" spans="1:19" s="6" customFormat="1" ht="12" customHeight="1" x14ac:dyDescent="0.25">
      <c r="A64" s="509" t="s">
        <v>117</v>
      </c>
      <c r="B64" s="509"/>
      <c r="C64" s="225"/>
      <c r="D64" s="219">
        <v>51</v>
      </c>
      <c r="E64" s="219">
        <v>0</v>
      </c>
      <c r="F64" s="219">
        <v>851</v>
      </c>
      <c r="G64" s="1" t="s">
        <v>36</v>
      </c>
      <c r="H64" s="18" t="s">
        <v>72</v>
      </c>
      <c r="I64" s="18" t="s">
        <v>219</v>
      </c>
      <c r="J64" s="1"/>
      <c r="K64" s="2">
        <f>K65+K67</f>
        <v>8214000</v>
      </c>
      <c r="L64" s="2">
        <f t="shared" ref="L64:O64" si="117">L65+L67</f>
        <v>0</v>
      </c>
      <c r="M64" s="2">
        <f t="shared" si="117"/>
        <v>8214000</v>
      </c>
      <c r="N64" s="2">
        <f t="shared" si="117"/>
        <v>-940718</v>
      </c>
      <c r="O64" s="2">
        <f t="shared" si="117"/>
        <v>7273282</v>
      </c>
      <c r="P64" s="2">
        <f t="shared" ref="P64:R64" si="118">P65+P67</f>
        <v>0</v>
      </c>
      <c r="Q64" s="2">
        <f t="shared" ref="Q64:S64" si="119">Q65+Q67</f>
        <v>7273282</v>
      </c>
      <c r="R64" s="2">
        <f t="shared" si="118"/>
        <v>0</v>
      </c>
      <c r="S64" s="2">
        <f t="shared" si="119"/>
        <v>7273282</v>
      </c>
    </row>
    <row r="65" spans="1:19" s="6" customFormat="1" ht="15.75" hidden="1" customHeight="1" x14ac:dyDescent="0.25">
      <c r="A65" s="225"/>
      <c r="B65" s="225" t="s">
        <v>27</v>
      </c>
      <c r="C65" s="225"/>
      <c r="D65" s="219">
        <v>51</v>
      </c>
      <c r="E65" s="219">
        <v>0</v>
      </c>
      <c r="F65" s="219">
        <v>851</v>
      </c>
      <c r="G65" s="1" t="s">
        <v>36</v>
      </c>
      <c r="H65" s="18" t="s">
        <v>72</v>
      </c>
      <c r="I65" s="18" t="s">
        <v>219</v>
      </c>
      <c r="J65" s="1" t="s">
        <v>28</v>
      </c>
      <c r="K65" s="2">
        <f t="shared" ref="K65:S65" si="120">K66</f>
        <v>0</v>
      </c>
      <c r="L65" s="2">
        <f t="shared" si="120"/>
        <v>0</v>
      </c>
      <c r="M65" s="2">
        <f t="shared" si="120"/>
        <v>0</v>
      </c>
      <c r="N65" s="2">
        <f t="shared" si="120"/>
        <v>0</v>
      </c>
      <c r="O65" s="2">
        <f t="shared" si="120"/>
        <v>0</v>
      </c>
      <c r="P65" s="2">
        <f t="shared" si="120"/>
        <v>0</v>
      </c>
      <c r="Q65" s="2">
        <f t="shared" si="120"/>
        <v>0</v>
      </c>
      <c r="R65" s="2">
        <f t="shared" si="120"/>
        <v>0</v>
      </c>
      <c r="S65" s="2">
        <f t="shared" si="120"/>
        <v>0</v>
      </c>
    </row>
    <row r="66" spans="1:19" s="6" customFormat="1" ht="24" hidden="1" x14ac:dyDescent="0.25">
      <c r="A66" s="225"/>
      <c r="B66" s="225" t="s">
        <v>29</v>
      </c>
      <c r="C66" s="225"/>
      <c r="D66" s="219">
        <v>51</v>
      </c>
      <c r="E66" s="219">
        <v>0</v>
      </c>
      <c r="F66" s="219">
        <v>851</v>
      </c>
      <c r="G66" s="1" t="s">
        <v>36</v>
      </c>
      <c r="H66" s="18" t="s">
        <v>72</v>
      </c>
      <c r="I66" s="18" t="s">
        <v>219</v>
      </c>
      <c r="J66" s="1" t="s">
        <v>30</v>
      </c>
      <c r="K66" s="2">
        <f>'6 Вед15'!J142</f>
        <v>0</v>
      </c>
      <c r="L66" s="2">
        <f>'6 Вед15'!K142</f>
        <v>0</v>
      </c>
      <c r="M66" s="2">
        <f>'6 Вед15'!L142</f>
        <v>0</v>
      </c>
      <c r="N66" s="2">
        <f>'6 Вед15'!M142</f>
        <v>0</v>
      </c>
      <c r="O66" s="2">
        <f>'6 Вед15'!N142</f>
        <v>0</v>
      </c>
      <c r="P66" s="2">
        <f>'6 Вед15'!O142</f>
        <v>0</v>
      </c>
      <c r="Q66" s="2">
        <f>'6 Вед15'!P142</f>
        <v>0</v>
      </c>
      <c r="R66" s="2">
        <f>'6 Вед15'!Q142</f>
        <v>0</v>
      </c>
      <c r="S66" s="2">
        <f>'6 Вед15'!U142</f>
        <v>0</v>
      </c>
    </row>
    <row r="67" spans="1:19" s="6" customFormat="1" ht="26.25" customHeight="1" x14ac:dyDescent="0.25">
      <c r="A67" s="225"/>
      <c r="B67" s="225" t="s">
        <v>467</v>
      </c>
      <c r="C67" s="225"/>
      <c r="D67" s="219">
        <v>51</v>
      </c>
      <c r="E67" s="219">
        <v>0</v>
      </c>
      <c r="F67" s="219">
        <v>851</v>
      </c>
      <c r="G67" s="1" t="s">
        <v>36</v>
      </c>
      <c r="H67" s="18" t="s">
        <v>72</v>
      </c>
      <c r="I67" s="18" t="s">
        <v>219</v>
      </c>
      <c r="J67" s="1" t="s">
        <v>75</v>
      </c>
      <c r="K67" s="2">
        <f>K68</f>
        <v>8214000</v>
      </c>
      <c r="L67" s="2">
        <f t="shared" ref="L67:O67" si="121">L68</f>
        <v>0</v>
      </c>
      <c r="M67" s="2">
        <f t="shared" si="121"/>
        <v>8214000</v>
      </c>
      <c r="N67" s="2">
        <f t="shared" si="121"/>
        <v>-940718</v>
      </c>
      <c r="O67" s="2">
        <f t="shared" si="121"/>
        <v>7273282</v>
      </c>
      <c r="P67" s="2">
        <f t="shared" ref="P67:R67" si="122">P68</f>
        <v>0</v>
      </c>
      <c r="Q67" s="2">
        <f t="shared" ref="Q67:S67" si="123">Q68</f>
        <v>7273282</v>
      </c>
      <c r="R67" s="2">
        <f t="shared" si="122"/>
        <v>0</v>
      </c>
      <c r="S67" s="2">
        <f t="shared" si="123"/>
        <v>7273282</v>
      </c>
    </row>
    <row r="68" spans="1:19" s="6" customFormat="1" ht="24" x14ac:dyDescent="0.25">
      <c r="A68" s="225"/>
      <c r="B68" s="228" t="s">
        <v>76</v>
      </c>
      <c r="C68" s="225"/>
      <c r="D68" s="219">
        <v>51</v>
      </c>
      <c r="E68" s="219">
        <v>0</v>
      </c>
      <c r="F68" s="219">
        <v>851</v>
      </c>
      <c r="G68" s="1" t="s">
        <v>36</v>
      </c>
      <c r="H68" s="18" t="s">
        <v>72</v>
      </c>
      <c r="I68" s="18" t="s">
        <v>219</v>
      </c>
      <c r="J68" s="1" t="s">
        <v>77</v>
      </c>
      <c r="K68" s="2">
        <f>'6 Вед15'!J144</f>
        <v>8214000</v>
      </c>
      <c r="L68" s="92">
        <f>'6 Вед15'!K144</f>
        <v>0</v>
      </c>
      <c r="M68" s="2">
        <f t="shared" si="13"/>
        <v>8214000</v>
      </c>
      <c r="N68" s="92">
        <f>'6 Вед15'!M144</f>
        <v>-940718</v>
      </c>
      <c r="O68" s="2">
        <f t="shared" si="5"/>
        <v>7273282</v>
      </c>
      <c r="P68" s="92">
        <f>'6 Вед15'!O144</f>
        <v>0</v>
      </c>
      <c r="Q68" s="2">
        <f t="shared" ref="Q68" si="124">O68+P68</f>
        <v>7273282</v>
      </c>
      <c r="R68" s="92">
        <f>'6 Вед15'!Q144</f>
        <v>0</v>
      </c>
      <c r="S68" s="2">
        <f t="shared" ref="S68" si="125">Q68+R68</f>
        <v>7273282</v>
      </c>
    </row>
    <row r="69" spans="1:19" s="6" customFormat="1" ht="14.25" customHeight="1" x14ac:dyDescent="0.25">
      <c r="A69" s="509" t="s">
        <v>73</v>
      </c>
      <c r="B69" s="509"/>
      <c r="C69" s="225"/>
      <c r="D69" s="219">
        <v>51</v>
      </c>
      <c r="E69" s="219">
        <v>0</v>
      </c>
      <c r="F69" s="219">
        <v>851</v>
      </c>
      <c r="G69" s="18" t="s">
        <v>63</v>
      </c>
      <c r="H69" s="18" t="s">
        <v>72</v>
      </c>
      <c r="I69" s="18" t="s">
        <v>218</v>
      </c>
      <c r="J69" s="1"/>
      <c r="K69" s="2">
        <f t="shared" ref="K69" si="126">K71</f>
        <v>700000</v>
      </c>
      <c r="L69" s="2">
        <f t="shared" ref="L69:O69" si="127">L71</f>
        <v>10570</v>
      </c>
      <c r="M69" s="2">
        <f t="shared" si="127"/>
        <v>710570</v>
      </c>
      <c r="N69" s="2">
        <f t="shared" si="127"/>
        <v>0</v>
      </c>
      <c r="O69" s="2">
        <f t="shared" si="127"/>
        <v>710570</v>
      </c>
      <c r="P69" s="2">
        <f t="shared" ref="P69:Q69" si="128">P71</f>
        <v>0</v>
      </c>
      <c r="Q69" s="2">
        <f t="shared" si="128"/>
        <v>710570</v>
      </c>
      <c r="R69" s="2">
        <f t="shared" ref="R69:S69" si="129">R71</f>
        <v>0</v>
      </c>
      <c r="S69" s="2">
        <f t="shared" si="129"/>
        <v>710570</v>
      </c>
    </row>
    <row r="70" spans="1:19" s="6" customFormat="1" ht="13.5" customHeight="1" x14ac:dyDescent="0.25">
      <c r="A70" s="225"/>
      <c r="B70" s="225" t="s">
        <v>467</v>
      </c>
      <c r="C70" s="225"/>
      <c r="D70" s="219">
        <v>51</v>
      </c>
      <c r="E70" s="219">
        <v>0</v>
      </c>
      <c r="F70" s="219">
        <v>851</v>
      </c>
      <c r="G70" s="18" t="s">
        <v>63</v>
      </c>
      <c r="H70" s="18" t="s">
        <v>72</v>
      </c>
      <c r="I70" s="18" t="s">
        <v>218</v>
      </c>
      <c r="J70" s="1" t="s">
        <v>75</v>
      </c>
      <c r="K70" s="2">
        <f t="shared" ref="K70:S70" si="130">K71</f>
        <v>700000</v>
      </c>
      <c r="L70" s="2">
        <f t="shared" si="130"/>
        <v>10570</v>
      </c>
      <c r="M70" s="2">
        <f t="shared" si="130"/>
        <v>710570</v>
      </c>
      <c r="N70" s="2">
        <f t="shared" si="130"/>
        <v>0</v>
      </c>
      <c r="O70" s="2">
        <f t="shared" si="130"/>
        <v>710570</v>
      </c>
      <c r="P70" s="2">
        <f t="shared" si="130"/>
        <v>0</v>
      </c>
      <c r="Q70" s="2">
        <f t="shared" si="130"/>
        <v>710570</v>
      </c>
      <c r="R70" s="2">
        <f t="shared" si="130"/>
        <v>0</v>
      </c>
      <c r="S70" s="2">
        <f t="shared" si="130"/>
        <v>710570</v>
      </c>
    </row>
    <row r="71" spans="1:19" s="6" customFormat="1" ht="24" x14ac:dyDescent="0.25">
      <c r="A71" s="15"/>
      <c r="B71" s="228" t="s">
        <v>76</v>
      </c>
      <c r="C71" s="225"/>
      <c r="D71" s="219">
        <v>51</v>
      </c>
      <c r="E71" s="219">
        <v>0</v>
      </c>
      <c r="F71" s="219">
        <v>851</v>
      </c>
      <c r="G71" s="18" t="s">
        <v>63</v>
      </c>
      <c r="H71" s="18" t="s">
        <v>72</v>
      </c>
      <c r="I71" s="18" t="s">
        <v>218</v>
      </c>
      <c r="J71" s="1" t="s">
        <v>77</v>
      </c>
      <c r="K71" s="2">
        <f>'6 Вед15'!J122</f>
        <v>700000</v>
      </c>
      <c r="L71" s="92">
        <f>'6 Вед15'!K122</f>
        <v>10570</v>
      </c>
      <c r="M71" s="2">
        <f t="shared" si="13"/>
        <v>710570</v>
      </c>
      <c r="N71" s="92">
        <f>'6 Вед15'!M122</f>
        <v>0</v>
      </c>
      <c r="O71" s="2">
        <f t="shared" si="5"/>
        <v>710570</v>
      </c>
      <c r="P71" s="92">
        <f>'6 Вед15'!O122</f>
        <v>0</v>
      </c>
      <c r="Q71" s="2">
        <f t="shared" ref="Q71" si="131">O71+P71</f>
        <v>710570</v>
      </c>
      <c r="R71" s="92">
        <f>'6 Вед15'!Q122</f>
        <v>0</v>
      </c>
      <c r="S71" s="2">
        <f t="shared" ref="S71" si="132">Q71+R71</f>
        <v>710570</v>
      </c>
    </row>
    <row r="72" spans="1:19" s="6" customFormat="1" x14ac:dyDescent="0.25">
      <c r="A72" s="509" t="s">
        <v>582</v>
      </c>
      <c r="B72" s="509"/>
      <c r="C72" s="304"/>
      <c r="D72" s="219">
        <v>51</v>
      </c>
      <c r="E72" s="219">
        <v>0</v>
      </c>
      <c r="F72" s="219">
        <v>851</v>
      </c>
      <c r="G72" s="18"/>
      <c r="H72" s="18"/>
      <c r="I72" s="18" t="s">
        <v>584</v>
      </c>
      <c r="J72" s="1"/>
      <c r="K72" s="2">
        <f t="shared" ref="K72" si="133">K74</f>
        <v>0</v>
      </c>
      <c r="L72" s="2">
        <f t="shared" ref="L72:O72" si="134">L74</f>
        <v>15000</v>
      </c>
      <c r="M72" s="2">
        <f t="shared" si="134"/>
        <v>15000</v>
      </c>
      <c r="N72" s="2">
        <f t="shared" si="134"/>
        <v>0</v>
      </c>
      <c r="O72" s="2">
        <f t="shared" si="134"/>
        <v>15000</v>
      </c>
      <c r="P72" s="2">
        <f t="shared" ref="P72:Q72" si="135">P74</f>
        <v>0</v>
      </c>
      <c r="Q72" s="2">
        <f t="shared" si="135"/>
        <v>15000</v>
      </c>
      <c r="R72" s="2">
        <f t="shared" ref="R72:S72" si="136">R74</f>
        <v>0</v>
      </c>
      <c r="S72" s="2">
        <f t="shared" si="136"/>
        <v>15000</v>
      </c>
    </row>
    <row r="73" spans="1:19" s="6" customFormat="1" ht="24" x14ac:dyDescent="0.25">
      <c r="A73" s="304"/>
      <c r="B73" s="304" t="s">
        <v>467</v>
      </c>
      <c r="C73" s="304"/>
      <c r="D73" s="219">
        <v>51</v>
      </c>
      <c r="E73" s="219">
        <v>0</v>
      </c>
      <c r="F73" s="219">
        <v>851</v>
      </c>
      <c r="G73" s="18" t="s">
        <v>63</v>
      </c>
      <c r="H73" s="18" t="s">
        <v>72</v>
      </c>
      <c r="I73" s="18" t="s">
        <v>584</v>
      </c>
      <c r="J73" s="1" t="s">
        <v>75</v>
      </c>
      <c r="K73" s="2">
        <f t="shared" ref="K73:S73" si="137">K74</f>
        <v>0</v>
      </c>
      <c r="L73" s="2">
        <f t="shared" si="137"/>
        <v>15000</v>
      </c>
      <c r="M73" s="2">
        <f t="shared" si="137"/>
        <v>15000</v>
      </c>
      <c r="N73" s="2">
        <f t="shared" si="137"/>
        <v>0</v>
      </c>
      <c r="O73" s="2">
        <f t="shared" si="137"/>
        <v>15000</v>
      </c>
      <c r="P73" s="2">
        <f t="shared" si="137"/>
        <v>0</v>
      </c>
      <c r="Q73" s="2">
        <f t="shared" si="137"/>
        <v>15000</v>
      </c>
      <c r="R73" s="2">
        <f t="shared" si="137"/>
        <v>0</v>
      </c>
      <c r="S73" s="2">
        <f t="shared" si="137"/>
        <v>15000</v>
      </c>
    </row>
    <row r="74" spans="1:19" s="6" customFormat="1" ht="24" x14ac:dyDescent="0.25">
      <c r="A74" s="15"/>
      <c r="B74" s="304" t="s">
        <v>76</v>
      </c>
      <c r="C74" s="304"/>
      <c r="D74" s="219">
        <v>51</v>
      </c>
      <c r="E74" s="219">
        <v>0</v>
      </c>
      <c r="F74" s="219">
        <v>851</v>
      </c>
      <c r="G74" s="18" t="s">
        <v>63</v>
      </c>
      <c r="H74" s="18" t="s">
        <v>72</v>
      </c>
      <c r="I74" s="18" t="s">
        <v>584</v>
      </c>
      <c r="J74" s="1" t="s">
        <v>77</v>
      </c>
      <c r="K74" s="2">
        <v>0</v>
      </c>
      <c r="L74" s="2">
        <f>'6 Вед15'!K125</f>
        <v>15000</v>
      </c>
      <c r="M74" s="2">
        <f t="shared" si="13"/>
        <v>15000</v>
      </c>
      <c r="N74" s="2">
        <f>'6 Вед15'!M125</f>
        <v>0</v>
      </c>
      <c r="O74" s="2">
        <f t="shared" ref="O74:O151" si="138">M74+N74</f>
        <v>15000</v>
      </c>
      <c r="P74" s="2">
        <f>'6 Вед15'!O125</f>
        <v>0</v>
      </c>
      <c r="Q74" s="2">
        <f t="shared" ref="Q74" si="139">O74+P74</f>
        <v>15000</v>
      </c>
      <c r="R74" s="2">
        <f>'6 Вед15'!Q125</f>
        <v>0</v>
      </c>
      <c r="S74" s="2">
        <f t="shared" ref="S74" si="140">Q74+R74</f>
        <v>15000</v>
      </c>
    </row>
    <row r="75" spans="1:19" s="6" customFormat="1" x14ac:dyDescent="0.25">
      <c r="A75" s="525" t="s">
        <v>589</v>
      </c>
      <c r="B75" s="526"/>
      <c r="C75" s="314"/>
      <c r="D75" s="219">
        <v>51</v>
      </c>
      <c r="E75" s="219">
        <v>0</v>
      </c>
      <c r="F75" s="219">
        <v>851</v>
      </c>
      <c r="G75" s="18"/>
      <c r="H75" s="18"/>
      <c r="I75" s="18" t="s">
        <v>601</v>
      </c>
      <c r="J75" s="1"/>
      <c r="K75" s="2">
        <f>K76</f>
        <v>0</v>
      </c>
      <c r="L75" s="2">
        <f t="shared" ref="L75:O76" si="141">L76</f>
        <v>632468</v>
      </c>
      <c r="M75" s="2">
        <f t="shared" si="141"/>
        <v>632468</v>
      </c>
      <c r="N75" s="2">
        <f t="shared" si="141"/>
        <v>0</v>
      </c>
      <c r="O75" s="2">
        <f t="shared" si="141"/>
        <v>632468</v>
      </c>
      <c r="P75" s="2">
        <f t="shared" ref="P75:R82" si="142">P76</f>
        <v>0</v>
      </c>
      <c r="Q75" s="2">
        <f t="shared" ref="Q75:S82" si="143">Q76</f>
        <v>632468</v>
      </c>
      <c r="R75" s="2">
        <f t="shared" si="142"/>
        <v>-632468</v>
      </c>
      <c r="S75" s="2">
        <f t="shared" si="143"/>
        <v>0</v>
      </c>
    </row>
    <row r="76" spans="1:19" s="6" customFormat="1" ht="24" x14ac:dyDescent="0.25">
      <c r="A76" s="314"/>
      <c r="B76" s="319" t="s">
        <v>27</v>
      </c>
      <c r="C76" s="314"/>
      <c r="D76" s="219">
        <v>51</v>
      </c>
      <c r="E76" s="219">
        <v>0</v>
      </c>
      <c r="F76" s="219">
        <v>851</v>
      </c>
      <c r="G76" s="18"/>
      <c r="H76" s="18"/>
      <c r="I76" s="18" t="s">
        <v>601</v>
      </c>
      <c r="J76" s="1" t="s">
        <v>28</v>
      </c>
      <c r="K76" s="2">
        <f>K77</f>
        <v>0</v>
      </c>
      <c r="L76" s="2">
        <f t="shared" si="141"/>
        <v>632468</v>
      </c>
      <c r="M76" s="2">
        <f t="shared" si="141"/>
        <v>632468</v>
      </c>
      <c r="N76" s="2">
        <f t="shared" si="141"/>
        <v>0</v>
      </c>
      <c r="O76" s="2">
        <f t="shared" si="141"/>
        <v>632468</v>
      </c>
      <c r="P76" s="2">
        <f t="shared" si="142"/>
        <v>0</v>
      </c>
      <c r="Q76" s="2">
        <f t="shared" si="143"/>
        <v>632468</v>
      </c>
      <c r="R76" s="2">
        <f t="shared" si="142"/>
        <v>-632468</v>
      </c>
      <c r="S76" s="2">
        <f t="shared" si="143"/>
        <v>0</v>
      </c>
    </row>
    <row r="77" spans="1:19" s="6" customFormat="1" ht="24" x14ac:dyDescent="0.25">
      <c r="A77" s="314"/>
      <c r="B77" s="319" t="s">
        <v>29</v>
      </c>
      <c r="C77" s="314"/>
      <c r="D77" s="219">
        <v>51</v>
      </c>
      <c r="E77" s="219">
        <v>0</v>
      </c>
      <c r="F77" s="219">
        <v>851</v>
      </c>
      <c r="G77" s="18"/>
      <c r="H77" s="18"/>
      <c r="I77" s="18" t="s">
        <v>601</v>
      </c>
      <c r="J77" s="1" t="s">
        <v>30</v>
      </c>
      <c r="K77" s="2"/>
      <c r="L77" s="92">
        <f>'6 Вед15'!K128</f>
        <v>632468</v>
      </c>
      <c r="M77" s="2">
        <f t="shared" ref="M77:M151" si="144">K77+L77</f>
        <v>632468</v>
      </c>
      <c r="N77" s="92">
        <f>'6 Вед15'!M128</f>
        <v>0</v>
      </c>
      <c r="O77" s="2">
        <f t="shared" si="138"/>
        <v>632468</v>
      </c>
      <c r="P77" s="92">
        <f>'6 Вед15'!O128</f>
        <v>0</v>
      </c>
      <c r="Q77" s="2">
        <f t="shared" ref="Q77" si="145">O77+P77</f>
        <v>632468</v>
      </c>
      <c r="R77" s="92">
        <f>'6 Вед15'!Q128</f>
        <v>-632468</v>
      </c>
      <c r="S77" s="2">
        <f t="shared" ref="S77" si="146">Q77+R77</f>
        <v>0</v>
      </c>
    </row>
    <row r="78" spans="1:19" s="6" customFormat="1" ht="23.25" customHeight="1" x14ac:dyDescent="0.25">
      <c r="A78" s="524" t="s">
        <v>686</v>
      </c>
      <c r="B78" s="524"/>
      <c r="C78" s="454"/>
      <c r="D78" s="219">
        <v>51</v>
      </c>
      <c r="E78" s="219">
        <v>0</v>
      </c>
      <c r="F78" s="219">
        <v>851</v>
      </c>
      <c r="G78" s="18"/>
      <c r="H78" s="18"/>
      <c r="I78" s="18" t="s">
        <v>691</v>
      </c>
      <c r="J78" s="1"/>
      <c r="K78" s="2"/>
      <c r="L78" s="92"/>
      <c r="M78" s="2"/>
      <c r="N78" s="92"/>
      <c r="O78" s="2"/>
      <c r="P78" s="92"/>
      <c r="Q78" s="2">
        <f t="shared" si="143"/>
        <v>0</v>
      </c>
      <c r="R78" s="2">
        <f t="shared" si="142"/>
        <v>426205</v>
      </c>
      <c r="S78" s="2">
        <f t="shared" si="143"/>
        <v>426205</v>
      </c>
    </row>
    <row r="79" spans="1:19" s="6" customFormat="1" ht="24" x14ac:dyDescent="0.25">
      <c r="A79" s="454"/>
      <c r="B79" s="455" t="s">
        <v>27</v>
      </c>
      <c r="C79" s="454"/>
      <c r="D79" s="219">
        <v>51</v>
      </c>
      <c r="E79" s="219">
        <v>0</v>
      </c>
      <c r="F79" s="219">
        <v>851</v>
      </c>
      <c r="G79" s="18"/>
      <c r="H79" s="18"/>
      <c r="I79" s="18" t="s">
        <v>691</v>
      </c>
      <c r="J79" s="1" t="s">
        <v>28</v>
      </c>
      <c r="K79" s="2"/>
      <c r="L79" s="92"/>
      <c r="M79" s="2"/>
      <c r="N79" s="92"/>
      <c r="O79" s="2"/>
      <c r="P79" s="92"/>
      <c r="Q79" s="2">
        <f t="shared" si="143"/>
        <v>0</v>
      </c>
      <c r="R79" s="2">
        <f t="shared" si="142"/>
        <v>426205</v>
      </c>
      <c r="S79" s="2">
        <f t="shared" si="143"/>
        <v>426205</v>
      </c>
    </row>
    <row r="80" spans="1:19" s="6" customFormat="1" ht="24" x14ac:dyDescent="0.25">
      <c r="A80" s="454"/>
      <c r="B80" s="455" t="s">
        <v>29</v>
      </c>
      <c r="C80" s="454"/>
      <c r="D80" s="219">
        <v>51</v>
      </c>
      <c r="E80" s="219">
        <v>0</v>
      </c>
      <c r="F80" s="219">
        <v>851</v>
      </c>
      <c r="G80" s="18"/>
      <c r="H80" s="18"/>
      <c r="I80" s="18" t="s">
        <v>691</v>
      </c>
      <c r="J80" s="1" t="s">
        <v>30</v>
      </c>
      <c r="K80" s="2"/>
      <c r="L80" s="92"/>
      <c r="M80" s="2"/>
      <c r="N80" s="92"/>
      <c r="O80" s="2"/>
      <c r="P80" s="92"/>
      <c r="Q80" s="2">
        <f t="shared" ref="Q80" si="147">O80+P80</f>
        <v>0</v>
      </c>
      <c r="R80" s="92">
        <f>'6 Вед15'!Q131</f>
        <v>426205</v>
      </c>
      <c r="S80" s="2">
        <f t="shared" ref="S80" si="148">Q80+R80</f>
        <v>426205</v>
      </c>
    </row>
    <row r="81" spans="1:19" s="6" customFormat="1" ht="59.25" customHeight="1" x14ac:dyDescent="0.25">
      <c r="A81" s="516" t="s">
        <v>663</v>
      </c>
      <c r="B81" s="517"/>
      <c r="C81" s="440"/>
      <c r="D81" s="219">
        <v>51</v>
      </c>
      <c r="E81" s="219">
        <v>0</v>
      </c>
      <c r="F81" s="219">
        <v>851</v>
      </c>
      <c r="G81" s="18"/>
      <c r="H81" s="18"/>
      <c r="I81" s="18" t="s">
        <v>675</v>
      </c>
      <c r="J81" s="1"/>
      <c r="K81" s="2"/>
      <c r="L81" s="92"/>
      <c r="M81" s="2"/>
      <c r="N81" s="92"/>
      <c r="O81" s="2"/>
      <c r="P81" s="92"/>
      <c r="Q81" s="2">
        <f t="shared" si="143"/>
        <v>0</v>
      </c>
      <c r="R81" s="2">
        <f t="shared" si="142"/>
        <v>969400</v>
      </c>
      <c r="S81" s="2">
        <f t="shared" si="143"/>
        <v>969400</v>
      </c>
    </row>
    <row r="82" spans="1:19" s="6" customFormat="1" ht="24" x14ac:dyDescent="0.25">
      <c r="A82" s="440"/>
      <c r="B82" s="440" t="s">
        <v>467</v>
      </c>
      <c r="C82" s="440"/>
      <c r="D82" s="219">
        <v>51</v>
      </c>
      <c r="E82" s="219">
        <v>0</v>
      </c>
      <c r="F82" s="219">
        <v>851</v>
      </c>
      <c r="G82" s="18"/>
      <c r="H82" s="18"/>
      <c r="I82" s="18" t="s">
        <v>675</v>
      </c>
      <c r="J82" s="1" t="s">
        <v>75</v>
      </c>
      <c r="K82" s="2"/>
      <c r="L82" s="92"/>
      <c r="M82" s="2"/>
      <c r="N82" s="92"/>
      <c r="O82" s="2"/>
      <c r="P82" s="92"/>
      <c r="Q82" s="2">
        <f t="shared" si="143"/>
        <v>0</v>
      </c>
      <c r="R82" s="2">
        <f t="shared" si="142"/>
        <v>969400</v>
      </c>
      <c r="S82" s="2">
        <f t="shared" si="143"/>
        <v>969400</v>
      </c>
    </row>
    <row r="83" spans="1:19" s="6" customFormat="1" ht="24" x14ac:dyDescent="0.25">
      <c r="A83" s="440"/>
      <c r="B83" s="440" t="s">
        <v>76</v>
      </c>
      <c r="C83" s="440"/>
      <c r="D83" s="219">
        <v>51</v>
      </c>
      <c r="E83" s="219">
        <v>0</v>
      </c>
      <c r="F83" s="219">
        <v>851</v>
      </c>
      <c r="G83" s="18"/>
      <c r="H83" s="18"/>
      <c r="I83" s="18" t="s">
        <v>675</v>
      </c>
      <c r="J83" s="1" t="s">
        <v>77</v>
      </c>
      <c r="K83" s="2"/>
      <c r="L83" s="92"/>
      <c r="M83" s="2"/>
      <c r="N83" s="92"/>
      <c r="O83" s="2"/>
      <c r="P83" s="92"/>
      <c r="Q83" s="2">
        <f t="shared" ref="Q83" si="149">O83+P83</f>
        <v>0</v>
      </c>
      <c r="R83" s="92">
        <f>'6 Вед15'!Q134</f>
        <v>969400</v>
      </c>
      <c r="S83" s="2">
        <f t="shared" ref="S83" si="150">Q83+R83</f>
        <v>969400</v>
      </c>
    </row>
    <row r="84" spans="1:19" s="23" customFormat="1" ht="48" customHeight="1" x14ac:dyDescent="0.25">
      <c r="A84" s="533" t="s">
        <v>499</v>
      </c>
      <c r="B84" s="533"/>
      <c r="C84" s="224"/>
      <c r="D84" s="63">
        <v>51</v>
      </c>
      <c r="E84" s="219">
        <v>0</v>
      </c>
      <c r="F84" s="63">
        <v>851</v>
      </c>
      <c r="G84" s="219" t="s">
        <v>72</v>
      </c>
      <c r="H84" s="219" t="s">
        <v>3</v>
      </c>
      <c r="I84" s="219">
        <v>5118</v>
      </c>
      <c r="J84" s="224" t="s">
        <v>151</v>
      </c>
      <c r="K84" s="37">
        <f t="shared" ref="K84" si="151">K85+K87</f>
        <v>428902</v>
      </c>
      <c r="L84" s="37">
        <f t="shared" ref="L84:O84" si="152">L85+L87</f>
        <v>0</v>
      </c>
      <c r="M84" s="37">
        <f t="shared" si="152"/>
        <v>428902</v>
      </c>
      <c r="N84" s="37">
        <f t="shared" si="152"/>
        <v>-39699</v>
      </c>
      <c r="O84" s="37">
        <f t="shared" si="152"/>
        <v>389203</v>
      </c>
      <c r="P84" s="37">
        <f t="shared" ref="P84:Q84" si="153">P85+P87</f>
        <v>0</v>
      </c>
      <c r="Q84" s="37">
        <f t="shared" si="153"/>
        <v>389203</v>
      </c>
      <c r="R84" s="37">
        <f t="shared" ref="R84:S84" si="154">R85+R87</f>
        <v>0</v>
      </c>
      <c r="S84" s="37">
        <f t="shared" si="154"/>
        <v>389203</v>
      </c>
    </row>
    <row r="85" spans="1:19" s="6" customFormat="1" ht="36" customHeight="1" x14ac:dyDescent="0.25">
      <c r="A85" s="15"/>
      <c r="B85" s="224" t="s">
        <v>21</v>
      </c>
      <c r="C85" s="219"/>
      <c r="D85" s="219">
        <v>51</v>
      </c>
      <c r="E85" s="219">
        <v>0</v>
      </c>
      <c r="F85" s="219">
        <v>851</v>
      </c>
      <c r="G85" s="1" t="s">
        <v>72</v>
      </c>
      <c r="H85" s="1" t="s">
        <v>3</v>
      </c>
      <c r="I85" s="219">
        <v>5118</v>
      </c>
      <c r="J85" s="1" t="s">
        <v>23</v>
      </c>
      <c r="K85" s="2">
        <f t="shared" ref="K85:S85" si="155">K86</f>
        <v>379160</v>
      </c>
      <c r="L85" s="2">
        <f t="shared" si="155"/>
        <v>0</v>
      </c>
      <c r="M85" s="2">
        <f t="shared" si="155"/>
        <v>379160</v>
      </c>
      <c r="N85" s="2">
        <f t="shared" si="155"/>
        <v>0</v>
      </c>
      <c r="O85" s="2">
        <f t="shared" si="155"/>
        <v>379160</v>
      </c>
      <c r="P85" s="2">
        <f t="shared" si="155"/>
        <v>0</v>
      </c>
      <c r="Q85" s="2">
        <f t="shared" si="155"/>
        <v>379160</v>
      </c>
      <c r="R85" s="2">
        <f t="shared" si="155"/>
        <v>0</v>
      </c>
      <c r="S85" s="2">
        <f t="shared" si="155"/>
        <v>379160</v>
      </c>
    </row>
    <row r="86" spans="1:19" s="6" customFormat="1" ht="14.25" customHeight="1" x14ac:dyDescent="0.25">
      <c r="A86" s="15"/>
      <c r="B86" s="224" t="s">
        <v>24</v>
      </c>
      <c r="C86" s="219"/>
      <c r="D86" s="219">
        <v>51</v>
      </c>
      <c r="E86" s="219">
        <v>0</v>
      </c>
      <c r="F86" s="219">
        <v>851</v>
      </c>
      <c r="G86" s="1" t="s">
        <v>72</v>
      </c>
      <c r="H86" s="1" t="s">
        <v>3</v>
      </c>
      <c r="I86" s="219">
        <v>5118</v>
      </c>
      <c r="J86" s="1" t="s">
        <v>25</v>
      </c>
      <c r="K86" s="2">
        <f>'6 Вед15'!J68</f>
        <v>379160</v>
      </c>
      <c r="L86" s="92">
        <f>'6 Вед15'!K68</f>
        <v>0</v>
      </c>
      <c r="M86" s="2">
        <f t="shared" si="144"/>
        <v>379160</v>
      </c>
      <c r="N86" s="92">
        <f>'6 Вед15'!M68</f>
        <v>0</v>
      </c>
      <c r="O86" s="2">
        <f t="shared" si="138"/>
        <v>379160</v>
      </c>
      <c r="P86" s="92">
        <f>'6 Вед15'!O68</f>
        <v>0</v>
      </c>
      <c r="Q86" s="2">
        <f t="shared" ref="Q86" si="156">O86+P86</f>
        <v>379160</v>
      </c>
      <c r="R86" s="92">
        <f>'6 Вед15'!Q68</f>
        <v>0</v>
      </c>
      <c r="S86" s="2">
        <f t="shared" ref="S86" si="157">Q86+R86</f>
        <v>379160</v>
      </c>
    </row>
    <row r="87" spans="1:19" s="6" customFormat="1" ht="14.25" customHeight="1" x14ac:dyDescent="0.25">
      <c r="A87" s="15"/>
      <c r="B87" s="225" t="s">
        <v>27</v>
      </c>
      <c r="C87" s="219"/>
      <c r="D87" s="219">
        <v>51</v>
      </c>
      <c r="E87" s="219">
        <v>0</v>
      </c>
      <c r="F87" s="219">
        <v>851</v>
      </c>
      <c r="G87" s="1" t="s">
        <v>72</v>
      </c>
      <c r="H87" s="1" t="s">
        <v>3</v>
      </c>
      <c r="I87" s="219">
        <v>5118</v>
      </c>
      <c r="J87" s="1" t="s">
        <v>28</v>
      </c>
      <c r="K87" s="2">
        <f>K88</f>
        <v>49742</v>
      </c>
      <c r="L87" s="2">
        <f t="shared" ref="L87:O87" si="158">L88</f>
        <v>0</v>
      </c>
      <c r="M87" s="2">
        <f t="shared" si="158"/>
        <v>49742</v>
      </c>
      <c r="N87" s="2">
        <f t="shared" si="158"/>
        <v>-39699</v>
      </c>
      <c r="O87" s="2">
        <f t="shared" si="158"/>
        <v>10043</v>
      </c>
      <c r="P87" s="2">
        <f t="shared" ref="P87:R87" si="159">P88</f>
        <v>0</v>
      </c>
      <c r="Q87" s="2">
        <f t="shared" ref="Q87:S87" si="160">Q88</f>
        <v>10043</v>
      </c>
      <c r="R87" s="2">
        <f t="shared" si="159"/>
        <v>0</v>
      </c>
      <c r="S87" s="2">
        <f t="shared" si="160"/>
        <v>10043</v>
      </c>
    </row>
    <row r="88" spans="1:19" s="6" customFormat="1" ht="24" x14ac:dyDescent="0.25">
      <c r="A88" s="15"/>
      <c r="B88" s="225" t="s">
        <v>29</v>
      </c>
      <c r="C88" s="219"/>
      <c r="D88" s="219">
        <v>51</v>
      </c>
      <c r="E88" s="219">
        <v>0</v>
      </c>
      <c r="F88" s="219">
        <v>851</v>
      </c>
      <c r="G88" s="1" t="s">
        <v>72</v>
      </c>
      <c r="H88" s="1" t="s">
        <v>3</v>
      </c>
      <c r="I88" s="219">
        <v>5118</v>
      </c>
      <c r="J88" s="1" t="s">
        <v>30</v>
      </c>
      <c r="K88" s="2">
        <f>'6 Вед15'!J70</f>
        <v>49742</v>
      </c>
      <c r="L88" s="92">
        <f>'6 Вед15'!K70</f>
        <v>0</v>
      </c>
      <c r="M88" s="2">
        <f t="shared" si="144"/>
        <v>49742</v>
      </c>
      <c r="N88" s="92">
        <f>'6 Вед15'!M70</f>
        <v>-39699</v>
      </c>
      <c r="O88" s="2">
        <f t="shared" si="138"/>
        <v>10043</v>
      </c>
      <c r="P88" s="92">
        <f>'6 Вед15'!O70</f>
        <v>0</v>
      </c>
      <c r="Q88" s="2">
        <f t="shared" ref="Q88:Q91" si="161">O88+P88</f>
        <v>10043</v>
      </c>
      <c r="R88" s="92">
        <f>'6 Вед15'!Q70</f>
        <v>0</v>
      </c>
      <c r="S88" s="2">
        <f t="shared" ref="S88:S91" si="162">Q88+R88</f>
        <v>10043</v>
      </c>
    </row>
    <row r="89" spans="1:19" s="6" customFormat="1" ht="60" hidden="1" customHeight="1" x14ac:dyDescent="0.25">
      <c r="A89" s="509" t="s">
        <v>496</v>
      </c>
      <c r="B89" s="509"/>
      <c r="C89" s="225"/>
      <c r="D89" s="219">
        <v>51</v>
      </c>
      <c r="E89" s="219">
        <v>0</v>
      </c>
      <c r="F89" s="219">
        <v>851</v>
      </c>
      <c r="G89" s="1" t="s">
        <v>17</v>
      </c>
      <c r="H89" s="1" t="s">
        <v>63</v>
      </c>
      <c r="I89" s="1" t="s">
        <v>498</v>
      </c>
      <c r="J89" s="1"/>
      <c r="K89" s="2">
        <f t="shared" ref="K89:R90" si="163">K90</f>
        <v>0</v>
      </c>
      <c r="L89" s="92">
        <f t="shared" si="163"/>
        <v>0</v>
      </c>
      <c r="M89" s="2">
        <f t="shared" si="144"/>
        <v>0</v>
      </c>
      <c r="N89" s="92">
        <f t="shared" si="163"/>
        <v>0</v>
      </c>
      <c r="O89" s="2">
        <f t="shared" si="138"/>
        <v>0</v>
      </c>
      <c r="P89" s="92">
        <f t="shared" si="163"/>
        <v>0</v>
      </c>
      <c r="Q89" s="2">
        <f t="shared" si="161"/>
        <v>0</v>
      </c>
      <c r="R89" s="92">
        <f t="shared" si="163"/>
        <v>0</v>
      </c>
      <c r="S89" s="2">
        <f t="shared" si="162"/>
        <v>0</v>
      </c>
    </row>
    <row r="90" spans="1:19" s="6" customFormat="1" ht="15" hidden="1" customHeight="1" x14ac:dyDescent="0.25">
      <c r="A90" s="15"/>
      <c r="B90" s="225" t="s">
        <v>27</v>
      </c>
      <c r="C90" s="224"/>
      <c r="D90" s="219">
        <v>51</v>
      </c>
      <c r="E90" s="219">
        <v>0</v>
      </c>
      <c r="F90" s="219">
        <v>851</v>
      </c>
      <c r="G90" s="1" t="s">
        <v>17</v>
      </c>
      <c r="H90" s="1" t="s">
        <v>63</v>
      </c>
      <c r="I90" s="1" t="s">
        <v>498</v>
      </c>
      <c r="J90" s="1" t="s">
        <v>28</v>
      </c>
      <c r="K90" s="2">
        <f t="shared" si="163"/>
        <v>0</v>
      </c>
      <c r="L90" s="92">
        <f t="shared" si="163"/>
        <v>0</v>
      </c>
      <c r="M90" s="2">
        <f t="shared" si="144"/>
        <v>0</v>
      </c>
      <c r="N90" s="92">
        <f t="shared" si="163"/>
        <v>0</v>
      </c>
      <c r="O90" s="2">
        <f t="shared" si="138"/>
        <v>0</v>
      </c>
      <c r="P90" s="92">
        <f t="shared" si="163"/>
        <v>0</v>
      </c>
      <c r="Q90" s="2">
        <f t="shared" si="161"/>
        <v>0</v>
      </c>
      <c r="R90" s="92">
        <f t="shared" si="163"/>
        <v>0</v>
      </c>
      <c r="S90" s="2">
        <f t="shared" si="162"/>
        <v>0</v>
      </c>
    </row>
    <row r="91" spans="1:19" s="6" customFormat="1" ht="24" hidden="1" x14ac:dyDescent="0.25">
      <c r="A91" s="15"/>
      <c r="B91" s="225" t="s">
        <v>29</v>
      </c>
      <c r="C91" s="225"/>
      <c r="D91" s="219">
        <v>51</v>
      </c>
      <c r="E91" s="219">
        <v>0</v>
      </c>
      <c r="F91" s="219">
        <v>851</v>
      </c>
      <c r="G91" s="1" t="s">
        <v>17</v>
      </c>
      <c r="H91" s="1" t="s">
        <v>63</v>
      </c>
      <c r="I91" s="1" t="s">
        <v>498</v>
      </c>
      <c r="J91" s="1" t="s">
        <v>30</v>
      </c>
      <c r="K91" s="2">
        <f>'6 Вед15'!J27</f>
        <v>0</v>
      </c>
      <c r="L91" s="92">
        <f>'6 Вед15'!K27</f>
        <v>0</v>
      </c>
      <c r="M91" s="2">
        <f t="shared" si="144"/>
        <v>0</v>
      </c>
      <c r="N91" s="92">
        <f>'6 Вед15'!M27</f>
        <v>0</v>
      </c>
      <c r="O91" s="2">
        <f t="shared" si="138"/>
        <v>0</v>
      </c>
      <c r="P91" s="92">
        <f>'6 Вед15'!O27</f>
        <v>0</v>
      </c>
      <c r="Q91" s="2">
        <f t="shared" si="161"/>
        <v>0</v>
      </c>
      <c r="R91" s="92">
        <f>'6 Вед15'!Q27</f>
        <v>0</v>
      </c>
      <c r="S91" s="2">
        <f t="shared" si="162"/>
        <v>0</v>
      </c>
    </row>
    <row r="92" spans="1:19" s="6" customFormat="1" x14ac:dyDescent="0.25">
      <c r="A92" s="516" t="s">
        <v>642</v>
      </c>
      <c r="B92" s="517"/>
      <c r="C92" s="412"/>
      <c r="D92" s="219">
        <v>51</v>
      </c>
      <c r="E92" s="219">
        <v>0</v>
      </c>
      <c r="F92" s="219">
        <v>851</v>
      </c>
      <c r="G92" s="1"/>
      <c r="H92" s="1"/>
      <c r="I92" s="1" t="s">
        <v>644</v>
      </c>
      <c r="J92" s="1"/>
      <c r="K92" s="2"/>
      <c r="L92" s="92"/>
      <c r="M92" s="2">
        <f>M95</f>
        <v>0</v>
      </c>
      <c r="N92" s="2">
        <f>N95</f>
        <v>0</v>
      </c>
      <c r="O92" s="2">
        <f>O95</f>
        <v>0</v>
      </c>
      <c r="P92" s="2">
        <f>P95</f>
        <v>1200000</v>
      </c>
      <c r="Q92" s="2">
        <f>Q93+Q95</f>
        <v>1200000</v>
      </c>
      <c r="R92" s="2">
        <f t="shared" ref="R92:S92" si="164">R93+R95</f>
        <v>0</v>
      </c>
      <c r="S92" s="2">
        <f t="shared" si="164"/>
        <v>1200000</v>
      </c>
    </row>
    <row r="93" spans="1:19" s="6" customFormat="1" ht="24" x14ac:dyDescent="0.25">
      <c r="A93" s="425"/>
      <c r="B93" s="422" t="s">
        <v>27</v>
      </c>
      <c r="C93" s="422"/>
      <c r="D93" s="219">
        <v>51</v>
      </c>
      <c r="E93" s="219">
        <v>0</v>
      </c>
      <c r="F93" s="219">
        <v>851</v>
      </c>
      <c r="G93" s="1"/>
      <c r="H93" s="1"/>
      <c r="I93" s="1" t="s">
        <v>644</v>
      </c>
      <c r="J93" s="1" t="s">
        <v>28</v>
      </c>
      <c r="K93" s="2"/>
      <c r="L93" s="92"/>
      <c r="M93" s="2"/>
      <c r="N93" s="2"/>
      <c r="O93" s="2"/>
      <c r="P93" s="2"/>
      <c r="Q93" s="2">
        <f t="shared" ref="Q93:S95" si="165">Q94</f>
        <v>0</v>
      </c>
      <c r="R93" s="2">
        <f t="shared" si="165"/>
        <v>1200000</v>
      </c>
      <c r="S93" s="2">
        <f t="shared" si="165"/>
        <v>1200000</v>
      </c>
    </row>
    <row r="94" spans="1:19" s="6" customFormat="1" ht="24" x14ac:dyDescent="0.25">
      <c r="A94" s="425"/>
      <c r="B94" s="422" t="s">
        <v>29</v>
      </c>
      <c r="C94" s="422"/>
      <c r="D94" s="219">
        <v>51</v>
      </c>
      <c r="E94" s="219">
        <v>0</v>
      </c>
      <c r="F94" s="219">
        <v>851</v>
      </c>
      <c r="G94" s="1"/>
      <c r="H94" s="1"/>
      <c r="I94" s="1" t="s">
        <v>644</v>
      </c>
      <c r="J94" s="1" t="s">
        <v>30</v>
      </c>
      <c r="K94" s="2"/>
      <c r="L94" s="92"/>
      <c r="M94" s="2"/>
      <c r="N94" s="2"/>
      <c r="O94" s="2"/>
      <c r="P94" s="2"/>
      <c r="Q94" s="2"/>
      <c r="R94" s="92">
        <f>'6 Вед15'!Q61</f>
        <v>1200000</v>
      </c>
      <c r="S94" s="2">
        <f>Q94+R94</f>
        <v>1200000</v>
      </c>
    </row>
    <row r="95" spans="1:19" s="6" customFormat="1" ht="24" x14ac:dyDescent="0.25">
      <c r="A95" s="413"/>
      <c r="B95" s="412" t="s">
        <v>467</v>
      </c>
      <c r="C95" s="412"/>
      <c r="D95" s="219">
        <v>51</v>
      </c>
      <c r="E95" s="219">
        <v>0</v>
      </c>
      <c r="F95" s="219">
        <v>851</v>
      </c>
      <c r="G95" s="1"/>
      <c r="H95" s="1"/>
      <c r="I95" s="1" t="s">
        <v>644</v>
      </c>
      <c r="J95" s="1" t="s">
        <v>75</v>
      </c>
      <c r="K95" s="2"/>
      <c r="L95" s="92"/>
      <c r="M95" s="2">
        <f>M96</f>
        <v>0</v>
      </c>
      <c r="N95" s="2">
        <f t="shared" ref="N95:O95" si="166">N96</f>
        <v>0</v>
      </c>
      <c r="O95" s="2">
        <f t="shared" si="166"/>
        <v>0</v>
      </c>
      <c r="P95" s="2">
        <f t="shared" ref="P95" si="167">P96</f>
        <v>1200000</v>
      </c>
      <c r="Q95" s="2">
        <f t="shared" si="165"/>
        <v>1200000</v>
      </c>
      <c r="R95" s="2">
        <f t="shared" si="165"/>
        <v>-1200000</v>
      </c>
      <c r="S95" s="2">
        <f t="shared" si="165"/>
        <v>0</v>
      </c>
    </row>
    <row r="96" spans="1:19" s="6" customFormat="1" ht="24" x14ac:dyDescent="0.25">
      <c r="A96" s="413"/>
      <c r="B96" s="412" t="s">
        <v>76</v>
      </c>
      <c r="C96" s="412"/>
      <c r="D96" s="219">
        <v>51</v>
      </c>
      <c r="E96" s="219">
        <v>0</v>
      </c>
      <c r="F96" s="219">
        <v>851</v>
      </c>
      <c r="G96" s="1"/>
      <c r="H96" s="1"/>
      <c r="I96" s="1" t="s">
        <v>644</v>
      </c>
      <c r="J96" s="1" t="s">
        <v>77</v>
      </c>
      <c r="K96" s="2"/>
      <c r="L96" s="92"/>
      <c r="M96" s="2">
        <f t="shared" si="144"/>
        <v>0</v>
      </c>
      <c r="N96" s="92">
        <f>'6 Вед15'!M63</f>
        <v>0</v>
      </c>
      <c r="O96" s="2">
        <f t="shared" si="138"/>
        <v>0</v>
      </c>
      <c r="P96" s="92">
        <f>'6 Вед15'!O63</f>
        <v>1200000</v>
      </c>
      <c r="Q96" s="2">
        <f t="shared" ref="Q96" si="168">O96+P96</f>
        <v>1200000</v>
      </c>
      <c r="R96" s="92">
        <f>'6 Вед15'!Q63</f>
        <v>-1200000</v>
      </c>
      <c r="S96" s="2">
        <f t="shared" ref="S96" si="169">Q96+R96</f>
        <v>0</v>
      </c>
    </row>
    <row r="97" spans="1:19" s="13" customFormat="1" x14ac:dyDescent="0.25">
      <c r="A97" s="509" t="s">
        <v>457</v>
      </c>
      <c r="B97" s="509"/>
      <c r="C97" s="225"/>
      <c r="D97" s="219">
        <v>51</v>
      </c>
      <c r="E97" s="219">
        <v>0</v>
      </c>
      <c r="F97" s="219">
        <v>851</v>
      </c>
      <c r="G97" s="18" t="s">
        <v>63</v>
      </c>
      <c r="H97" s="18" t="s">
        <v>17</v>
      </c>
      <c r="I97" s="18" t="s">
        <v>459</v>
      </c>
      <c r="J97" s="1"/>
      <c r="K97" s="2">
        <f t="shared" ref="K97:S101" si="170">K98</f>
        <v>41440</v>
      </c>
      <c r="L97" s="2">
        <f t="shared" si="170"/>
        <v>0</v>
      </c>
      <c r="M97" s="2">
        <f t="shared" si="170"/>
        <v>41440</v>
      </c>
      <c r="N97" s="2">
        <f t="shared" si="170"/>
        <v>0</v>
      </c>
      <c r="O97" s="2">
        <f t="shared" si="170"/>
        <v>41440</v>
      </c>
      <c r="P97" s="2">
        <f t="shared" si="170"/>
        <v>0</v>
      </c>
      <c r="Q97" s="2">
        <f t="shared" si="170"/>
        <v>41440</v>
      </c>
      <c r="R97" s="2">
        <f t="shared" si="170"/>
        <v>0</v>
      </c>
      <c r="S97" s="2">
        <f t="shared" si="170"/>
        <v>41440</v>
      </c>
    </row>
    <row r="98" spans="1:19" s="13" customFormat="1" ht="14.25" customHeight="1" x14ac:dyDescent="0.25">
      <c r="A98" s="225"/>
      <c r="B98" s="228" t="s">
        <v>27</v>
      </c>
      <c r="C98" s="225"/>
      <c r="D98" s="219">
        <v>51</v>
      </c>
      <c r="E98" s="219">
        <v>0</v>
      </c>
      <c r="F98" s="219">
        <v>851</v>
      </c>
      <c r="G98" s="18" t="s">
        <v>63</v>
      </c>
      <c r="H98" s="18" t="s">
        <v>17</v>
      </c>
      <c r="I98" s="18" t="s">
        <v>459</v>
      </c>
      <c r="J98" s="1" t="s">
        <v>28</v>
      </c>
      <c r="K98" s="2">
        <f t="shared" si="170"/>
        <v>41440</v>
      </c>
      <c r="L98" s="2">
        <f t="shared" si="170"/>
        <v>0</v>
      </c>
      <c r="M98" s="2">
        <f t="shared" si="170"/>
        <v>41440</v>
      </c>
      <c r="N98" s="2">
        <f t="shared" si="170"/>
        <v>0</v>
      </c>
      <c r="O98" s="2">
        <f t="shared" si="170"/>
        <v>41440</v>
      </c>
      <c r="P98" s="2">
        <f t="shared" si="170"/>
        <v>0</v>
      </c>
      <c r="Q98" s="2">
        <f t="shared" si="170"/>
        <v>41440</v>
      </c>
      <c r="R98" s="2">
        <f t="shared" si="170"/>
        <v>0</v>
      </c>
      <c r="S98" s="2">
        <f t="shared" si="170"/>
        <v>41440</v>
      </c>
    </row>
    <row r="99" spans="1:19" s="13" customFormat="1" ht="24" x14ac:dyDescent="0.25">
      <c r="A99" s="225"/>
      <c r="B99" s="228" t="s">
        <v>29</v>
      </c>
      <c r="C99" s="225"/>
      <c r="D99" s="219">
        <v>51</v>
      </c>
      <c r="E99" s="219">
        <v>0</v>
      </c>
      <c r="F99" s="219">
        <v>851</v>
      </c>
      <c r="G99" s="18" t="s">
        <v>63</v>
      </c>
      <c r="H99" s="18" t="s">
        <v>17</v>
      </c>
      <c r="I99" s="18" t="s">
        <v>459</v>
      </c>
      <c r="J99" s="1" t="s">
        <v>30</v>
      </c>
      <c r="K99" s="2">
        <f>'6 Вед15'!J115</f>
        <v>41440</v>
      </c>
      <c r="L99" s="92">
        <f>'6 Вед15'!K115</f>
        <v>0</v>
      </c>
      <c r="M99" s="2">
        <f t="shared" si="144"/>
        <v>41440</v>
      </c>
      <c r="N99" s="92">
        <f>'6 Вед15'!M115</f>
        <v>0</v>
      </c>
      <c r="O99" s="2">
        <f t="shared" si="138"/>
        <v>41440</v>
      </c>
      <c r="P99" s="92">
        <f>'6 Вед15'!O115</f>
        <v>0</v>
      </c>
      <c r="Q99" s="2">
        <f t="shared" ref="Q99" si="171">O99+P99</f>
        <v>41440</v>
      </c>
      <c r="R99" s="92">
        <f>'6 Вед15'!Q115</f>
        <v>0</v>
      </c>
      <c r="S99" s="2">
        <f t="shared" ref="S99" si="172">Q99+R99</f>
        <v>41440</v>
      </c>
    </row>
    <row r="100" spans="1:19" s="13" customFormat="1" x14ac:dyDescent="0.25">
      <c r="A100" s="516" t="s">
        <v>659</v>
      </c>
      <c r="B100" s="517"/>
      <c r="C100" s="440"/>
      <c r="D100" s="219">
        <v>51</v>
      </c>
      <c r="E100" s="219">
        <v>0</v>
      </c>
      <c r="F100" s="219">
        <v>851</v>
      </c>
      <c r="G100" s="18"/>
      <c r="H100" s="18"/>
      <c r="I100" s="18" t="s">
        <v>674</v>
      </c>
      <c r="J100" s="1"/>
      <c r="K100" s="2"/>
      <c r="L100" s="92"/>
      <c r="M100" s="2"/>
      <c r="N100" s="92"/>
      <c r="O100" s="2"/>
      <c r="P100" s="92"/>
      <c r="Q100" s="2">
        <f t="shared" si="170"/>
        <v>0</v>
      </c>
      <c r="R100" s="2">
        <f t="shared" si="170"/>
        <v>80000</v>
      </c>
      <c r="S100" s="2">
        <f t="shared" si="170"/>
        <v>80000</v>
      </c>
    </row>
    <row r="101" spans="1:19" s="13" customFormat="1" ht="24" x14ac:dyDescent="0.25">
      <c r="A101" s="441"/>
      <c r="B101" s="440" t="s">
        <v>467</v>
      </c>
      <c r="C101" s="440"/>
      <c r="D101" s="219">
        <v>51</v>
      </c>
      <c r="E101" s="219">
        <v>0</v>
      </c>
      <c r="F101" s="219">
        <v>851</v>
      </c>
      <c r="G101" s="18"/>
      <c r="H101" s="18"/>
      <c r="I101" s="18" t="s">
        <v>674</v>
      </c>
      <c r="J101" s="1" t="s">
        <v>75</v>
      </c>
      <c r="K101" s="2"/>
      <c r="L101" s="92"/>
      <c r="M101" s="2"/>
      <c r="N101" s="92"/>
      <c r="O101" s="2"/>
      <c r="P101" s="92"/>
      <c r="Q101" s="2">
        <f t="shared" si="170"/>
        <v>0</v>
      </c>
      <c r="R101" s="2">
        <f t="shared" si="170"/>
        <v>80000</v>
      </c>
      <c r="S101" s="2">
        <f t="shared" si="170"/>
        <v>80000</v>
      </c>
    </row>
    <row r="102" spans="1:19" s="13" customFormat="1" ht="24" x14ac:dyDescent="0.25">
      <c r="A102" s="441"/>
      <c r="B102" s="440" t="s">
        <v>76</v>
      </c>
      <c r="C102" s="440"/>
      <c r="D102" s="219">
        <v>51</v>
      </c>
      <c r="E102" s="219">
        <v>0</v>
      </c>
      <c r="F102" s="219">
        <v>851</v>
      </c>
      <c r="G102" s="18"/>
      <c r="H102" s="18"/>
      <c r="I102" s="18" t="s">
        <v>674</v>
      </c>
      <c r="J102" s="1" t="s">
        <v>77</v>
      </c>
      <c r="K102" s="2"/>
      <c r="L102" s="92"/>
      <c r="M102" s="2"/>
      <c r="N102" s="92"/>
      <c r="O102" s="2"/>
      <c r="P102" s="92"/>
      <c r="Q102" s="2">
        <f t="shared" ref="Q102" si="173">O102+P102</f>
        <v>0</v>
      </c>
      <c r="R102" s="92">
        <f>'6 Вед15'!Q98</f>
        <v>80000</v>
      </c>
      <c r="S102" s="2">
        <f t="shared" ref="S102" si="174">Q102+R102</f>
        <v>80000</v>
      </c>
    </row>
    <row r="103" spans="1:19" s="6" customFormat="1" ht="24" customHeight="1" x14ac:dyDescent="0.25">
      <c r="A103" s="509" t="s">
        <v>481</v>
      </c>
      <c r="B103" s="509"/>
      <c r="C103" s="225"/>
      <c r="D103" s="219">
        <v>51</v>
      </c>
      <c r="E103" s="219">
        <v>0</v>
      </c>
      <c r="F103" s="219">
        <v>851</v>
      </c>
      <c r="G103" s="1" t="s">
        <v>6</v>
      </c>
      <c r="H103" s="1" t="s">
        <v>57</v>
      </c>
      <c r="I103" s="1" t="s">
        <v>485</v>
      </c>
      <c r="J103" s="1"/>
      <c r="K103" s="2">
        <f>K104</f>
        <v>2558000</v>
      </c>
      <c r="L103" s="2">
        <f t="shared" ref="L103:O104" si="175">L104</f>
        <v>0</v>
      </c>
      <c r="M103" s="2">
        <f t="shared" si="175"/>
        <v>2558000</v>
      </c>
      <c r="N103" s="2">
        <f t="shared" si="175"/>
        <v>0</v>
      </c>
      <c r="O103" s="2">
        <f t="shared" si="175"/>
        <v>2558000</v>
      </c>
      <c r="P103" s="2">
        <f t="shared" ref="P103:R104" si="176">P104</f>
        <v>0</v>
      </c>
      <c r="Q103" s="2">
        <f t="shared" ref="Q103:S104" si="177">Q104</f>
        <v>2558000</v>
      </c>
      <c r="R103" s="2">
        <f t="shared" si="176"/>
        <v>-2558000</v>
      </c>
      <c r="S103" s="2">
        <f t="shared" si="177"/>
        <v>0</v>
      </c>
    </row>
    <row r="104" spans="1:19" s="6" customFormat="1" ht="15" customHeight="1" x14ac:dyDescent="0.25">
      <c r="A104" s="225"/>
      <c r="B104" s="225" t="s">
        <v>27</v>
      </c>
      <c r="C104" s="225"/>
      <c r="D104" s="102">
        <v>51</v>
      </c>
      <c r="E104" s="102">
        <v>0</v>
      </c>
      <c r="F104" s="219">
        <v>851</v>
      </c>
      <c r="G104" s="1" t="s">
        <v>6</v>
      </c>
      <c r="H104" s="1" t="s">
        <v>57</v>
      </c>
      <c r="I104" s="1" t="s">
        <v>485</v>
      </c>
      <c r="J104" s="1" t="s">
        <v>28</v>
      </c>
      <c r="K104" s="2">
        <f>K105</f>
        <v>2558000</v>
      </c>
      <c r="L104" s="2">
        <f t="shared" si="175"/>
        <v>0</v>
      </c>
      <c r="M104" s="2">
        <f t="shared" si="175"/>
        <v>2558000</v>
      </c>
      <c r="N104" s="2">
        <f t="shared" si="175"/>
        <v>0</v>
      </c>
      <c r="O104" s="2">
        <f t="shared" si="175"/>
        <v>2558000</v>
      </c>
      <c r="P104" s="2">
        <f t="shared" si="176"/>
        <v>0</v>
      </c>
      <c r="Q104" s="2">
        <f t="shared" si="177"/>
        <v>2558000</v>
      </c>
      <c r="R104" s="2">
        <f t="shared" si="176"/>
        <v>-2558000</v>
      </c>
      <c r="S104" s="2">
        <f t="shared" si="177"/>
        <v>0</v>
      </c>
    </row>
    <row r="105" spans="1:19" s="6" customFormat="1" ht="24" x14ac:dyDescent="0.25">
      <c r="A105" s="225"/>
      <c r="B105" s="225" t="s">
        <v>29</v>
      </c>
      <c r="C105" s="225"/>
      <c r="D105" s="219">
        <v>51</v>
      </c>
      <c r="E105" s="219">
        <v>0</v>
      </c>
      <c r="F105" s="219">
        <v>851</v>
      </c>
      <c r="G105" s="1" t="s">
        <v>6</v>
      </c>
      <c r="H105" s="1" t="s">
        <v>57</v>
      </c>
      <c r="I105" s="1" t="s">
        <v>485</v>
      </c>
      <c r="J105" s="1" t="s">
        <v>30</v>
      </c>
      <c r="K105" s="2">
        <f>'6 Вед15'!J101</f>
        <v>2558000</v>
      </c>
      <c r="L105" s="92">
        <f>'6 Вед15'!K101</f>
        <v>0</v>
      </c>
      <c r="M105" s="2">
        <f t="shared" si="144"/>
        <v>2558000</v>
      </c>
      <c r="N105" s="92">
        <f>'6 Вед15'!M101</f>
        <v>0</v>
      </c>
      <c r="O105" s="2">
        <f t="shared" si="138"/>
        <v>2558000</v>
      </c>
      <c r="P105" s="92">
        <f>'6 Вед15'!O101</f>
        <v>0</v>
      </c>
      <c r="Q105" s="2">
        <f t="shared" ref="Q105:Q108" si="178">O105+P105</f>
        <v>2558000</v>
      </c>
      <c r="R105" s="92">
        <f>'6 Вед15'!Q101</f>
        <v>-2558000</v>
      </c>
      <c r="S105" s="2">
        <f t="shared" ref="S105:S108" si="179">Q105+R105</f>
        <v>0</v>
      </c>
    </row>
    <row r="106" spans="1:19" s="6" customFormat="1" ht="133.5" customHeight="1" x14ac:dyDescent="0.25">
      <c r="A106" s="509" t="s">
        <v>670</v>
      </c>
      <c r="B106" s="509"/>
      <c r="C106" s="314"/>
      <c r="D106" s="219">
        <v>51</v>
      </c>
      <c r="E106" s="219">
        <v>0</v>
      </c>
      <c r="F106" s="219">
        <v>851</v>
      </c>
      <c r="G106" s="1"/>
      <c r="H106" s="1"/>
      <c r="I106" s="1" t="s">
        <v>591</v>
      </c>
      <c r="J106" s="1"/>
      <c r="K106" s="2">
        <f>K107</f>
        <v>0</v>
      </c>
      <c r="L106" s="2">
        <f t="shared" ref="L106:R106" si="180">L107</f>
        <v>0</v>
      </c>
      <c r="M106" s="2">
        <f t="shared" si="144"/>
        <v>0</v>
      </c>
      <c r="N106" s="2">
        <f t="shared" si="180"/>
        <v>0</v>
      </c>
      <c r="O106" s="2">
        <f t="shared" si="138"/>
        <v>0</v>
      </c>
      <c r="P106" s="2">
        <f t="shared" si="180"/>
        <v>0</v>
      </c>
      <c r="Q106" s="2">
        <f t="shared" si="178"/>
        <v>0</v>
      </c>
      <c r="R106" s="2">
        <f t="shared" si="180"/>
        <v>0</v>
      </c>
      <c r="S106" s="2">
        <f t="shared" si="179"/>
        <v>0</v>
      </c>
    </row>
    <row r="107" spans="1:19" s="6" customFormat="1" x14ac:dyDescent="0.25">
      <c r="A107" s="304"/>
      <c r="B107" s="303" t="s">
        <v>145</v>
      </c>
      <c r="C107" s="304"/>
      <c r="D107" s="102">
        <v>51</v>
      </c>
      <c r="E107" s="102">
        <v>0</v>
      </c>
      <c r="F107" s="219">
        <v>851</v>
      </c>
      <c r="G107" s="1" t="s">
        <v>6</v>
      </c>
      <c r="H107" s="1" t="s">
        <v>57</v>
      </c>
      <c r="I107" s="1" t="s">
        <v>591</v>
      </c>
      <c r="J107" s="1" t="s">
        <v>146</v>
      </c>
      <c r="K107" s="2">
        <f>K108</f>
        <v>0</v>
      </c>
      <c r="L107" s="2">
        <f t="shared" ref="L107:R107" si="181">L108</f>
        <v>0</v>
      </c>
      <c r="M107" s="2">
        <f t="shared" si="144"/>
        <v>0</v>
      </c>
      <c r="N107" s="2">
        <f t="shared" si="181"/>
        <v>0</v>
      </c>
      <c r="O107" s="2">
        <f t="shared" si="138"/>
        <v>0</v>
      </c>
      <c r="P107" s="2">
        <f t="shared" si="181"/>
        <v>0</v>
      </c>
      <c r="Q107" s="2">
        <f t="shared" si="178"/>
        <v>0</v>
      </c>
      <c r="R107" s="2">
        <f t="shared" si="181"/>
        <v>0</v>
      </c>
      <c r="S107" s="2">
        <f t="shared" si="179"/>
        <v>0</v>
      </c>
    </row>
    <row r="108" spans="1:19" s="6" customFormat="1" x14ac:dyDescent="0.25">
      <c r="A108" s="304"/>
      <c r="B108" s="304" t="s">
        <v>157</v>
      </c>
      <c r="C108" s="304"/>
      <c r="D108" s="219">
        <v>51</v>
      </c>
      <c r="E108" s="219">
        <v>0</v>
      </c>
      <c r="F108" s="219">
        <v>851</v>
      </c>
      <c r="G108" s="1" t="s">
        <v>6</v>
      </c>
      <c r="H108" s="1" t="s">
        <v>57</v>
      </c>
      <c r="I108" s="1" t="s">
        <v>591</v>
      </c>
      <c r="J108" s="1" t="s">
        <v>158</v>
      </c>
      <c r="K108" s="2"/>
      <c r="L108" s="92">
        <f>'6 Вед15'!K328</f>
        <v>0</v>
      </c>
      <c r="M108" s="2">
        <f t="shared" si="144"/>
        <v>0</v>
      </c>
      <c r="N108" s="92">
        <f>'6 Вед15'!M328</f>
        <v>0</v>
      </c>
      <c r="O108" s="2">
        <f t="shared" si="138"/>
        <v>0</v>
      </c>
      <c r="P108" s="92">
        <f>'6 Вед15'!O328</f>
        <v>0</v>
      </c>
      <c r="Q108" s="2">
        <f t="shared" si="178"/>
        <v>0</v>
      </c>
      <c r="R108" s="92"/>
      <c r="S108" s="2">
        <f t="shared" si="179"/>
        <v>0</v>
      </c>
    </row>
    <row r="109" spans="1:19" s="13" customFormat="1" ht="24" customHeight="1" x14ac:dyDescent="0.25">
      <c r="A109" s="508" t="s">
        <v>501</v>
      </c>
      <c r="B109" s="508"/>
      <c r="C109" s="225"/>
      <c r="D109" s="75">
        <v>51</v>
      </c>
      <c r="E109" s="75">
        <v>1</v>
      </c>
      <c r="F109" s="16"/>
      <c r="G109" s="11"/>
      <c r="H109" s="11"/>
      <c r="I109" s="11"/>
      <c r="J109" s="11"/>
      <c r="K109" s="12">
        <f>K110</f>
        <v>55000</v>
      </c>
      <c r="L109" s="12">
        <f t="shared" ref="L109:O109" si="182">L110</f>
        <v>1300000</v>
      </c>
      <c r="M109" s="12">
        <f t="shared" si="182"/>
        <v>1355000</v>
      </c>
      <c r="N109" s="12">
        <f t="shared" si="182"/>
        <v>0</v>
      </c>
      <c r="O109" s="12">
        <f t="shared" si="182"/>
        <v>1355000</v>
      </c>
      <c r="P109" s="12">
        <f t="shared" ref="P109:R109" si="183">P110</f>
        <v>0</v>
      </c>
      <c r="Q109" s="12">
        <f t="shared" ref="Q109:S109" si="184">Q110</f>
        <v>1355000</v>
      </c>
      <c r="R109" s="12">
        <f t="shared" si="183"/>
        <v>0</v>
      </c>
      <c r="S109" s="12">
        <f t="shared" si="184"/>
        <v>1355000</v>
      </c>
    </row>
    <row r="110" spans="1:19" s="13" customFormat="1" ht="14.25" customHeight="1" x14ac:dyDescent="0.25">
      <c r="A110" s="508" t="s">
        <v>15</v>
      </c>
      <c r="B110" s="508"/>
      <c r="C110" s="225"/>
      <c r="D110" s="75">
        <v>51</v>
      </c>
      <c r="E110" s="75">
        <v>1</v>
      </c>
      <c r="F110" s="16">
        <v>851</v>
      </c>
      <c r="G110" s="11"/>
      <c r="H110" s="11"/>
      <c r="I110" s="11"/>
      <c r="J110" s="11"/>
      <c r="K110" s="12">
        <f>K111+K114</f>
        <v>55000</v>
      </c>
      <c r="L110" s="12">
        <f t="shared" ref="L110:O110" si="185">L111+L114</f>
        <v>1300000</v>
      </c>
      <c r="M110" s="12">
        <f t="shared" si="185"/>
        <v>1355000</v>
      </c>
      <c r="N110" s="12">
        <f t="shared" si="185"/>
        <v>0</v>
      </c>
      <c r="O110" s="12">
        <f t="shared" si="185"/>
        <v>1355000</v>
      </c>
      <c r="P110" s="12">
        <f t="shared" ref="P110:R110" si="186">P111+P114</f>
        <v>0</v>
      </c>
      <c r="Q110" s="12">
        <f t="shared" ref="Q110:S110" si="187">Q111+Q114</f>
        <v>1355000</v>
      </c>
      <c r="R110" s="12">
        <f t="shared" si="186"/>
        <v>0</v>
      </c>
      <c r="S110" s="12">
        <f t="shared" si="187"/>
        <v>1355000</v>
      </c>
    </row>
    <row r="111" spans="1:19" s="6" customFormat="1" ht="27" customHeight="1" x14ac:dyDescent="0.25">
      <c r="A111" s="509" t="s">
        <v>64</v>
      </c>
      <c r="B111" s="509"/>
      <c r="C111" s="225"/>
      <c r="D111" s="219">
        <v>51</v>
      </c>
      <c r="E111" s="219">
        <v>1</v>
      </c>
      <c r="F111" s="219">
        <v>851</v>
      </c>
      <c r="G111" s="1" t="s">
        <v>6</v>
      </c>
      <c r="H111" s="1" t="s">
        <v>63</v>
      </c>
      <c r="I111" s="1" t="s">
        <v>216</v>
      </c>
      <c r="J111" s="1"/>
      <c r="K111" s="2">
        <f t="shared" ref="K111:S112" si="188">K112</f>
        <v>55000</v>
      </c>
      <c r="L111" s="2">
        <f t="shared" si="188"/>
        <v>0</v>
      </c>
      <c r="M111" s="2">
        <f t="shared" si="188"/>
        <v>55000</v>
      </c>
      <c r="N111" s="2">
        <f t="shared" si="188"/>
        <v>0</v>
      </c>
      <c r="O111" s="2">
        <f t="shared" si="188"/>
        <v>55000</v>
      </c>
      <c r="P111" s="2">
        <f t="shared" si="188"/>
        <v>0</v>
      </c>
      <c r="Q111" s="2">
        <f t="shared" si="188"/>
        <v>55000</v>
      </c>
      <c r="R111" s="2">
        <f t="shared" si="188"/>
        <v>0</v>
      </c>
      <c r="S111" s="2">
        <f t="shared" si="188"/>
        <v>55000</v>
      </c>
    </row>
    <row r="112" spans="1:19" s="6" customFormat="1" ht="15" customHeight="1" x14ac:dyDescent="0.25">
      <c r="A112" s="19"/>
      <c r="B112" s="228" t="s">
        <v>27</v>
      </c>
      <c r="C112" s="224"/>
      <c r="D112" s="219">
        <v>51</v>
      </c>
      <c r="E112" s="219">
        <v>1</v>
      </c>
      <c r="F112" s="219">
        <v>851</v>
      </c>
      <c r="G112" s="1" t="s">
        <v>6</v>
      </c>
      <c r="H112" s="1" t="s">
        <v>63</v>
      </c>
      <c r="I112" s="1" t="s">
        <v>216</v>
      </c>
      <c r="J112" s="1" t="s">
        <v>28</v>
      </c>
      <c r="K112" s="2">
        <f t="shared" si="188"/>
        <v>55000</v>
      </c>
      <c r="L112" s="2">
        <f t="shared" si="188"/>
        <v>0</v>
      </c>
      <c r="M112" s="2">
        <f t="shared" si="188"/>
        <v>55000</v>
      </c>
      <c r="N112" s="2">
        <f t="shared" si="188"/>
        <v>0</v>
      </c>
      <c r="O112" s="2">
        <f t="shared" si="188"/>
        <v>55000</v>
      </c>
      <c r="P112" s="2">
        <f t="shared" si="188"/>
        <v>0</v>
      </c>
      <c r="Q112" s="2">
        <f t="shared" si="188"/>
        <v>55000</v>
      </c>
      <c r="R112" s="2">
        <f t="shared" si="188"/>
        <v>0</v>
      </c>
      <c r="S112" s="2">
        <f t="shared" si="188"/>
        <v>55000</v>
      </c>
    </row>
    <row r="113" spans="1:19" s="6" customFormat="1" ht="25.5" customHeight="1" x14ac:dyDescent="0.25">
      <c r="A113" s="19"/>
      <c r="B113" s="228" t="s">
        <v>29</v>
      </c>
      <c r="C113" s="225"/>
      <c r="D113" s="219">
        <v>51</v>
      </c>
      <c r="E113" s="219">
        <v>1</v>
      </c>
      <c r="F113" s="219">
        <v>851</v>
      </c>
      <c r="G113" s="1" t="s">
        <v>6</v>
      </c>
      <c r="H113" s="1" t="s">
        <v>63</v>
      </c>
      <c r="I113" s="1" t="s">
        <v>216</v>
      </c>
      <c r="J113" s="1" t="s">
        <v>30</v>
      </c>
      <c r="K113" s="2">
        <f>'6 Вед15'!J88</f>
        <v>55000</v>
      </c>
      <c r="L113" s="92">
        <f>'6 Вед15'!K88</f>
        <v>0</v>
      </c>
      <c r="M113" s="2">
        <f t="shared" si="144"/>
        <v>55000</v>
      </c>
      <c r="N113" s="92">
        <f>'6 Вед15'!M88</f>
        <v>0</v>
      </c>
      <c r="O113" s="2">
        <f t="shared" si="138"/>
        <v>55000</v>
      </c>
      <c r="P113" s="92">
        <f>'6 Вед15'!O88</f>
        <v>0</v>
      </c>
      <c r="Q113" s="2">
        <f t="shared" ref="Q113" si="189">O113+P113</f>
        <v>55000</v>
      </c>
      <c r="R113" s="92">
        <f>'6 Вед15'!Q88</f>
        <v>0</v>
      </c>
      <c r="S113" s="2">
        <f t="shared" ref="S113" si="190">Q113+R113</f>
        <v>55000</v>
      </c>
    </row>
    <row r="114" spans="1:19" s="6" customFormat="1" ht="25.5" customHeight="1" x14ac:dyDescent="0.25">
      <c r="A114" s="524" t="s">
        <v>577</v>
      </c>
      <c r="B114" s="524"/>
      <c r="C114" s="304"/>
      <c r="D114" s="219">
        <v>51</v>
      </c>
      <c r="E114" s="219">
        <v>1</v>
      </c>
      <c r="F114" s="219">
        <v>851</v>
      </c>
      <c r="G114" s="1"/>
      <c r="H114" s="1"/>
      <c r="I114" s="1" t="s">
        <v>588</v>
      </c>
      <c r="J114" s="1"/>
      <c r="K114" s="2">
        <f>K115</f>
        <v>0</v>
      </c>
      <c r="L114" s="2">
        <f t="shared" ref="L114:O115" si="191">L115</f>
        <v>1300000</v>
      </c>
      <c r="M114" s="2">
        <f t="shared" si="191"/>
        <v>1300000</v>
      </c>
      <c r="N114" s="2">
        <f t="shared" si="191"/>
        <v>0</v>
      </c>
      <c r="O114" s="2">
        <f t="shared" si="191"/>
        <v>1300000</v>
      </c>
      <c r="P114" s="2">
        <f t="shared" ref="P114:R115" si="192">P115</f>
        <v>0</v>
      </c>
      <c r="Q114" s="2">
        <f t="shared" ref="Q114:S115" si="193">Q115</f>
        <v>1300000</v>
      </c>
      <c r="R114" s="2">
        <f t="shared" si="192"/>
        <v>0</v>
      </c>
      <c r="S114" s="2">
        <f t="shared" si="193"/>
        <v>1300000</v>
      </c>
    </row>
    <row r="115" spans="1:19" s="6" customFormat="1" ht="15.75" customHeight="1" x14ac:dyDescent="0.25">
      <c r="A115" s="304"/>
      <c r="B115" s="304" t="s">
        <v>31</v>
      </c>
      <c r="C115" s="304"/>
      <c r="D115" s="219">
        <v>51</v>
      </c>
      <c r="E115" s="219">
        <v>1</v>
      </c>
      <c r="F115" s="219">
        <v>851</v>
      </c>
      <c r="G115" s="1"/>
      <c r="H115" s="1"/>
      <c r="I115" s="1" t="s">
        <v>588</v>
      </c>
      <c r="J115" s="1" t="s">
        <v>32</v>
      </c>
      <c r="K115" s="2">
        <f>K116</f>
        <v>0</v>
      </c>
      <c r="L115" s="2">
        <f t="shared" si="191"/>
        <v>1300000</v>
      </c>
      <c r="M115" s="2">
        <f t="shared" si="191"/>
        <v>1300000</v>
      </c>
      <c r="N115" s="2">
        <f t="shared" si="191"/>
        <v>0</v>
      </c>
      <c r="O115" s="2">
        <f t="shared" si="191"/>
        <v>1300000</v>
      </c>
      <c r="P115" s="2">
        <f t="shared" si="192"/>
        <v>0</v>
      </c>
      <c r="Q115" s="2">
        <f t="shared" si="193"/>
        <v>1300000</v>
      </c>
      <c r="R115" s="2">
        <f t="shared" si="192"/>
        <v>0</v>
      </c>
      <c r="S115" s="2">
        <f t="shared" si="193"/>
        <v>1300000</v>
      </c>
    </row>
    <row r="116" spans="1:19" s="6" customFormat="1" ht="25.5" customHeight="1" x14ac:dyDescent="0.25">
      <c r="A116" s="304"/>
      <c r="B116" s="304" t="s">
        <v>250</v>
      </c>
      <c r="C116" s="304"/>
      <c r="D116" s="219">
        <v>51</v>
      </c>
      <c r="E116" s="219">
        <v>1</v>
      </c>
      <c r="F116" s="219">
        <v>851</v>
      </c>
      <c r="G116" s="1"/>
      <c r="H116" s="1"/>
      <c r="I116" s="1" t="s">
        <v>588</v>
      </c>
      <c r="J116" s="1" t="s">
        <v>65</v>
      </c>
      <c r="K116" s="2"/>
      <c r="L116" s="92">
        <f>'6 Вед15'!K91</f>
        <v>1300000</v>
      </c>
      <c r="M116" s="2">
        <f t="shared" si="144"/>
        <v>1300000</v>
      </c>
      <c r="N116" s="92">
        <f>'6 Вед15'!M91</f>
        <v>0</v>
      </c>
      <c r="O116" s="2">
        <f t="shared" si="138"/>
        <v>1300000</v>
      </c>
      <c r="P116" s="92">
        <f>'6 Вед15'!O91</f>
        <v>0</v>
      </c>
      <c r="Q116" s="2">
        <f t="shared" ref="Q116" si="194">O116+P116</f>
        <v>1300000</v>
      </c>
      <c r="R116" s="92">
        <f>'6 Вед15'!Q91</f>
        <v>0</v>
      </c>
      <c r="S116" s="2">
        <f t="shared" ref="S116" si="195">Q116+R116</f>
        <v>1300000</v>
      </c>
    </row>
    <row r="117" spans="1:19" s="13" customFormat="1" x14ac:dyDescent="0.25">
      <c r="A117" s="508" t="s">
        <v>502</v>
      </c>
      <c r="B117" s="508"/>
      <c r="C117" s="227"/>
      <c r="D117" s="16">
        <v>51</v>
      </c>
      <c r="E117" s="16">
        <v>2</v>
      </c>
      <c r="F117" s="16"/>
      <c r="G117" s="11"/>
      <c r="H117" s="20"/>
      <c r="I117" s="20"/>
      <c r="J117" s="11"/>
      <c r="K117" s="12">
        <f>K118</f>
        <v>14856640</v>
      </c>
      <c r="L117" s="12">
        <f t="shared" ref="L117:O117" si="196">L118</f>
        <v>605000</v>
      </c>
      <c r="M117" s="12">
        <f t="shared" si="196"/>
        <v>15461640</v>
      </c>
      <c r="N117" s="12">
        <f t="shared" si="196"/>
        <v>0</v>
      </c>
      <c r="O117" s="12">
        <f t="shared" si="196"/>
        <v>15461640</v>
      </c>
      <c r="P117" s="12">
        <f t="shared" ref="P117:R117" si="197">P118</f>
        <v>30000</v>
      </c>
      <c r="Q117" s="12">
        <f t="shared" ref="Q117:S117" si="198">Q118</f>
        <v>15491640</v>
      </c>
      <c r="R117" s="12">
        <f t="shared" si="197"/>
        <v>261321.25</v>
      </c>
      <c r="S117" s="12">
        <f t="shared" si="198"/>
        <v>15752961.25</v>
      </c>
    </row>
    <row r="118" spans="1:19" s="13" customFormat="1" x14ac:dyDescent="0.25">
      <c r="A118" s="508" t="s">
        <v>15</v>
      </c>
      <c r="B118" s="508"/>
      <c r="C118" s="227"/>
      <c r="D118" s="16">
        <v>51</v>
      </c>
      <c r="E118" s="16">
        <v>2</v>
      </c>
      <c r="F118" s="16">
        <v>851</v>
      </c>
      <c r="G118" s="11"/>
      <c r="H118" s="20"/>
      <c r="I118" s="20"/>
      <c r="J118" s="11"/>
      <c r="K118" s="12">
        <f>K119+K122+K125+K128+K132+K135+K138+K141</f>
        <v>14856640</v>
      </c>
      <c r="L118" s="12">
        <f t="shared" ref="L118:O118" si="199">L119+L122+L125+L128+L132+L135+L138+L141</f>
        <v>605000</v>
      </c>
      <c r="M118" s="12">
        <f t="shared" si="199"/>
        <v>15461640</v>
      </c>
      <c r="N118" s="12">
        <f t="shared" si="199"/>
        <v>0</v>
      </c>
      <c r="O118" s="12">
        <f t="shared" si="199"/>
        <v>15461640</v>
      </c>
      <c r="P118" s="12">
        <f t="shared" ref="P118" si="200">P119+P122+P125+P128+P132+P135+P138+P141</f>
        <v>30000</v>
      </c>
      <c r="Q118" s="12">
        <f>Q119+Q122+Q125+Q128+Q132+Q135+Q138+Q141+Q144</f>
        <v>15491640</v>
      </c>
      <c r="R118" s="12">
        <f t="shared" ref="R118:S118" si="201">R119+R122+R125+R128+R132+R135+R138+R141+R144</f>
        <v>261321.25</v>
      </c>
      <c r="S118" s="12">
        <f t="shared" si="201"/>
        <v>15752961.25</v>
      </c>
    </row>
    <row r="119" spans="1:19" s="6" customFormat="1" x14ac:dyDescent="0.25">
      <c r="A119" s="509" t="s">
        <v>90</v>
      </c>
      <c r="B119" s="509"/>
      <c r="C119" s="225"/>
      <c r="D119" s="219">
        <v>51</v>
      </c>
      <c r="E119" s="219">
        <v>2</v>
      </c>
      <c r="F119" s="219">
        <v>851</v>
      </c>
      <c r="G119" s="201" t="s">
        <v>84</v>
      </c>
      <c r="H119" s="201" t="s">
        <v>17</v>
      </c>
      <c r="I119" s="1" t="s">
        <v>221</v>
      </c>
      <c r="J119" s="1"/>
      <c r="K119" s="2">
        <f t="shared" ref="K119:S120" si="202">K120</f>
        <v>2580900</v>
      </c>
      <c r="L119" s="2">
        <f t="shared" si="202"/>
        <v>0</v>
      </c>
      <c r="M119" s="2">
        <f t="shared" si="202"/>
        <v>2580900</v>
      </c>
      <c r="N119" s="2">
        <f t="shared" si="202"/>
        <v>0</v>
      </c>
      <c r="O119" s="2">
        <f t="shared" si="202"/>
        <v>2580900</v>
      </c>
      <c r="P119" s="2">
        <f t="shared" si="202"/>
        <v>11130</v>
      </c>
      <c r="Q119" s="2">
        <f t="shared" si="202"/>
        <v>2592030</v>
      </c>
      <c r="R119" s="2">
        <f t="shared" si="202"/>
        <v>-11130</v>
      </c>
      <c r="S119" s="2">
        <f t="shared" si="202"/>
        <v>2580900</v>
      </c>
    </row>
    <row r="120" spans="1:19" s="6" customFormat="1" ht="24" x14ac:dyDescent="0.25">
      <c r="A120" s="227"/>
      <c r="B120" s="228" t="s">
        <v>91</v>
      </c>
      <c r="C120" s="227"/>
      <c r="D120" s="219">
        <v>51</v>
      </c>
      <c r="E120" s="219">
        <v>2</v>
      </c>
      <c r="F120" s="219">
        <v>851</v>
      </c>
      <c r="G120" s="1" t="s">
        <v>84</v>
      </c>
      <c r="H120" s="1" t="s">
        <v>17</v>
      </c>
      <c r="I120" s="1" t="s">
        <v>221</v>
      </c>
      <c r="J120" s="1" t="s">
        <v>87</v>
      </c>
      <c r="K120" s="2">
        <f t="shared" si="202"/>
        <v>2580900</v>
      </c>
      <c r="L120" s="2">
        <f t="shared" si="202"/>
        <v>0</v>
      </c>
      <c r="M120" s="2">
        <f t="shared" si="202"/>
        <v>2580900</v>
      </c>
      <c r="N120" s="2">
        <f t="shared" si="202"/>
        <v>0</v>
      </c>
      <c r="O120" s="2">
        <f t="shared" si="202"/>
        <v>2580900</v>
      </c>
      <c r="P120" s="2">
        <f t="shared" si="202"/>
        <v>11130</v>
      </c>
      <c r="Q120" s="2">
        <f t="shared" si="202"/>
        <v>2592030</v>
      </c>
      <c r="R120" s="2">
        <f t="shared" si="202"/>
        <v>-11130</v>
      </c>
      <c r="S120" s="2">
        <f t="shared" si="202"/>
        <v>2580900</v>
      </c>
    </row>
    <row r="121" spans="1:19" s="6" customFormat="1" ht="36" x14ac:dyDescent="0.25">
      <c r="A121" s="227"/>
      <c r="B121" s="228" t="s">
        <v>88</v>
      </c>
      <c r="C121" s="227"/>
      <c r="D121" s="219">
        <v>51</v>
      </c>
      <c r="E121" s="219">
        <v>2</v>
      </c>
      <c r="F121" s="219">
        <v>851</v>
      </c>
      <c r="G121" s="1" t="s">
        <v>84</v>
      </c>
      <c r="H121" s="1" t="s">
        <v>17</v>
      </c>
      <c r="I121" s="1" t="s">
        <v>221</v>
      </c>
      <c r="J121" s="1" t="s">
        <v>89</v>
      </c>
      <c r="K121" s="2">
        <f>'6 Вед15'!J149</f>
        <v>2580900</v>
      </c>
      <c r="L121" s="92">
        <f>'6 Вед15'!K149</f>
        <v>0</v>
      </c>
      <c r="M121" s="2">
        <f t="shared" si="144"/>
        <v>2580900</v>
      </c>
      <c r="N121" s="92">
        <f>'6 Вед15'!M149</f>
        <v>0</v>
      </c>
      <c r="O121" s="2">
        <f t="shared" si="138"/>
        <v>2580900</v>
      </c>
      <c r="P121" s="92">
        <f>'6 Вед15'!O149</f>
        <v>11130</v>
      </c>
      <c r="Q121" s="2">
        <f t="shared" ref="Q121" si="203">O121+P121</f>
        <v>2592030</v>
      </c>
      <c r="R121" s="92">
        <f>'6 Вед15'!Q149</f>
        <v>-11130</v>
      </c>
      <c r="S121" s="2">
        <f t="shared" ref="S121" si="204">Q121+R121</f>
        <v>2580900</v>
      </c>
    </row>
    <row r="122" spans="1:19" s="6" customFormat="1" ht="12" customHeight="1" x14ac:dyDescent="0.25">
      <c r="A122" s="509" t="s">
        <v>475</v>
      </c>
      <c r="B122" s="509"/>
      <c r="C122" s="225"/>
      <c r="D122" s="219">
        <v>51</v>
      </c>
      <c r="E122" s="219">
        <v>2</v>
      </c>
      <c r="F122" s="219">
        <v>851</v>
      </c>
      <c r="G122" s="1" t="s">
        <v>84</v>
      </c>
      <c r="H122" s="1" t="s">
        <v>17</v>
      </c>
      <c r="I122" s="63">
        <v>1055</v>
      </c>
      <c r="J122" s="1"/>
      <c r="K122" s="2">
        <f t="shared" ref="K122:S123" si="205">K123</f>
        <v>157900</v>
      </c>
      <c r="L122" s="2">
        <f t="shared" si="205"/>
        <v>0</v>
      </c>
      <c r="M122" s="2">
        <f t="shared" si="205"/>
        <v>157900</v>
      </c>
      <c r="N122" s="2">
        <f t="shared" si="205"/>
        <v>0</v>
      </c>
      <c r="O122" s="2">
        <f t="shared" si="205"/>
        <v>157900</v>
      </c>
      <c r="P122" s="2">
        <f t="shared" si="205"/>
        <v>0</v>
      </c>
      <c r="Q122" s="2">
        <f t="shared" si="205"/>
        <v>157900</v>
      </c>
      <c r="R122" s="2">
        <f t="shared" si="205"/>
        <v>0</v>
      </c>
      <c r="S122" s="2">
        <f t="shared" si="205"/>
        <v>157900</v>
      </c>
    </row>
    <row r="123" spans="1:19" s="6" customFormat="1" ht="24" x14ac:dyDescent="0.25">
      <c r="A123" s="225"/>
      <c r="B123" s="237" t="s">
        <v>91</v>
      </c>
      <c r="C123" s="225"/>
      <c r="D123" s="219">
        <v>51</v>
      </c>
      <c r="E123" s="219">
        <v>2</v>
      </c>
      <c r="F123" s="219">
        <v>851</v>
      </c>
      <c r="G123" s="1" t="s">
        <v>84</v>
      </c>
      <c r="H123" s="1" t="s">
        <v>17</v>
      </c>
      <c r="I123" s="63">
        <v>1055</v>
      </c>
      <c r="J123" s="15">
        <v>600</v>
      </c>
      <c r="K123" s="2">
        <f t="shared" si="205"/>
        <v>157900</v>
      </c>
      <c r="L123" s="2">
        <f t="shared" si="205"/>
        <v>0</v>
      </c>
      <c r="M123" s="2">
        <f t="shared" si="205"/>
        <v>157900</v>
      </c>
      <c r="N123" s="2">
        <f t="shared" si="205"/>
        <v>0</v>
      </c>
      <c r="O123" s="2">
        <f t="shared" si="205"/>
        <v>157900</v>
      </c>
      <c r="P123" s="2">
        <f t="shared" si="205"/>
        <v>0</v>
      </c>
      <c r="Q123" s="2">
        <f t="shared" si="205"/>
        <v>157900</v>
      </c>
      <c r="R123" s="2">
        <f t="shared" si="205"/>
        <v>0</v>
      </c>
      <c r="S123" s="2">
        <f t="shared" si="205"/>
        <v>157900</v>
      </c>
    </row>
    <row r="124" spans="1:19" s="6" customFormat="1" ht="36" x14ac:dyDescent="0.25">
      <c r="A124" s="225"/>
      <c r="B124" s="225" t="s">
        <v>88</v>
      </c>
      <c r="C124" s="225"/>
      <c r="D124" s="219">
        <v>51</v>
      </c>
      <c r="E124" s="219">
        <v>2</v>
      </c>
      <c r="F124" s="219">
        <v>851</v>
      </c>
      <c r="G124" s="1" t="s">
        <v>84</v>
      </c>
      <c r="H124" s="1" t="s">
        <v>17</v>
      </c>
      <c r="I124" s="63">
        <v>1055</v>
      </c>
      <c r="J124" s="15">
        <v>611</v>
      </c>
      <c r="K124" s="2">
        <f>'6 Вед15'!J152</f>
        <v>157900</v>
      </c>
      <c r="L124" s="92">
        <f>'6 Вед15'!K152</f>
        <v>0</v>
      </c>
      <c r="M124" s="2">
        <f t="shared" si="144"/>
        <v>157900</v>
      </c>
      <c r="N124" s="92">
        <f>'6 Вед15'!M152</f>
        <v>0</v>
      </c>
      <c r="O124" s="2">
        <f t="shared" si="138"/>
        <v>157900</v>
      </c>
      <c r="P124" s="92">
        <f>'6 Вед15'!O152</f>
        <v>0</v>
      </c>
      <c r="Q124" s="2">
        <f t="shared" ref="Q124" si="206">O124+P124</f>
        <v>157900</v>
      </c>
      <c r="R124" s="92">
        <f>'6 Вед15'!Q152</f>
        <v>0</v>
      </c>
      <c r="S124" s="2">
        <f t="shared" ref="S124" si="207">Q124+R124</f>
        <v>157900</v>
      </c>
    </row>
    <row r="125" spans="1:19" s="6" customFormat="1" ht="38.25" customHeight="1" x14ac:dyDescent="0.25">
      <c r="A125" s="509" t="s">
        <v>476</v>
      </c>
      <c r="B125" s="509"/>
      <c r="C125" s="225"/>
      <c r="D125" s="219">
        <v>51</v>
      </c>
      <c r="E125" s="219">
        <v>2</v>
      </c>
      <c r="F125" s="219">
        <v>851</v>
      </c>
      <c r="G125" s="1" t="s">
        <v>84</v>
      </c>
      <c r="H125" s="1" t="s">
        <v>17</v>
      </c>
      <c r="I125" s="63">
        <v>1057</v>
      </c>
      <c r="J125" s="15"/>
      <c r="K125" s="2">
        <f>K126</f>
        <v>8947680</v>
      </c>
      <c r="L125" s="2">
        <f t="shared" ref="L125:O126" si="208">L126</f>
        <v>0</v>
      </c>
      <c r="M125" s="2">
        <f t="shared" si="208"/>
        <v>8947680</v>
      </c>
      <c r="N125" s="2">
        <f t="shared" si="208"/>
        <v>0</v>
      </c>
      <c r="O125" s="2">
        <f t="shared" si="208"/>
        <v>8947680</v>
      </c>
      <c r="P125" s="2">
        <f t="shared" ref="P125:R126" si="209">P126</f>
        <v>20795</v>
      </c>
      <c r="Q125" s="2">
        <f t="shared" ref="Q125:S126" si="210">Q126</f>
        <v>8968475</v>
      </c>
      <c r="R125" s="2">
        <f t="shared" si="209"/>
        <v>-51675</v>
      </c>
      <c r="S125" s="2">
        <f t="shared" si="210"/>
        <v>8916800</v>
      </c>
    </row>
    <row r="126" spans="1:19" s="6" customFormat="1" ht="24" x14ac:dyDescent="0.25">
      <c r="A126" s="225"/>
      <c r="B126" s="237" t="s">
        <v>91</v>
      </c>
      <c r="C126" s="225"/>
      <c r="D126" s="219">
        <v>51</v>
      </c>
      <c r="E126" s="219">
        <v>2</v>
      </c>
      <c r="F126" s="219">
        <v>851</v>
      </c>
      <c r="G126" s="1" t="s">
        <v>84</v>
      </c>
      <c r="H126" s="1" t="s">
        <v>17</v>
      </c>
      <c r="I126" s="63">
        <v>1057</v>
      </c>
      <c r="J126" s="15">
        <v>600</v>
      </c>
      <c r="K126" s="2">
        <f>K127</f>
        <v>8947680</v>
      </c>
      <c r="L126" s="2">
        <f t="shared" si="208"/>
        <v>0</v>
      </c>
      <c r="M126" s="2">
        <f t="shared" si="208"/>
        <v>8947680</v>
      </c>
      <c r="N126" s="2">
        <f t="shared" si="208"/>
        <v>0</v>
      </c>
      <c r="O126" s="2">
        <f t="shared" si="208"/>
        <v>8947680</v>
      </c>
      <c r="P126" s="2">
        <f t="shared" si="209"/>
        <v>20795</v>
      </c>
      <c r="Q126" s="2">
        <f t="shared" si="210"/>
        <v>8968475</v>
      </c>
      <c r="R126" s="2">
        <f t="shared" si="209"/>
        <v>-51675</v>
      </c>
      <c r="S126" s="2">
        <f t="shared" si="210"/>
        <v>8916800</v>
      </c>
    </row>
    <row r="127" spans="1:19" s="6" customFormat="1" ht="36" x14ac:dyDescent="0.25">
      <c r="A127" s="225"/>
      <c r="B127" s="225" t="s">
        <v>88</v>
      </c>
      <c r="C127" s="225"/>
      <c r="D127" s="219">
        <v>51</v>
      </c>
      <c r="E127" s="219">
        <v>2</v>
      </c>
      <c r="F127" s="219">
        <v>851</v>
      </c>
      <c r="G127" s="1" t="s">
        <v>84</v>
      </c>
      <c r="H127" s="1" t="s">
        <v>17</v>
      </c>
      <c r="I127" s="63">
        <v>1057</v>
      </c>
      <c r="J127" s="15">
        <v>611</v>
      </c>
      <c r="K127" s="2">
        <f>'6 Вед15'!J155</f>
        <v>8947680</v>
      </c>
      <c r="L127" s="92">
        <f>'6 Вед15'!K155</f>
        <v>0</v>
      </c>
      <c r="M127" s="2">
        <f t="shared" si="144"/>
        <v>8947680</v>
      </c>
      <c r="N127" s="92">
        <f>'6 Вед15'!M155</f>
        <v>0</v>
      </c>
      <c r="O127" s="2">
        <f t="shared" si="138"/>
        <v>8947680</v>
      </c>
      <c r="P127" s="92">
        <f>'6 Вед15'!O155</f>
        <v>20795</v>
      </c>
      <c r="Q127" s="2">
        <f t="shared" ref="Q127" si="211">O127+P127</f>
        <v>8968475</v>
      </c>
      <c r="R127" s="92">
        <f>'6 Вед15'!Q155</f>
        <v>-51675</v>
      </c>
      <c r="S127" s="2">
        <f t="shared" ref="S127" si="212">Q127+R127</f>
        <v>8916800</v>
      </c>
    </row>
    <row r="128" spans="1:19" s="6" customFormat="1" ht="38.25" customHeight="1" x14ac:dyDescent="0.25">
      <c r="A128" s="509" t="s">
        <v>477</v>
      </c>
      <c r="B128" s="509"/>
      <c r="C128" s="225"/>
      <c r="D128" s="219">
        <v>51</v>
      </c>
      <c r="E128" s="219">
        <v>2</v>
      </c>
      <c r="F128" s="219">
        <v>851</v>
      </c>
      <c r="G128" s="1" t="s">
        <v>84</v>
      </c>
      <c r="H128" s="1" t="s">
        <v>17</v>
      </c>
      <c r="I128" s="63">
        <v>1058</v>
      </c>
      <c r="J128" s="15"/>
      <c r="K128" s="2">
        <f>K129</f>
        <v>2860620</v>
      </c>
      <c r="L128" s="2">
        <f t="shared" ref="L128:O129" si="213">L129</f>
        <v>0</v>
      </c>
      <c r="M128" s="2">
        <f t="shared" si="213"/>
        <v>2860620</v>
      </c>
      <c r="N128" s="2">
        <f t="shared" si="213"/>
        <v>0</v>
      </c>
      <c r="O128" s="2">
        <f t="shared" si="213"/>
        <v>2860620</v>
      </c>
      <c r="P128" s="2">
        <f t="shared" ref="P128:R129" si="214">P129</f>
        <v>-8745</v>
      </c>
      <c r="Q128" s="2">
        <f t="shared" ref="Q128:S128" si="215">Q129</f>
        <v>2851875</v>
      </c>
      <c r="R128" s="2">
        <f t="shared" si="214"/>
        <v>-35775</v>
      </c>
      <c r="S128" s="2">
        <f t="shared" si="215"/>
        <v>2816100</v>
      </c>
    </row>
    <row r="129" spans="1:19" s="6" customFormat="1" ht="24" x14ac:dyDescent="0.25">
      <c r="A129" s="225"/>
      <c r="B129" s="237" t="s">
        <v>91</v>
      </c>
      <c r="C129" s="225"/>
      <c r="D129" s="219">
        <v>51</v>
      </c>
      <c r="E129" s="219">
        <v>2</v>
      </c>
      <c r="F129" s="219">
        <v>851</v>
      </c>
      <c r="G129" s="1" t="s">
        <v>84</v>
      </c>
      <c r="H129" s="1" t="s">
        <v>17</v>
      </c>
      <c r="I129" s="63">
        <v>1058</v>
      </c>
      <c r="J129" s="15">
        <v>600</v>
      </c>
      <c r="K129" s="2">
        <f>K130</f>
        <v>2860620</v>
      </c>
      <c r="L129" s="2">
        <f t="shared" si="213"/>
        <v>0</v>
      </c>
      <c r="M129" s="2">
        <f t="shared" si="213"/>
        <v>2860620</v>
      </c>
      <c r="N129" s="2">
        <f t="shared" si="213"/>
        <v>0</v>
      </c>
      <c r="O129" s="2">
        <f t="shared" si="213"/>
        <v>2860620</v>
      </c>
      <c r="P129" s="2">
        <f t="shared" si="214"/>
        <v>-8745</v>
      </c>
      <c r="Q129" s="2">
        <f>Q130+Q131</f>
        <v>2851875</v>
      </c>
      <c r="R129" s="2">
        <f t="shared" ref="R129:S129" si="216">R130+R131</f>
        <v>-35775</v>
      </c>
      <c r="S129" s="2">
        <f t="shared" si="216"/>
        <v>2816100</v>
      </c>
    </row>
    <row r="130" spans="1:19" s="6" customFormat="1" ht="36" x14ac:dyDescent="0.25">
      <c r="A130" s="225"/>
      <c r="B130" s="225" t="s">
        <v>88</v>
      </c>
      <c r="C130" s="225"/>
      <c r="D130" s="219">
        <v>51</v>
      </c>
      <c r="E130" s="219">
        <v>2</v>
      </c>
      <c r="F130" s="219">
        <v>851</v>
      </c>
      <c r="G130" s="1" t="s">
        <v>84</v>
      </c>
      <c r="H130" s="1" t="s">
        <v>17</v>
      </c>
      <c r="I130" s="63">
        <v>1058</v>
      </c>
      <c r="J130" s="15">
        <v>611</v>
      </c>
      <c r="K130" s="2">
        <f>'6 Вед15'!J158</f>
        <v>2860620</v>
      </c>
      <c r="L130" s="92">
        <f>'6 Вед15'!K158</f>
        <v>0</v>
      </c>
      <c r="M130" s="2">
        <f t="shared" si="144"/>
        <v>2860620</v>
      </c>
      <c r="N130" s="92">
        <f>'6 Вед15'!M158</f>
        <v>0</v>
      </c>
      <c r="O130" s="2">
        <f t="shared" si="138"/>
        <v>2860620</v>
      </c>
      <c r="P130" s="92">
        <f>'6 Вед15'!O158</f>
        <v>-8745</v>
      </c>
      <c r="Q130" s="2">
        <f t="shared" ref="Q130" si="217">O130+P130</f>
        <v>2851875</v>
      </c>
      <c r="R130" s="92">
        <f>'6 Вед15'!Q158</f>
        <v>-92850</v>
      </c>
      <c r="S130" s="2">
        <f t="shared" ref="S130:S131" si="218">Q130+R130</f>
        <v>2759025</v>
      </c>
    </row>
    <row r="131" spans="1:19" s="6" customFormat="1" x14ac:dyDescent="0.25">
      <c r="A131" s="440"/>
      <c r="B131" s="217" t="s">
        <v>119</v>
      </c>
      <c r="C131" s="440"/>
      <c r="D131" s="219">
        <v>51</v>
      </c>
      <c r="E131" s="219">
        <v>2</v>
      </c>
      <c r="F131" s="219">
        <v>851</v>
      </c>
      <c r="G131" s="1" t="s">
        <v>84</v>
      </c>
      <c r="H131" s="1" t="s">
        <v>17</v>
      </c>
      <c r="I131" s="63">
        <v>1058</v>
      </c>
      <c r="J131" s="15">
        <v>612</v>
      </c>
      <c r="K131" s="2"/>
      <c r="L131" s="92"/>
      <c r="M131" s="2"/>
      <c r="N131" s="92"/>
      <c r="O131" s="2"/>
      <c r="P131" s="92"/>
      <c r="Q131" s="2"/>
      <c r="R131" s="92">
        <f>'6 Вед15'!Q159</f>
        <v>57075</v>
      </c>
      <c r="S131" s="2">
        <f t="shared" si="218"/>
        <v>57075</v>
      </c>
    </row>
    <row r="132" spans="1:19" s="6" customFormat="1" ht="36.75" customHeight="1" x14ac:dyDescent="0.25">
      <c r="A132" s="509" t="s">
        <v>86</v>
      </c>
      <c r="B132" s="509"/>
      <c r="C132" s="225"/>
      <c r="D132" s="219">
        <v>51</v>
      </c>
      <c r="E132" s="219">
        <v>2</v>
      </c>
      <c r="F132" s="219">
        <v>851</v>
      </c>
      <c r="G132" s="1" t="s">
        <v>84</v>
      </c>
      <c r="H132" s="1" t="s">
        <v>17</v>
      </c>
      <c r="I132" s="63">
        <v>1421</v>
      </c>
      <c r="J132" s="1"/>
      <c r="K132" s="2">
        <f t="shared" ref="K132:S133" si="219">K133</f>
        <v>9540</v>
      </c>
      <c r="L132" s="2">
        <f t="shared" si="219"/>
        <v>0</v>
      </c>
      <c r="M132" s="2">
        <f t="shared" si="219"/>
        <v>9540</v>
      </c>
      <c r="N132" s="2">
        <f t="shared" si="219"/>
        <v>0</v>
      </c>
      <c r="O132" s="2">
        <f t="shared" si="219"/>
        <v>9540</v>
      </c>
      <c r="P132" s="2">
        <f t="shared" si="219"/>
        <v>-3180</v>
      </c>
      <c r="Q132" s="2">
        <f t="shared" si="219"/>
        <v>6360</v>
      </c>
      <c r="R132" s="2">
        <f t="shared" si="219"/>
        <v>98580</v>
      </c>
      <c r="S132" s="2">
        <f t="shared" si="219"/>
        <v>104940</v>
      </c>
    </row>
    <row r="133" spans="1:19" s="6" customFormat="1" ht="24" customHeight="1" x14ac:dyDescent="0.25">
      <c r="A133" s="225"/>
      <c r="B133" s="237" t="s">
        <v>91</v>
      </c>
      <c r="C133" s="225"/>
      <c r="D133" s="219">
        <v>51</v>
      </c>
      <c r="E133" s="219">
        <v>2</v>
      </c>
      <c r="F133" s="219">
        <v>851</v>
      </c>
      <c r="G133" s="1" t="s">
        <v>84</v>
      </c>
      <c r="H133" s="1" t="s">
        <v>17</v>
      </c>
      <c r="I133" s="63">
        <v>1421</v>
      </c>
      <c r="J133" s="1" t="s">
        <v>87</v>
      </c>
      <c r="K133" s="2">
        <f t="shared" si="219"/>
        <v>9540</v>
      </c>
      <c r="L133" s="2">
        <f t="shared" si="219"/>
        <v>0</v>
      </c>
      <c r="M133" s="2">
        <f t="shared" si="219"/>
        <v>9540</v>
      </c>
      <c r="N133" s="2">
        <f t="shared" si="219"/>
        <v>0</v>
      </c>
      <c r="O133" s="2">
        <f t="shared" si="219"/>
        <v>9540</v>
      </c>
      <c r="P133" s="2">
        <f t="shared" si="219"/>
        <v>-3180</v>
      </c>
      <c r="Q133" s="2">
        <f t="shared" si="219"/>
        <v>6360</v>
      </c>
      <c r="R133" s="2">
        <f t="shared" si="219"/>
        <v>98580</v>
      </c>
      <c r="S133" s="2">
        <f t="shared" si="219"/>
        <v>104940</v>
      </c>
    </row>
    <row r="134" spans="1:19" s="6" customFormat="1" ht="36" x14ac:dyDescent="0.25">
      <c r="A134" s="225"/>
      <c r="B134" s="225" t="s">
        <v>88</v>
      </c>
      <c r="C134" s="225"/>
      <c r="D134" s="219">
        <v>51</v>
      </c>
      <c r="E134" s="219">
        <v>2</v>
      </c>
      <c r="F134" s="219">
        <v>851</v>
      </c>
      <c r="G134" s="1" t="s">
        <v>84</v>
      </c>
      <c r="H134" s="1" t="s">
        <v>17</v>
      </c>
      <c r="I134" s="63">
        <v>1421</v>
      </c>
      <c r="J134" s="1" t="s">
        <v>89</v>
      </c>
      <c r="K134" s="2">
        <f>'6 Вед15'!J162</f>
        <v>9540</v>
      </c>
      <c r="L134" s="92">
        <f>'6 Вед15'!K162</f>
        <v>0</v>
      </c>
      <c r="M134" s="2">
        <f t="shared" si="144"/>
        <v>9540</v>
      </c>
      <c r="N134" s="92">
        <f>'6 Вед15'!M162</f>
        <v>0</v>
      </c>
      <c r="O134" s="2">
        <f t="shared" si="138"/>
        <v>9540</v>
      </c>
      <c r="P134" s="92">
        <f>'6 Вед15'!O162</f>
        <v>-3180</v>
      </c>
      <c r="Q134" s="2">
        <f t="shared" ref="Q134" si="220">O134+P134</f>
        <v>6360</v>
      </c>
      <c r="R134" s="92">
        <f>'6 Вед15'!Q162</f>
        <v>98580</v>
      </c>
      <c r="S134" s="2">
        <f t="shared" ref="S134" si="221">Q134+R134</f>
        <v>104940</v>
      </c>
    </row>
    <row r="135" spans="1:19" s="6" customFormat="1" ht="27" customHeight="1" x14ac:dyDescent="0.25">
      <c r="A135" s="509" t="s">
        <v>92</v>
      </c>
      <c r="B135" s="509"/>
      <c r="C135" s="225"/>
      <c r="D135" s="219">
        <v>51</v>
      </c>
      <c r="E135" s="219">
        <v>2</v>
      </c>
      <c r="F135" s="219">
        <v>851</v>
      </c>
      <c r="G135" s="1" t="s">
        <v>84</v>
      </c>
      <c r="H135" s="1" t="s">
        <v>17</v>
      </c>
      <c r="I135" s="1" t="s">
        <v>222</v>
      </c>
      <c r="J135" s="1"/>
      <c r="K135" s="2">
        <f t="shared" ref="K135:S136" si="222">K136</f>
        <v>100000</v>
      </c>
      <c r="L135" s="2">
        <f t="shared" si="222"/>
        <v>0</v>
      </c>
      <c r="M135" s="2">
        <f t="shared" si="222"/>
        <v>100000</v>
      </c>
      <c r="N135" s="2">
        <f t="shared" si="222"/>
        <v>0</v>
      </c>
      <c r="O135" s="2">
        <f t="shared" si="222"/>
        <v>100000</v>
      </c>
      <c r="P135" s="2">
        <f t="shared" si="222"/>
        <v>0</v>
      </c>
      <c r="Q135" s="2">
        <f t="shared" si="222"/>
        <v>100000</v>
      </c>
      <c r="R135" s="2">
        <f t="shared" si="222"/>
        <v>0</v>
      </c>
      <c r="S135" s="2">
        <f t="shared" si="222"/>
        <v>100000</v>
      </c>
    </row>
    <row r="136" spans="1:19" s="6" customFormat="1" ht="18" customHeight="1" x14ac:dyDescent="0.25">
      <c r="A136" s="15"/>
      <c r="B136" s="228" t="s">
        <v>27</v>
      </c>
      <c r="C136" s="224"/>
      <c r="D136" s="219">
        <v>51</v>
      </c>
      <c r="E136" s="219">
        <v>2</v>
      </c>
      <c r="F136" s="219">
        <v>851</v>
      </c>
      <c r="G136" s="1" t="s">
        <v>84</v>
      </c>
      <c r="H136" s="1" t="s">
        <v>17</v>
      </c>
      <c r="I136" s="1" t="s">
        <v>222</v>
      </c>
      <c r="J136" s="1" t="s">
        <v>28</v>
      </c>
      <c r="K136" s="2">
        <f t="shared" si="222"/>
        <v>100000</v>
      </c>
      <c r="L136" s="2">
        <f t="shared" si="222"/>
        <v>0</v>
      </c>
      <c r="M136" s="2">
        <f t="shared" si="222"/>
        <v>100000</v>
      </c>
      <c r="N136" s="2">
        <f t="shared" si="222"/>
        <v>0</v>
      </c>
      <c r="O136" s="2">
        <f t="shared" si="222"/>
        <v>100000</v>
      </c>
      <c r="P136" s="2">
        <f t="shared" si="222"/>
        <v>0</v>
      </c>
      <c r="Q136" s="2">
        <f t="shared" si="222"/>
        <v>100000</v>
      </c>
      <c r="R136" s="2">
        <f t="shared" si="222"/>
        <v>0</v>
      </c>
      <c r="S136" s="2">
        <f t="shared" si="222"/>
        <v>100000</v>
      </c>
    </row>
    <row r="137" spans="1:19" s="6" customFormat="1" ht="25.5" customHeight="1" x14ac:dyDescent="0.25">
      <c r="A137" s="15"/>
      <c r="B137" s="228" t="s">
        <v>29</v>
      </c>
      <c r="C137" s="225"/>
      <c r="D137" s="219">
        <v>51</v>
      </c>
      <c r="E137" s="219">
        <v>2</v>
      </c>
      <c r="F137" s="219">
        <v>851</v>
      </c>
      <c r="G137" s="1" t="s">
        <v>84</v>
      </c>
      <c r="H137" s="1" t="s">
        <v>17</v>
      </c>
      <c r="I137" s="1" t="s">
        <v>222</v>
      </c>
      <c r="J137" s="1" t="s">
        <v>30</v>
      </c>
      <c r="K137" s="2">
        <f>'6 Вед15'!J165</f>
        <v>100000</v>
      </c>
      <c r="L137" s="92">
        <f>'6 Вед15'!K165</f>
        <v>0</v>
      </c>
      <c r="M137" s="2">
        <f t="shared" si="144"/>
        <v>100000</v>
      </c>
      <c r="N137" s="92">
        <f>'6 Вед15'!M165</f>
        <v>0</v>
      </c>
      <c r="O137" s="2">
        <f t="shared" si="138"/>
        <v>100000</v>
      </c>
      <c r="P137" s="92">
        <f>'6 Вед15'!O165</f>
        <v>0</v>
      </c>
      <c r="Q137" s="2">
        <f t="shared" ref="Q137" si="223">O137+P137</f>
        <v>100000</v>
      </c>
      <c r="R137" s="92">
        <f>'6 Вед15'!Q165</f>
        <v>0</v>
      </c>
      <c r="S137" s="2">
        <f t="shared" ref="S137" si="224">Q137+R137</f>
        <v>100000</v>
      </c>
    </row>
    <row r="138" spans="1:19" s="6" customFormat="1" ht="15" customHeight="1" x14ac:dyDescent="0.25">
      <c r="A138" s="509" t="s">
        <v>93</v>
      </c>
      <c r="B138" s="509"/>
      <c r="C138" s="225"/>
      <c r="D138" s="219">
        <v>51</v>
      </c>
      <c r="E138" s="219">
        <v>2</v>
      </c>
      <c r="F138" s="219">
        <v>851</v>
      </c>
      <c r="G138" s="1" t="s">
        <v>84</v>
      </c>
      <c r="H138" s="1" t="s">
        <v>17</v>
      </c>
      <c r="I138" s="1" t="s">
        <v>223</v>
      </c>
      <c r="J138" s="1"/>
      <c r="K138" s="2">
        <f>K139</f>
        <v>200000</v>
      </c>
      <c r="L138" s="2">
        <f t="shared" ref="L138:O138" si="225">L139</f>
        <v>605000</v>
      </c>
      <c r="M138" s="2">
        <f t="shared" si="225"/>
        <v>805000</v>
      </c>
      <c r="N138" s="2">
        <f t="shared" si="225"/>
        <v>0</v>
      </c>
      <c r="O138" s="2">
        <f t="shared" si="225"/>
        <v>805000</v>
      </c>
      <c r="P138" s="2">
        <f t="shared" ref="P138:R138" si="226">P139</f>
        <v>10000</v>
      </c>
      <c r="Q138" s="2">
        <f t="shared" ref="Q138:S138" si="227">Q139</f>
        <v>815000</v>
      </c>
      <c r="R138" s="2">
        <f t="shared" si="226"/>
        <v>0</v>
      </c>
      <c r="S138" s="2">
        <f t="shared" si="227"/>
        <v>815000</v>
      </c>
    </row>
    <row r="139" spans="1:19" s="6" customFormat="1" ht="17.25" customHeight="1" x14ac:dyDescent="0.25">
      <c r="A139" s="15"/>
      <c r="B139" s="228" t="s">
        <v>27</v>
      </c>
      <c r="C139" s="224"/>
      <c r="D139" s="219">
        <v>51</v>
      </c>
      <c r="E139" s="219">
        <v>2</v>
      </c>
      <c r="F139" s="219">
        <v>851</v>
      </c>
      <c r="G139" s="1" t="s">
        <v>84</v>
      </c>
      <c r="H139" s="1" t="s">
        <v>17</v>
      </c>
      <c r="I139" s="1" t="s">
        <v>223</v>
      </c>
      <c r="J139" s="1" t="s">
        <v>28</v>
      </c>
      <c r="K139" s="2">
        <f t="shared" ref="K139:S139" si="228">K140</f>
        <v>200000</v>
      </c>
      <c r="L139" s="2">
        <f t="shared" si="228"/>
        <v>605000</v>
      </c>
      <c r="M139" s="2">
        <f t="shared" si="228"/>
        <v>805000</v>
      </c>
      <c r="N139" s="2">
        <f t="shared" si="228"/>
        <v>0</v>
      </c>
      <c r="O139" s="2">
        <f t="shared" si="228"/>
        <v>805000</v>
      </c>
      <c r="P139" s="2">
        <f t="shared" si="228"/>
        <v>10000</v>
      </c>
      <c r="Q139" s="2">
        <f t="shared" si="228"/>
        <v>815000</v>
      </c>
      <c r="R139" s="2">
        <f t="shared" si="228"/>
        <v>0</v>
      </c>
      <c r="S139" s="2">
        <f t="shared" si="228"/>
        <v>815000</v>
      </c>
    </row>
    <row r="140" spans="1:19" s="6" customFormat="1" ht="27" customHeight="1" x14ac:dyDescent="0.25">
      <c r="A140" s="15"/>
      <c r="B140" s="228" t="s">
        <v>29</v>
      </c>
      <c r="C140" s="225"/>
      <c r="D140" s="219">
        <v>51</v>
      </c>
      <c r="E140" s="219">
        <v>2</v>
      </c>
      <c r="F140" s="219">
        <v>851</v>
      </c>
      <c r="G140" s="1" t="s">
        <v>84</v>
      </c>
      <c r="H140" s="1" t="s">
        <v>17</v>
      </c>
      <c r="I140" s="1" t="s">
        <v>223</v>
      </c>
      <c r="J140" s="1" t="s">
        <v>30</v>
      </c>
      <c r="K140" s="2">
        <f>'6 Вед15'!J168</f>
        <v>200000</v>
      </c>
      <c r="L140" s="92">
        <f>'6 Вед15'!K168</f>
        <v>605000</v>
      </c>
      <c r="M140" s="2">
        <f t="shared" si="144"/>
        <v>805000</v>
      </c>
      <c r="N140" s="92">
        <f>'6 Вед15'!M168</f>
        <v>0</v>
      </c>
      <c r="O140" s="2">
        <f t="shared" si="138"/>
        <v>805000</v>
      </c>
      <c r="P140" s="92">
        <f>'6 Вед15'!O168</f>
        <v>10000</v>
      </c>
      <c r="Q140" s="2">
        <f t="shared" ref="Q140:Q143" si="229">O140+P140</f>
        <v>815000</v>
      </c>
      <c r="R140" s="92">
        <f>'6 Вед15'!Q168</f>
        <v>0</v>
      </c>
      <c r="S140" s="2">
        <f t="shared" ref="S140:S143" si="230">Q140+R140</f>
        <v>815000</v>
      </c>
    </row>
    <row r="141" spans="1:19" s="6" customFormat="1" ht="27" customHeight="1" x14ac:dyDescent="0.25">
      <c r="A141" s="509" t="s">
        <v>592</v>
      </c>
      <c r="B141" s="509"/>
      <c r="C141" s="315"/>
      <c r="D141" s="219">
        <v>51</v>
      </c>
      <c r="E141" s="219">
        <v>2</v>
      </c>
      <c r="F141" s="219">
        <v>851</v>
      </c>
      <c r="G141" s="1"/>
      <c r="H141" s="1"/>
      <c r="I141" s="1" t="s">
        <v>594</v>
      </c>
      <c r="J141" s="1"/>
      <c r="K141" s="2">
        <f>K142</f>
        <v>0</v>
      </c>
      <c r="L141" s="2">
        <f t="shared" ref="L141:R145" si="231">L142</f>
        <v>0</v>
      </c>
      <c r="M141" s="2">
        <f t="shared" si="144"/>
        <v>0</v>
      </c>
      <c r="N141" s="2">
        <f t="shared" si="231"/>
        <v>0</v>
      </c>
      <c r="O141" s="2">
        <f t="shared" si="138"/>
        <v>0</v>
      </c>
      <c r="P141" s="2">
        <f t="shared" si="231"/>
        <v>0</v>
      </c>
      <c r="Q141" s="2">
        <f t="shared" si="229"/>
        <v>0</v>
      </c>
      <c r="R141" s="2">
        <f t="shared" si="231"/>
        <v>0</v>
      </c>
      <c r="S141" s="2">
        <f t="shared" si="230"/>
        <v>0</v>
      </c>
    </row>
    <row r="142" spans="1:19" s="6" customFormat="1" ht="15.75" customHeight="1" x14ac:dyDescent="0.25">
      <c r="A142" s="317"/>
      <c r="B142" s="509" t="s">
        <v>145</v>
      </c>
      <c r="C142" s="509"/>
      <c r="D142" s="219">
        <v>51</v>
      </c>
      <c r="E142" s="219">
        <v>2</v>
      </c>
      <c r="F142" s="219">
        <v>851</v>
      </c>
      <c r="G142" s="1"/>
      <c r="H142" s="1"/>
      <c r="I142" s="1" t="s">
        <v>594</v>
      </c>
      <c r="J142" s="1" t="s">
        <v>146</v>
      </c>
      <c r="K142" s="2">
        <f>K143</f>
        <v>0</v>
      </c>
      <c r="L142" s="2">
        <f t="shared" si="231"/>
        <v>0</v>
      </c>
      <c r="M142" s="2">
        <f t="shared" si="144"/>
        <v>0</v>
      </c>
      <c r="N142" s="2">
        <f t="shared" si="231"/>
        <v>0</v>
      </c>
      <c r="O142" s="2">
        <f t="shared" si="138"/>
        <v>0</v>
      </c>
      <c r="P142" s="2">
        <f t="shared" si="231"/>
        <v>0</v>
      </c>
      <c r="Q142" s="2">
        <f t="shared" si="229"/>
        <v>0</v>
      </c>
      <c r="R142" s="2">
        <f t="shared" si="231"/>
        <v>0</v>
      </c>
      <c r="S142" s="2">
        <f t="shared" si="230"/>
        <v>0</v>
      </c>
    </row>
    <row r="143" spans="1:19" s="6" customFormat="1" ht="15.75" customHeight="1" x14ac:dyDescent="0.25">
      <c r="A143" s="317"/>
      <c r="B143" s="314" t="s">
        <v>157</v>
      </c>
      <c r="C143" s="316"/>
      <c r="D143" s="219">
        <v>51</v>
      </c>
      <c r="E143" s="219">
        <v>2</v>
      </c>
      <c r="F143" s="219">
        <v>851</v>
      </c>
      <c r="G143" s="1"/>
      <c r="H143" s="1"/>
      <c r="I143" s="1" t="s">
        <v>594</v>
      </c>
      <c r="J143" s="1" t="s">
        <v>158</v>
      </c>
      <c r="K143" s="2"/>
      <c r="L143" s="92">
        <f>'6 Вед15'!K342</f>
        <v>0</v>
      </c>
      <c r="M143" s="2">
        <f t="shared" si="144"/>
        <v>0</v>
      </c>
      <c r="N143" s="92">
        <f>'6 Вед15'!M342</f>
        <v>0</v>
      </c>
      <c r="O143" s="2">
        <f t="shared" si="138"/>
        <v>0</v>
      </c>
      <c r="P143" s="92">
        <f>'6 Вед15'!O342</f>
        <v>0</v>
      </c>
      <c r="Q143" s="2">
        <f t="shared" si="229"/>
        <v>0</v>
      </c>
      <c r="R143" s="92">
        <f>'6 Вед15'!Q342</f>
        <v>0</v>
      </c>
      <c r="S143" s="2">
        <f t="shared" si="230"/>
        <v>0</v>
      </c>
    </row>
    <row r="144" spans="1:19" s="6" customFormat="1" ht="58.5" customHeight="1" x14ac:dyDescent="0.25">
      <c r="A144" s="509" t="s">
        <v>672</v>
      </c>
      <c r="B144" s="509"/>
      <c r="C144" s="442"/>
      <c r="D144" s="219">
        <v>51</v>
      </c>
      <c r="E144" s="219">
        <v>2</v>
      </c>
      <c r="F144" s="219">
        <v>851</v>
      </c>
      <c r="G144" s="1"/>
      <c r="H144" s="1"/>
      <c r="I144" s="1" t="s">
        <v>676</v>
      </c>
      <c r="J144" s="1"/>
      <c r="K144" s="2"/>
      <c r="L144" s="92"/>
      <c r="M144" s="2"/>
      <c r="N144" s="92"/>
      <c r="O144" s="2"/>
      <c r="P144" s="92"/>
      <c r="Q144" s="2">
        <f t="shared" ref="Q144:Q146" si="232">O144+P144</f>
        <v>0</v>
      </c>
      <c r="R144" s="2">
        <f t="shared" si="231"/>
        <v>261321.25</v>
      </c>
      <c r="S144" s="2">
        <f t="shared" ref="S144:S146" si="233">Q144+R144</f>
        <v>261321.25</v>
      </c>
    </row>
    <row r="145" spans="1:19" s="6" customFormat="1" ht="15.75" customHeight="1" x14ac:dyDescent="0.25">
      <c r="A145" s="449"/>
      <c r="B145" s="450" t="s">
        <v>91</v>
      </c>
      <c r="C145" s="442"/>
      <c r="D145" s="219">
        <v>51</v>
      </c>
      <c r="E145" s="219">
        <v>2</v>
      </c>
      <c r="F145" s="219">
        <v>851</v>
      </c>
      <c r="G145" s="1"/>
      <c r="H145" s="1"/>
      <c r="I145" s="1" t="s">
        <v>676</v>
      </c>
      <c r="J145" s="1" t="s">
        <v>87</v>
      </c>
      <c r="K145" s="2"/>
      <c r="L145" s="92"/>
      <c r="M145" s="2"/>
      <c r="N145" s="92"/>
      <c r="O145" s="2"/>
      <c r="P145" s="92"/>
      <c r="Q145" s="2">
        <f t="shared" si="232"/>
        <v>0</v>
      </c>
      <c r="R145" s="2">
        <f t="shared" si="231"/>
        <v>261321.25</v>
      </c>
      <c r="S145" s="2">
        <f t="shared" si="233"/>
        <v>261321.25</v>
      </c>
    </row>
    <row r="146" spans="1:19" s="6" customFormat="1" ht="15.75" customHeight="1" x14ac:dyDescent="0.25">
      <c r="A146" s="15"/>
      <c r="B146" s="217" t="s">
        <v>119</v>
      </c>
      <c r="C146" s="442"/>
      <c r="D146" s="219">
        <v>51</v>
      </c>
      <c r="E146" s="219">
        <v>2</v>
      </c>
      <c r="F146" s="219">
        <v>851</v>
      </c>
      <c r="G146" s="1"/>
      <c r="H146" s="1"/>
      <c r="I146" s="1" t="s">
        <v>676</v>
      </c>
      <c r="J146" s="1" t="s">
        <v>120</v>
      </c>
      <c r="K146" s="2"/>
      <c r="L146" s="92"/>
      <c r="M146" s="2"/>
      <c r="N146" s="92"/>
      <c r="O146" s="2"/>
      <c r="P146" s="92"/>
      <c r="Q146" s="2">
        <f t="shared" si="232"/>
        <v>0</v>
      </c>
      <c r="R146" s="92">
        <f>'6 Вед15'!Q171</f>
        <v>261321.25</v>
      </c>
      <c r="S146" s="2">
        <f t="shared" si="233"/>
        <v>261321.25</v>
      </c>
    </row>
    <row r="147" spans="1:19" s="13" customFormat="1" ht="24" customHeight="1" x14ac:dyDescent="0.25">
      <c r="A147" s="508" t="s">
        <v>504</v>
      </c>
      <c r="B147" s="508"/>
      <c r="C147" s="227"/>
      <c r="D147" s="16">
        <v>51</v>
      </c>
      <c r="E147" s="16">
        <v>3</v>
      </c>
      <c r="F147" s="16"/>
      <c r="G147" s="11"/>
      <c r="H147" s="20"/>
      <c r="I147" s="20"/>
      <c r="J147" s="11"/>
      <c r="K147" s="12">
        <f>K148</f>
        <v>15000</v>
      </c>
      <c r="L147" s="12">
        <f t="shared" ref="L147:O148" si="234">L148</f>
        <v>0</v>
      </c>
      <c r="M147" s="12">
        <f t="shared" si="234"/>
        <v>15000</v>
      </c>
      <c r="N147" s="12">
        <f t="shared" si="234"/>
        <v>0</v>
      </c>
      <c r="O147" s="12">
        <f t="shared" si="234"/>
        <v>15000</v>
      </c>
      <c r="P147" s="12">
        <f t="shared" ref="P147:R148" si="235">P148</f>
        <v>0</v>
      </c>
      <c r="Q147" s="12">
        <f t="shared" ref="Q147:S148" si="236">Q148</f>
        <v>15000</v>
      </c>
      <c r="R147" s="12">
        <f t="shared" si="235"/>
        <v>0</v>
      </c>
      <c r="S147" s="12">
        <f t="shared" si="236"/>
        <v>15000</v>
      </c>
    </row>
    <row r="148" spans="1:19" s="13" customFormat="1" x14ac:dyDescent="0.25">
      <c r="A148" s="508" t="s">
        <v>15</v>
      </c>
      <c r="B148" s="508"/>
      <c r="C148" s="227"/>
      <c r="D148" s="16">
        <v>51</v>
      </c>
      <c r="E148" s="16">
        <v>3</v>
      </c>
      <c r="F148" s="16">
        <v>851</v>
      </c>
      <c r="G148" s="11"/>
      <c r="H148" s="20"/>
      <c r="I148" s="20"/>
      <c r="J148" s="11"/>
      <c r="K148" s="12">
        <f>K149</f>
        <v>15000</v>
      </c>
      <c r="L148" s="12">
        <f t="shared" si="234"/>
        <v>0</v>
      </c>
      <c r="M148" s="12">
        <f t="shared" si="234"/>
        <v>15000</v>
      </c>
      <c r="N148" s="12">
        <f t="shared" si="234"/>
        <v>0</v>
      </c>
      <c r="O148" s="12">
        <f t="shared" si="234"/>
        <v>15000</v>
      </c>
      <c r="P148" s="12">
        <f t="shared" si="235"/>
        <v>0</v>
      </c>
      <c r="Q148" s="12">
        <f t="shared" si="236"/>
        <v>15000</v>
      </c>
      <c r="R148" s="12">
        <f t="shared" si="235"/>
        <v>0</v>
      </c>
      <c r="S148" s="12">
        <f t="shared" si="236"/>
        <v>15000</v>
      </c>
    </row>
    <row r="149" spans="1:19" s="6" customFormat="1" ht="15" customHeight="1" x14ac:dyDescent="0.25">
      <c r="A149" s="509" t="s">
        <v>95</v>
      </c>
      <c r="B149" s="509"/>
      <c r="C149" s="225"/>
      <c r="D149" s="219">
        <v>51</v>
      </c>
      <c r="E149" s="219">
        <v>3</v>
      </c>
      <c r="F149" s="219">
        <v>851</v>
      </c>
      <c r="G149" s="1" t="s">
        <v>84</v>
      </c>
      <c r="H149" s="1" t="s">
        <v>6</v>
      </c>
      <c r="I149" s="1" t="s">
        <v>224</v>
      </c>
      <c r="J149" s="1"/>
      <c r="K149" s="2">
        <f t="shared" ref="K149:S150" si="237">K150</f>
        <v>15000</v>
      </c>
      <c r="L149" s="2">
        <f t="shared" si="237"/>
        <v>0</v>
      </c>
      <c r="M149" s="2">
        <f t="shared" si="237"/>
        <v>15000</v>
      </c>
      <c r="N149" s="2">
        <f t="shared" si="237"/>
        <v>0</v>
      </c>
      <c r="O149" s="2">
        <f t="shared" si="237"/>
        <v>15000</v>
      </c>
      <c r="P149" s="2">
        <f t="shared" si="237"/>
        <v>0</v>
      </c>
      <c r="Q149" s="2">
        <f t="shared" si="237"/>
        <v>15000</v>
      </c>
      <c r="R149" s="2">
        <f t="shared" si="237"/>
        <v>0</v>
      </c>
      <c r="S149" s="2">
        <f t="shared" si="237"/>
        <v>15000</v>
      </c>
    </row>
    <row r="150" spans="1:19" s="6" customFormat="1" ht="15" customHeight="1" x14ac:dyDescent="0.25">
      <c r="A150" s="15"/>
      <c r="B150" s="225" t="s">
        <v>27</v>
      </c>
      <c r="C150" s="224"/>
      <c r="D150" s="219">
        <v>51</v>
      </c>
      <c r="E150" s="219">
        <v>3</v>
      </c>
      <c r="F150" s="219">
        <v>851</v>
      </c>
      <c r="G150" s="1" t="s">
        <v>84</v>
      </c>
      <c r="H150" s="1" t="s">
        <v>6</v>
      </c>
      <c r="I150" s="1" t="s">
        <v>224</v>
      </c>
      <c r="J150" s="1" t="s">
        <v>28</v>
      </c>
      <c r="K150" s="2">
        <f t="shared" si="237"/>
        <v>15000</v>
      </c>
      <c r="L150" s="2">
        <f t="shared" si="237"/>
        <v>0</v>
      </c>
      <c r="M150" s="2">
        <f t="shared" si="237"/>
        <v>15000</v>
      </c>
      <c r="N150" s="2">
        <f t="shared" si="237"/>
        <v>0</v>
      </c>
      <c r="O150" s="2">
        <f t="shared" si="237"/>
        <v>15000</v>
      </c>
      <c r="P150" s="2">
        <f t="shared" si="237"/>
        <v>0</v>
      </c>
      <c r="Q150" s="2">
        <f t="shared" si="237"/>
        <v>15000</v>
      </c>
      <c r="R150" s="2">
        <f t="shared" si="237"/>
        <v>0</v>
      </c>
      <c r="S150" s="2">
        <f t="shared" si="237"/>
        <v>15000</v>
      </c>
    </row>
    <row r="151" spans="1:19" s="6" customFormat="1" ht="26.25" customHeight="1" x14ac:dyDescent="0.25">
      <c r="A151" s="15"/>
      <c r="B151" s="228" t="s">
        <v>29</v>
      </c>
      <c r="C151" s="225"/>
      <c r="D151" s="219">
        <v>51</v>
      </c>
      <c r="E151" s="219">
        <v>3</v>
      </c>
      <c r="F151" s="219">
        <v>851</v>
      </c>
      <c r="G151" s="1" t="s">
        <v>84</v>
      </c>
      <c r="H151" s="1" t="s">
        <v>6</v>
      </c>
      <c r="I151" s="1" t="s">
        <v>224</v>
      </c>
      <c r="J151" s="1" t="s">
        <v>30</v>
      </c>
      <c r="K151" s="2">
        <f>'6 Вед15'!J175</f>
        <v>15000</v>
      </c>
      <c r="L151" s="92">
        <f>'6 Вед15'!K175</f>
        <v>0</v>
      </c>
      <c r="M151" s="2">
        <f t="shared" si="144"/>
        <v>15000</v>
      </c>
      <c r="N151" s="92">
        <f>'6 Вед15'!M175</f>
        <v>0</v>
      </c>
      <c r="O151" s="2">
        <f t="shared" si="138"/>
        <v>15000</v>
      </c>
      <c r="P151" s="92">
        <f>'6 Вед15'!O175</f>
        <v>0</v>
      </c>
      <c r="Q151" s="2">
        <f t="shared" ref="Q151" si="238">O151+P151</f>
        <v>15000</v>
      </c>
      <c r="R151" s="92">
        <f>'6 Вед15'!Q175</f>
        <v>0</v>
      </c>
      <c r="S151" s="2">
        <f t="shared" ref="S151" si="239">Q151+R151</f>
        <v>15000</v>
      </c>
    </row>
    <row r="152" spans="1:19" s="13" customFormat="1" ht="22.5" customHeight="1" x14ac:dyDescent="0.25">
      <c r="A152" s="508" t="s">
        <v>505</v>
      </c>
      <c r="B152" s="508"/>
      <c r="C152" s="227"/>
      <c r="D152" s="16">
        <v>51</v>
      </c>
      <c r="E152" s="16">
        <v>4</v>
      </c>
      <c r="F152" s="16"/>
      <c r="G152" s="11"/>
      <c r="H152" s="20"/>
      <c r="I152" s="20"/>
      <c r="J152" s="11"/>
      <c r="K152" s="12">
        <f>K153</f>
        <v>544000</v>
      </c>
      <c r="L152" s="12">
        <f t="shared" ref="L152:O152" si="240">L153</f>
        <v>0</v>
      </c>
      <c r="M152" s="12">
        <f t="shared" si="240"/>
        <v>544000</v>
      </c>
      <c r="N152" s="12">
        <f t="shared" si="240"/>
        <v>0</v>
      </c>
      <c r="O152" s="12">
        <f t="shared" si="240"/>
        <v>544000</v>
      </c>
      <c r="P152" s="12">
        <f t="shared" ref="P152:R152" si="241">P153</f>
        <v>0</v>
      </c>
      <c r="Q152" s="12">
        <f t="shared" ref="Q152:S152" si="242">Q153</f>
        <v>544000</v>
      </c>
      <c r="R152" s="12">
        <f t="shared" si="241"/>
        <v>0</v>
      </c>
      <c r="S152" s="12">
        <f t="shared" si="242"/>
        <v>544000</v>
      </c>
    </row>
    <row r="153" spans="1:19" s="13" customFormat="1" x14ac:dyDescent="0.25">
      <c r="A153" s="508" t="s">
        <v>15</v>
      </c>
      <c r="B153" s="508"/>
      <c r="C153" s="227"/>
      <c r="D153" s="16">
        <v>51</v>
      </c>
      <c r="E153" s="16">
        <v>4</v>
      </c>
      <c r="F153" s="16">
        <v>851</v>
      </c>
      <c r="G153" s="11"/>
      <c r="H153" s="20"/>
      <c r="I153" s="20"/>
      <c r="J153" s="11"/>
      <c r="K153" s="12">
        <f>K154+K157</f>
        <v>544000</v>
      </c>
      <c r="L153" s="12">
        <f t="shared" ref="L153:O153" si="243">L154+L157</f>
        <v>0</v>
      </c>
      <c r="M153" s="12">
        <f t="shared" si="243"/>
        <v>544000</v>
      </c>
      <c r="N153" s="12">
        <f t="shared" si="243"/>
        <v>0</v>
      </c>
      <c r="O153" s="12">
        <f t="shared" si="243"/>
        <v>544000</v>
      </c>
      <c r="P153" s="12">
        <f t="shared" ref="P153:R153" si="244">P154+P157</f>
        <v>0</v>
      </c>
      <c r="Q153" s="12">
        <f t="shared" ref="Q153:S153" si="245">Q154+Q157</f>
        <v>544000</v>
      </c>
      <c r="R153" s="12">
        <f t="shared" si="244"/>
        <v>0</v>
      </c>
      <c r="S153" s="12">
        <f t="shared" si="245"/>
        <v>544000</v>
      </c>
    </row>
    <row r="154" spans="1:19" s="24" customFormat="1" x14ac:dyDescent="0.25">
      <c r="A154" s="509" t="s">
        <v>110</v>
      </c>
      <c r="B154" s="509"/>
      <c r="C154" s="225"/>
      <c r="D154" s="219">
        <v>51</v>
      </c>
      <c r="E154" s="219">
        <v>4</v>
      </c>
      <c r="F154" s="219">
        <v>851</v>
      </c>
      <c r="G154" s="1" t="s">
        <v>38</v>
      </c>
      <c r="H154" s="1" t="s">
        <v>72</v>
      </c>
      <c r="I154" s="1" t="s">
        <v>228</v>
      </c>
      <c r="J154" s="1"/>
      <c r="K154" s="2">
        <f t="shared" ref="K154:S155" si="246">K155</f>
        <v>260000</v>
      </c>
      <c r="L154" s="2">
        <f t="shared" si="246"/>
        <v>0</v>
      </c>
      <c r="M154" s="2">
        <f t="shared" si="246"/>
        <v>260000</v>
      </c>
      <c r="N154" s="2">
        <f t="shared" si="246"/>
        <v>0</v>
      </c>
      <c r="O154" s="2">
        <f t="shared" si="246"/>
        <v>260000</v>
      </c>
      <c r="P154" s="2">
        <f t="shared" si="246"/>
        <v>0</v>
      </c>
      <c r="Q154" s="2">
        <f t="shared" si="246"/>
        <v>260000</v>
      </c>
      <c r="R154" s="2">
        <f t="shared" si="246"/>
        <v>0</v>
      </c>
      <c r="S154" s="2">
        <f t="shared" si="246"/>
        <v>260000</v>
      </c>
    </row>
    <row r="155" spans="1:19" s="6" customFormat="1" ht="15.75" customHeight="1" x14ac:dyDescent="0.25">
      <c r="A155" s="15"/>
      <c r="B155" s="228" t="s">
        <v>27</v>
      </c>
      <c r="C155" s="224"/>
      <c r="D155" s="219">
        <v>51</v>
      </c>
      <c r="E155" s="219">
        <v>4</v>
      </c>
      <c r="F155" s="219">
        <v>851</v>
      </c>
      <c r="G155" s="1" t="s">
        <v>38</v>
      </c>
      <c r="H155" s="1" t="s">
        <v>72</v>
      </c>
      <c r="I155" s="1" t="s">
        <v>228</v>
      </c>
      <c r="J155" s="1" t="s">
        <v>28</v>
      </c>
      <c r="K155" s="2">
        <f t="shared" si="246"/>
        <v>260000</v>
      </c>
      <c r="L155" s="2">
        <f t="shared" si="246"/>
        <v>0</v>
      </c>
      <c r="M155" s="2">
        <f t="shared" si="246"/>
        <v>260000</v>
      </c>
      <c r="N155" s="2">
        <f t="shared" si="246"/>
        <v>0</v>
      </c>
      <c r="O155" s="2">
        <f t="shared" si="246"/>
        <v>260000</v>
      </c>
      <c r="P155" s="2">
        <f t="shared" si="246"/>
        <v>0</v>
      </c>
      <c r="Q155" s="2">
        <f t="shared" si="246"/>
        <v>260000</v>
      </c>
      <c r="R155" s="2">
        <f t="shared" si="246"/>
        <v>0</v>
      </c>
      <c r="S155" s="2">
        <f t="shared" si="246"/>
        <v>260000</v>
      </c>
    </row>
    <row r="156" spans="1:19" s="6" customFormat="1" ht="25.5" customHeight="1" x14ac:dyDescent="0.25">
      <c r="A156" s="15"/>
      <c r="B156" s="228" t="s">
        <v>29</v>
      </c>
      <c r="C156" s="225"/>
      <c r="D156" s="219">
        <v>51</v>
      </c>
      <c r="E156" s="219">
        <v>4</v>
      </c>
      <c r="F156" s="219">
        <v>851</v>
      </c>
      <c r="G156" s="1" t="s">
        <v>38</v>
      </c>
      <c r="H156" s="1" t="s">
        <v>72</v>
      </c>
      <c r="I156" s="1" t="s">
        <v>228</v>
      </c>
      <c r="J156" s="1" t="s">
        <v>30</v>
      </c>
      <c r="K156" s="2">
        <f>'6 Вед15'!J205</f>
        <v>260000</v>
      </c>
      <c r="L156" s="92">
        <f>'6 Вед15'!K205</f>
        <v>0</v>
      </c>
      <c r="M156" s="2">
        <f t="shared" ref="M156:M220" si="247">K156+L156</f>
        <v>260000</v>
      </c>
      <c r="N156" s="92">
        <f>'6 Вед15'!M205</f>
        <v>0</v>
      </c>
      <c r="O156" s="2">
        <f t="shared" ref="O156:O220" si="248">M156+N156</f>
        <v>260000</v>
      </c>
      <c r="P156" s="92">
        <f>'6 Вед15'!O205</f>
        <v>0</v>
      </c>
      <c r="Q156" s="2">
        <f t="shared" ref="Q156" si="249">O156+P156</f>
        <v>260000</v>
      </c>
      <c r="R156" s="92">
        <f>'6 Вед15'!Q205</f>
        <v>0</v>
      </c>
      <c r="S156" s="2">
        <f t="shared" ref="S156" si="250">Q156+R156</f>
        <v>260000</v>
      </c>
    </row>
    <row r="157" spans="1:19" s="6" customFormat="1" ht="36.75" customHeight="1" x14ac:dyDescent="0.25">
      <c r="A157" s="509" t="s">
        <v>478</v>
      </c>
      <c r="B157" s="509"/>
      <c r="C157" s="233"/>
      <c r="D157" s="63">
        <v>51</v>
      </c>
      <c r="E157" s="219">
        <v>4</v>
      </c>
      <c r="F157" s="219">
        <v>851</v>
      </c>
      <c r="G157" s="1" t="s">
        <v>38</v>
      </c>
      <c r="H157" s="1" t="s">
        <v>72</v>
      </c>
      <c r="I157" s="1" t="s">
        <v>486</v>
      </c>
      <c r="J157" s="1"/>
      <c r="K157" s="2">
        <f t="shared" ref="K157:S158" si="251">K158</f>
        <v>284000</v>
      </c>
      <c r="L157" s="2">
        <f t="shared" si="251"/>
        <v>0</v>
      </c>
      <c r="M157" s="2">
        <f t="shared" si="251"/>
        <v>284000</v>
      </c>
      <c r="N157" s="2">
        <f t="shared" si="251"/>
        <v>0</v>
      </c>
      <c r="O157" s="2">
        <f t="shared" si="251"/>
        <v>284000</v>
      </c>
      <c r="P157" s="2">
        <f t="shared" si="251"/>
        <v>0</v>
      </c>
      <c r="Q157" s="2">
        <f t="shared" si="251"/>
        <v>284000</v>
      </c>
      <c r="R157" s="2">
        <f t="shared" si="251"/>
        <v>0</v>
      </c>
      <c r="S157" s="2">
        <f t="shared" si="251"/>
        <v>284000</v>
      </c>
    </row>
    <row r="158" spans="1:19" s="6" customFormat="1" ht="16.5" customHeight="1" x14ac:dyDescent="0.25">
      <c r="A158" s="15"/>
      <c r="B158" s="228" t="s">
        <v>27</v>
      </c>
      <c r="C158" s="233"/>
      <c r="D158" s="63">
        <v>51</v>
      </c>
      <c r="E158" s="219">
        <v>4</v>
      </c>
      <c r="F158" s="219">
        <v>851</v>
      </c>
      <c r="G158" s="1" t="s">
        <v>38</v>
      </c>
      <c r="H158" s="1" t="s">
        <v>72</v>
      </c>
      <c r="I158" s="1" t="s">
        <v>486</v>
      </c>
      <c r="J158" s="1" t="s">
        <v>28</v>
      </c>
      <c r="K158" s="2">
        <f t="shared" si="251"/>
        <v>284000</v>
      </c>
      <c r="L158" s="2">
        <f t="shared" si="251"/>
        <v>0</v>
      </c>
      <c r="M158" s="2">
        <f t="shared" si="251"/>
        <v>284000</v>
      </c>
      <c r="N158" s="2">
        <f t="shared" si="251"/>
        <v>0</v>
      </c>
      <c r="O158" s="2">
        <f t="shared" si="251"/>
        <v>284000</v>
      </c>
      <c r="P158" s="2">
        <f t="shared" si="251"/>
        <v>0</v>
      </c>
      <c r="Q158" s="2">
        <f t="shared" si="251"/>
        <v>284000</v>
      </c>
      <c r="R158" s="2">
        <f t="shared" si="251"/>
        <v>0</v>
      </c>
      <c r="S158" s="2">
        <f t="shared" si="251"/>
        <v>284000</v>
      </c>
    </row>
    <row r="159" spans="1:19" s="6" customFormat="1" ht="24" x14ac:dyDescent="0.25">
      <c r="A159" s="15"/>
      <c r="B159" s="228" t="s">
        <v>29</v>
      </c>
      <c r="C159" s="233"/>
      <c r="D159" s="63">
        <v>51</v>
      </c>
      <c r="E159" s="219">
        <v>4</v>
      </c>
      <c r="F159" s="219">
        <v>851</v>
      </c>
      <c r="G159" s="1" t="s">
        <v>38</v>
      </c>
      <c r="H159" s="1" t="s">
        <v>72</v>
      </c>
      <c r="I159" s="1" t="s">
        <v>486</v>
      </c>
      <c r="J159" s="1" t="s">
        <v>30</v>
      </c>
      <c r="K159" s="2">
        <f>'6 Вед15'!J208</f>
        <v>284000</v>
      </c>
      <c r="L159" s="92">
        <f>'6 Вед15'!K208</f>
        <v>0</v>
      </c>
      <c r="M159" s="2">
        <f t="shared" si="247"/>
        <v>284000</v>
      </c>
      <c r="N159" s="92">
        <f>'6 Вед15'!M208</f>
        <v>0</v>
      </c>
      <c r="O159" s="2">
        <f t="shared" si="248"/>
        <v>284000</v>
      </c>
      <c r="P159" s="92">
        <f>'6 Вед15'!O208</f>
        <v>0</v>
      </c>
      <c r="Q159" s="2">
        <f t="shared" ref="Q159" si="252">O159+P159</f>
        <v>284000</v>
      </c>
      <c r="R159" s="92">
        <f>'6 Вед15'!Q208</f>
        <v>0</v>
      </c>
      <c r="S159" s="2">
        <f t="shared" ref="S159" si="253">Q159+R159</f>
        <v>284000</v>
      </c>
    </row>
    <row r="160" spans="1:19" s="13" customFormat="1" ht="14.25" customHeight="1" x14ac:dyDescent="0.25">
      <c r="A160" s="508" t="s">
        <v>506</v>
      </c>
      <c r="B160" s="508"/>
      <c r="C160" s="227"/>
      <c r="D160" s="16">
        <v>51</v>
      </c>
      <c r="E160" s="16">
        <v>5</v>
      </c>
      <c r="F160" s="16"/>
      <c r="G160" s="11"/>
      <c r="H160" s="20"/>
      <c r="I160" s="20"/>
      <c r="J160" s="11"/>
      <c r="K160" s="12">
        <f>K161</f>
        <v>10868575</v>
      </c>
      <c r="L160" s="12">
        <f t="shared" ref="L160:O160" si="254">L161</f>
        <v>0</v>
      </c>
      <c r="M160" s="12">
        <f t="shared" si="254"/>
        <v>10868575</v>
      </c>
      <c r="N160" s="12">
        <f t="shared" si="254"/>
        <v>115000</v>
      </c>
      <c r="O160" s="12">
        <f t="shared" si="254"/>
        <v>10983575</v>
      </c>
      <c r="P160" s="12">
        <f t="shared" ref="P160:R160" si="255">P161</f>
        <v>0</v>
      </c>
      <c r="Q160" s="12">
        <f t="shared" ref="Q160:S160" si="256">Q161</f>
        <v>10983575</v>
      </c>
      <c r="R160" s="12">
        <f t="shared" si="255"/>
        <v>14484</v>
      </c>
      <c r="S160" s="12">
        <f t="shared" si="256"/>
        <v>10998059</v>
      </c>
    </row>
    <row r="161" spans="1:19" s="13" customFormat="1" x14ac:dyDescent="0.25">
      <c r="A161" s="508" t="s">
        <v>15</v>
      </c>
      <c r="B161" s="508"/>
      <c r="C161" s="227"/>
      <c r="D161" s="16">
        <v>51</v>
      </c>
      <c r="E161" s="16">
        <v>5</v>
      </c>
      <c r="F161" s="16">
        <v>851</v>
      </c>
      <c r="G161" s="11"/>
      <c r="H161" s="20"/>
      <c r="I161" s="20"/>
      <c r="J161" s="11"/>
      <c r="K161" s="12">
        <f>K162+K165+K170</f>
        <v>10868575</v>
      </c>
      <c r="L161" s="12">
        <f t="shared" ref="L161:O161" si="257">L162+L165+L170</f>
        <v>0</v>
      </c>
      <c r="M161" s="12">
        <f t="shared" si="257"/>
        <v>10868575</v>
      </c>
      <c r="N161" s="12">
        <f t="shared" si="257"/>
        <v>115000</v>
      </c>
      <c r="O161" s="12">
        <f t="shared" si="257"/>
        <v>10983575</v>
      </c>
      <c r="P161" s="12">
        <f t="shared" ref="P161:R161" si="258">P162+P165+P170</f>
        <v>0</v>
      </c>
      <c r="Q161" s="12">
        <f t="shared" ref="Q161:S161" si="259">Q162+Q165+Q170</f>
        <v>10983575</v>
      </c>
      <c r="R161" s="12">
        <f t="shared" si="258"/>
        <v>14484</v>
      </c>
      <c r="S161" s="12">
        <f t="shared" si="259"/>
        <v>10998059</v>
      </c>
    </row>
    <row r="162" spans="1:19" s="6" customFormat="1" ht="37.5" customHeight="1" x14ac:dyDescent="0.25">
      <c r="A162" s="509" t="s">
        <v>98</v>
      </c>
      <c r="B162" s="509"/>
      <c r="C162" s="225"/>
      <c r="D162" s="219">
        <v>51</v>
      </c>
      <c r="E162" s="219">
        <v>5</v>
      </c>
      <c r="F162" s="219">
        <v>851</v>
      </c>
      <c r="G162" s="1" t="s">
        <v>0</v>
      </c>
      <c r="H162" s="1" t="s">
        <v>17</v>
      </c>
      <c r="I162" s="1" t="s">
        <v>225</v>
      </c>
      <c r="J162" s="1"/>
      <c r="K162" s="2">
        <f t="shared" ref="K162:S163" si="260">K163</f>
        <v>2587000</v>
      </c>
      <c r="L162" s="2">
        <f t="shared" si="260"/>
        <v>0</v>
      </c>
      <c r="M162" s="2">
        <f t="shared" si="260"/>
        <v>2587000</v>
      </c>
      <c r="N162" s="2">
        <f t="shared" si="260"/>
        <v>115000</v>
      </c>
      <c r="O162" s="2">
        <f t="shared" si="260"/>
        <v>2702000</v>
      </c>
      <c r="P162" s="2">
        <f t="shared" si="260"/>
        <v>0</v>
      </c>
      <c r="Q162" s="2">
        <f t="shared" si="260"/>
        <v>2702000</v>
      </c>
      <c r="R162" s="2">
        <f t="shared" si="260"/>
        <v>14484</v>
      </c>
      <c r="S162" s="2">
        <f t="shared" si="260"/>
        <v>2716484</v>
      </c>
    </row>
    <row r="163" spans="1:19" s="6" customFormat="1" ht="12.75" customHeight="1" x14ac:dyDescent="0.25">
      <c r="A163" s="231"/>
      <c r="B163" s="224" t="s">
        <v>99</v>
      </c>
      <c r="C163" s="224"/>
      <c r="D163" s="219">
        <v>51</v>
      </c>
      <c r="E163" s="219">
        <v>5</v>
      </c>
      <c r="F163" s="219">
        <v>851</v>
      </c>
      <c r="G163" s="1" t="s">
        <v>0</v>
      </c>
      <c r="H163" s="1" t="s">
        <v>17</v>
      </c>
      <c r="I163" s="1" t="s">
        <v>225</v>
      </c>
      <c r="J163" s="1" t="s">
        <v>100</v>
      </c>
      <c r="K163" s="2">
        <f t="shared" si="260"/>
        <v>2587000</v>
      </c>
      <c r="L163" s="2">
        <f t="shared" si="260"/>
        <v>0</v>
      </c>
      <c r="M163" s="2">
        <f t="shared" si="260"/>
        <v>2587000</v>
      </c>
      <c r="N163" s="2">
        <f t="shared" si="260"/>
        <v>115000</v>
      </c>
      <c r="O163" s="2">
        <f t="shared" si="260"/>
        <v>2702000</v>
      </c>
      <c r="P163" s="2">
        <f t="shared" si="260"/>
        <v>0</v>
      </c>
      <c r="Q163" s="2">
        <f t="shared" si="260"/>
        <v>2702000</v>
      </c>
      <c r="R163" s="2">
        <f t="shared" si="260"/>
        <v>14484</v>
      </c>
      <c r="S163" s="2">
        <f t="shared" si="260"/>
        <v>2716484</v>
      </c>
    </row>
    <row r="164" spans="1:19" s="6" customFormat="1" ht="24.75" customHeight="1" x14ac:dyDescent="0.25">
      <c r="A164" s="231"/>
      <c r="B164" s="224" t="s">
        <v>134</v>
      </c>
      <c r="C164" s="224"/>
      <c r="D164" s="219">
        <v>51</v>
      </c>
      <c r="E164" s="219">
        <v>5</v>
      </c>
      <c r="F164" s="219">
        <v>851</v>
      </c>
      <c r="G164" s="1" t="s">
        <v>0</v>
      </c>
      <c r="H164" s="1" t="s">
        <v>17</v>
      </c>
      <c r="I164" s="1" t="s">
        <v>225</v>
      </c>
      <c r="J164" s="1" t="s">
        <v>101</v>
      </c>
      <c r="K164" s="2">
        <f>'6 Вед15'!J180</f>
        <v>2587000</v>
      </c>
      <c r="L164" s="92">
        <f>'6 Вед15'!K180</f>
        <v>0</v>
      </c>
      <c r="M164" s="2">
        <f t="shared" si="247"/>
        <v>2587000</v>
      </c>
      <c r="N164" s="92">
        <f>'6 Вед15'!M180</f>
        <v>115000</v>
      </c>
      <c r="O164" s="2">
        <f t="shared" si="248"/>
        <v>2702000</v>
      </c>
      <c r="P164" s="92">
        <f>'6 Вед15'!O180</f>
        <v>0</v>
      </c>
      <c r="Q164" s="2">
        <f t="shared" ref="Q164" si="261">O164+P164</f>
        <v>2702000</v>
      </c>
      <c r="R164" s="92">
        <f>'6 Вед15'!Q180</f>
        <v>14484</v>
      </c>
      <c r="S164" s="2">
        <f t="shared" ref="S164" si="262">Q164+R164</f>
        <v>2716484</v>
      </c>
    </row>
    <row r="165" spans="1:19" s="6" customFormat="1" ht="16.5" customHeight="1" x14ac:dyDescent="0.25">
      <c r="A165" s="509" t="s">
        <v>107</v>
      </c>
      <c r="B165" s="509"/>
      <c r="C165" s="225"/>
      <c r="D165" s="219">
        <v>51</v>
      </c>
      <c r="E165" s="219">
        <v>5</v>
      </c>
      <c r="F165" s="219">
        <v>851</v>
      </c>
      <c r="G165" s="1" t="s">
        <v>0</v>
      </c>
      <c r="H165" s="1" t="s">
        <v>1</v>
      </c>
      <c r="I165" s="1" t="s">
        <v>227</v>
      </c>
      <c r="J165" s="1"/>
      <c r="K165" s="2">
        <f t="shared" ref="K165:O165" si="263">K166+K168</f>
        <v>270000</v>
      </c>
      <c r="L165" s="2">
        <f t="shared" si="263"/>
        <v>0</v>
      </c>
      <c r="M165" s="2">
        <f t="shared" si="263"/>
        <v>270000</v>
      </c>
      <c r="N165" s="2">
        <f t="shared" si="263"/>
        <v>0</v>
      </c>
      <c r="O165" s="2">
        <f t="shared" si="263"/>
        <v>270000</v>
      </c>
      <c r="P165" s="2">
        <f t="shared" ref="P165:Q165" si="264">P166+P168</f>
        <v>0</v>
      </c>
      <c r="Q165" s="2">
        <f t="shared" si="264"/>
        <v>270000</v>
      </c>
      <c r="R165" s="2">
        <f t="shared" ref="R165:S165" si="265">R166+R168</f>
        <v>0</v>
      </c>
      <c r="S165" s="2">
        <f t="shared" si="265"/>
        <v>270000</v>
      </c>
    </row>
    <row r="166" spans="1:19" s="6" customFormat="1" ht="15" customHeight="1" x14ac:dyDescent="0.25">
      <c r="A166" s="15"/>
      <c r="B166" s="225" t="s">
        <v>27</v>
      </c>
      <c r="C166" s="224"/>
      <c r="D166" s="219">
        <v>51</v>
      </c>
      <c r="E166" s="219">
        <v>5</v>
      </c>
      <c r="F166" s="219">
        <v>851</v>
      </c>
      <c r="G166" s="18" t="s">
        <v>0</v>
      </c>
      <c r="H166" s="1" t="s">
        <v>1</v>
      </c>
      <c r="I166" s="1" t="s">
        <v>227</v>
      </c>
      <c r="J166" s="1" t="s">
        <v>28</v>
      </c>
      <c r="K166" s="2">
        <f t="shared" ref="K166:S166" si="266">K167</f>
        <v>90000</v>
      </c>
      <c r="L166" s="2">
        <f t="shared" si="266"/>
        <v>0</v>
      </c>
      <c r="M166" s="2">
        <f t="shared" si="266"/>
        <v>90000</v>
      </c>
      <c r="N166" s="2">
        <f t="shared" si="266"/>
        <v>0</v>
      </c>
      <c r="O166" s="2">
        <f t="shared" si="266"/>
        <v>90000</v>
      </c>
      <c r="P166" s="2">
        <f t="shared" si="266"/>
        <v>0</v>
      </c>
      <c r="Q166" s="2">
        <f t="shared" si="266"/>
        <v>90000</v>
      </c>
      <c r="R166" s="2">
        <f t="shared" si="266"/>
        <v>0</v>
      </c>
      <c r="S166" s="2">
        <f t="shared" si="266"/>
        <v>90000</v>
      </c>
    </row>
    <row r="167" spans="1:19" s="6" customFormat="1" ht="27" customHeight="1" x14ac:dyDescent="0.25">
      <c r="A167" s="15"/>
      <c r="B167" s="228" t="s">
        <v>29</v>
      </c>
      <c r="C167" s="225"/>
      <c r="D167" s="219">
        <v>51</v>
      </c>
      <c r="E167" s="219">
        <v>5</v>
      </c>
      <c r="F167" s="219">
        <v>851</v>
      </c>
      <c r="G167" s="18" t="s">
        <v>0</v>
      </c>
      <c r="H167" s="1" t="s">
        <v>1</v>
      </c>
      <c r="I167" s="1" t="s">
        <v>227</v>
      </c>
      <c r="J167" s="1" t="s">
        <v>30</v>
      </c>
      <c r="K167" s="2">
        <f>'6 Вед15'!J198</f>
        <v>90000</v>
      </c>
      <c r="L167" s="2">
        <f>'6 Вед15'!K198</f>
        <v>0</v>
      </c>
      <c r="M167" s="2">
        <f t="shared" si="247"/>
        <v>90000</v>
      </c>
      <c r="N167" s="2">
        <f>'6 Вед15'!M198</f>
        <v>0</v>
      </c>
      <c r="O167" s="2">
        <f t="shared" si="248"/>
        <v>90000</v>
      </c>
      <c r="P167" s="2">
        <f>'6 Вед15'!O198</f>
        <v>0</v>
      </c>
      <c r="Q167" s="2">
        <f t="shared" ref="Q167" si="267">O167+P167</f>
        <v>90000</v>
      </c>
      <c r="R167" s="2">
        <f>'6 Вед15'!Q198</f>
        <v>0</v>
      </c>
      <c r="S167" s="2">
        <f t="shared" ref="S167" si="268">Q167+R167</f>
        <v>90000</v>
      </c>
    </row>
    <row r="168" spans="1:19" s="6" customFormat="1" x14ac:dyDescent="0.25">
      <c r="A168" s="231"/>
      <c r="B168" s="224" t="s">
        <v>99</v>
      </c>
      <c r="C168" s="224"/>
      <c r="D168" s="219">
        <v>51</v>
      </c>
      <c r="E168" s="219">
        <v>5</v>
      </c>
      <c r="F168" s="219">
        <v>851</v>
      </c>
      <c r="G168" s="1" t="s">
        <v>0</v>
      </c>
      <c r="H168" s="1" t="s">
        <v>1</v>
      </c>
      <c r="I168" s="1" t="s">
        <v>227</v>
      </c>
      <c r="J168" s="1" t="s">
        <v>100</v>
      </c>
      <c r="K168" s="2">
        <f>K169</f>
        <v>180000</v>
      </c>
      <c r="L168" s="2">
        <f t="shared" ref="L168:O168" si="269">L169</f>
        <v>0</v>
      </c>
      <c r="M168" s="2">
        <f t="shared" si="269"/>
        <v>180000</v>
      </c>
      <c r="N168" s="2">
        <f t="shared" si="269"/>
        <v>0</v>
      </c>
      <c r="O168" s="2">
        <f t="shared" si="269"/>
        <v>180000</v>
      </c>
      <c r="P168" s="2">
        <f t="shared" ref="P168:R168" si="270">P169</f>
        <v>0</v>
      </c>
      <c r="Q168" s="2">
        <f t="shared" ref="Q168:S168" si="271">Q169</f>
        <v>180000</v>
      </c>
      <c r="R168" s="2">
        <f t="shared" si="270"/>
        <v>0</v>
      </c>
      <c r="S168" s="2">
        <f t="shared" si="271"/>
        <v>180000</v>
      </c>
    </row>
    <row r="169" spans="1:19" s="6" customFormat="1" ht="24" x14ac:dyDescent="0.25">
      <c r="A169" s="231"/>
      <c r="B169" s="224" t="s">
        <v>252</v>
      </c>
      <c r="C169" s="224"/>
      <c r="D169" s="219">
        <v>51</v>
      </c>
      <c r="E169" s="219">
        <v>5</v>
      </c>
      <c r="F169" s="219">
        <v>851</v>
      </c>
      <c r="G169" s="1" t="s">
        <v>0</v>
      </c>
      <c r="H169" s="1" t="s">
        <v>1</v>
      </c>
      <c r="I169" s="1" t="s">
        <v>227</v>
      </c>
      <c r="J169" s="1" t="s">
        <v>8</v>
      </c>
      <c r="K169" s="2">
        <f>'6 Вед15'!J200</f>
        <v>180000</v>
      </c>
      <c r="L169" s="2">
        <f>'6 Вед15'!K200</f>
        <v>0</v>
      </c>
      <c r="M169" s="2">
        <f t="shared" si="247"/>
        <v>180000</v>
      </c>
      <c r="N169" s="2">
        <f>'6 Вед15'!M200</f>
        <v>0</v>
      </c>
      <c r="O169" s="2">
        <f t="shared" si="248"/>
        <v>180000</v>
      </c>
      <c r="P169" s="2">
        <f>'6 Вед15'!O200</f>
        <v>0</v>
      </c>
      <c r="Q169" s="2">
        <f t="shared" ref="Q169" si="272">O169+P169</f>
        <v>180000</v>
      </c>
      <c r="R169" s="2">
        <f>'6 Вед15'!Q200</f>
        <v>0</v>
      </c>
      <c r="S169" s="2">
        <f t="shared" ref="S169" si="273">Q169+R169</f>
        <v>180000</v>
      </c>
    </row>
    <row r="170" spans="1:19" s="23" customFormat="1" ht="59.25" customHeight="1" x14ac:dyDescent="0.25">
      <c r="A170" s="509" t="s">
        <v>468</v>
      </c>
      <c r="B170" s="509"/>
      <c r="C170" s="225"/>
      <c r="D170" s="219">
        <v>51</v>
      </c>
      <c r="E170" s="219">
        <v>5</v>
      </c>
      <c r="F170" s="219">
        <v>851</v>
      </c>
      <c r="G170" s="18" t="s">
        <v>0</v>
      </c>
      <c r="H170" s="18" t="s">
        <v>6</v>
      </c>
      <c r="I170" s="18" t="s">
        <v>226</v>
      </c>
      <c r="J170" s="18"/>
      <c r="K170" s="21">
        <f t="shared" ref="K170:S171" si="274">K171</f>
        <v>8011575</v>
      </c>
      <c r="L170" s="21">
        <f t="shared" si="274"/>
        <v>0</v>
      </c>
      <c r="M170" s="21">
        <f t="shared" si="274"/>
        <v>8011575</v>
      </c>
      <c r="N170" s="21">
        <f t="shared" si="274"/>
        <v>0</v>
      </c>
      <c r="O170" s="21">
        <f t="shared" si="274"/>
        <v>8011575</v>
      </c>
      <c r="P170" s="21">
        <f t="shared" si="274"/>
        <v>0</v>
      </c>
      <c r="Q170" s="21">
        <f t="shared" si="274"/>
        <v>8011575</v>
      </c>
      <c r="R170" s="21">
        <f t="shared" si="274"/>
        <v>0</v>
      </c>
      <c r="S170" s="21">
        <f t="shared" si="274"/>
        <v>8011575</v>
      </c>
    </row>
    <row r="171" spans="1:19" s="6" customFormat="1" ht="13.5" customHeight="1" x14ac:dyDescent="0.25">
      <c r="A171" s="15"/>
      <c r="B171" s="224" t="s">
        <v>99</v>
      </c>
      <c r="C171" s="225"/>
      <c r="D171" s="219">
        <v>51</v>
      </c>
      <c r="E171" s="219">
        <v>5</v>
      </c>
      <c r="F171" s="219">
        <v>851</v>
      </c>
      <c r="G171" s="18" t="s">
        <v>0</v>
      </c>
      <c r="H171" s="18" t="s">
        <v>6</v>
      </c>
      <c r="I171" s="18" t="s">
        <v>226</v>
      </c>
      <c r="J171" s="1" t="s">
        <v>100</v>
      </c>
      <c r="K171" s="2">
        <f t="shared" si="274"/>
        <v>8011575</v>
      </c>
      <c r="L171" s="2">
        <f t="shared" si="274"/>
        <v>0</v>
      </c>
      <c r="M171" s="2">
        <f t="shared" si="274"/>
        <v>8011575</v>
      </c>
      <c r="N171" s="2">
        <f t="shared" si="274"/>
        <v>0</v>
      </c>
      <c r="O171" s="2">
        <f t="shared" si="274"/>
        <v>8011575</v>
      </c>
      <c r="P171" s="2">
        <f t="shared" si="274"/>
        <v>0</v>
      </c>
      <c r="Q171" s="2">
        <f t="shared" si="274"/>
        <v>8011575</v>
      </c>
      <c r="R171" s="2">
        <f t="shared" si="274"/>
        <v>0</v>
      </c>
      <c r="S171" s="2">
        <f t="shared" si="274"/>
        <v>8011575</v>
      </c>
    </row>
    <row r="172" spans="1:19" s="23" customFormat="1" ht="24.75" customHeight="1" x14ac:dyDescent="0.25">
      <c r="A172" s="225"/>
      <c r="B172" s="225" t="s">
        <v>104</v>
      </c>
      <c r="C172" s="225"/>
      <c r="D172" s="219">
        <v>51</v>
      </c>
      <c r="E172" s="219">
        <v>5</v>
      </c>
      <c r="F172" s="219">
        <v>851</v>
      </c>
      <c r="G172" s="18" t="s">
        <v>0</v>
      </c>
      <c r="H172" s="18" t="s">
        <v>6</v>
      </c>
      <c r="I172" s="18" t="s">
        <v>226</v>
      </c>
      <c r="J172" s="18" t="s">
        <v>105</v>
      </c>
      <c r="K172" s="21">
        <f>'6 Вед15'!J194</f>
        <v>8011575</v>
      </c>
      <c r="L172" s="211">
        <f>'6 Вед15'!K194</f>
        <v>0</v>
      </c>
      <c r="M172" s="2">
        <f t="shared" si="247"/>
        <v>8011575</v>
      </c>
      <c r="N172" s="211">
        <f>'6 Вед15'!M194</f>
        <v>0</v>
      </c>
      <c r="O172" s="2">
        <f t="shared" si="248"/>
        <v>8011575</v>
      </c>
      <c r="P172" s="211">
        <f>'6 Вед15'!O194</f>
        <v>0</v>
      </c>
      <c r="Q172" s="2">
        <f t="shared" ref="Q172" si="275">O172+P172</f>
        <v>8011575</v>
      </c>
      <c r="R172" s="211">
        <f>'6 Вед15'!Q194</f>
        <v>0</v>
      </c>
      <c r="S172" s="2">
        <f t="shared" ref="S172" si="276">Q172+R172</f>
        <v>8011575</v>
      </c>
    </row>
    <row r="173" spans="1:19" s="13" customFormat="1" ht="25.5" customHeight="1" x14ac:dyDescent="0.25">
      <c r="A173" s="508" t="s">
        <v>507</v>
      </c>
      <c r="B173" s="508"/>
      <c r="C173" s="227"/>
      <c r="D173" s="16">
        <v>51</v>
      </c>
      <c r="E173" s="16">
        <v>6</v>
      </c>
      <c r="F173" s="16"/>
      <c r="G173" s="11"/>
      <c r="H173" s="20"/>
      <c r="I173" s="20"/>
      <c r="J173" s="11"/>
      <c r="K173" s="12">
        <f>K174</f>
        <v>582660</v>
      </c>
      <c r="L173" s="12">
        <f t="shared" ref="L173:O178" si="277">L174</f>
        <v>0</v>
      </c>
      <c r="M173" s="12">
        <f t="shared" si="277"/>
        <v>582660</v>
      </c>
      <c r="N173" s="12">
        <f t="shared" si="277"/>
        <v>0</v>
      </c>
      <c r="O173" s="12">
        <f t="shared" si="277"/>
        <v>582660</v>
      </c>
      <c r="P173" s="12">
        <f t="shared" ref="P173:R178" si="278">P174</f>
        <v>0</v>
      </c>
      <c r="Q173" s="12">
        <f t="shared" ref="Q173:S178" si="279">Q174</f>
        <v>582660</v>
      </c>
      <c r="R173" s="12">
        <f t="shared" si="278"/>
        <v>2136420</v>
      </c>
      <c r="S173" s="12">
        <f t="shared" si="279"/>
        <v>2719080</v>
      </c>
    </row>
    <row r="174" spans="1:19" s="13" customFormat="1" x14ac:dyDescent="0.25">
      <c r="A174" s="508" t="s">
        <v>15</v>
      </c>
      <c r="B174" s="508"/>
      <c r="C174" s="227"/>
      <c r="D174" s="16">
        <v>51</v>
      </c>
      <c r="E174" s="16">
        <v>6</v>
      </c>
      <c r="F174" s="16">
        <v>851</v>
      </c>
      <c r="G174" s="11"/>
      <c r="H174" s="20"/>
      <c r="I174" s="20"/>
      <c r="J174" s="11"/>
      <c r="K174" s="12">
        <f t="shared" ref="K174:P174" si="280">K178</f>
        <v>582660</v>
      </c>
      <c r="L174" s="12">
        <f t="shared" si="280"/>
        <v>0</v>
      </c>
      <c r="M174" s="12">
        <f t="shared" si="280"/>
        <v>582660</v>
      </c>
      <c r="N174" s="12">
        <f t="shared" si="280"/>
        <v>0</v>
      </c>
      <c r="O174" s="12">
        <f t="shared" si="280"/>
        <v>582660</v>
      </c>
      <c r="P174" s="12">
        <f t="shared" si="280"/>
        <v>0</v>
      </c>
      <c r="Q174" s="12">
        <f>Q175+Q178</f>
        <v>582660</v>
      </c>
      <c r="R174" s="12">
        <f t="shared" ref="R174:S174" si="281">R175+R178</f>
        <v>2136420</v>
      </c>
      <c r="S174" s="12">
        <f t="shared" si="281"/>
        <v>2719080</v>
      </c>
    </row>
    <row r="175" spans="1:19" s="13" customFormat="1" x14ac:dyDescent="0.25">
      <c r="A175" s="518" t="s">
        <v>683</v>
      </c>
      <c r="B175" s="519"/>
      <c r="C175" s="445"/>
      <c r="D175" s="219">
        <v>51</v>
      </c>
      <c r="E175" s="219">
        <v>6</v>
      </c>
      <c r="F175" s="219">
        <v>851</v>
      </c>
      <c r="G175" s="1"/>
      <c r="H175" s="18"/>
      <c r="I175" s="18" t="s">
        <v>684</v>
      </c>
      <c r="J175" s="1"/>
      <c r="K175" s="2"/>
      <c r="L175" s="2"/>
      <c r="M175" s="2"/>
      <c r="N175" s="2"/>
      <c r="O175" s="2"/>
      <c r="P175" s="2"/>
      <c r="Q175" s="2">
        <f t="shared" si="279"/>
        <v>0</v>
      </c>
      <c r="R175" s="2">
        <f t="shared" si="278"/>
        <v>2136420</v>
      </c>
      <c r="S175" s="2">
        <f t="shared" si="279"/>
        <v>2136420</v>
      </c>
    </row>
    <row r="176" spans="1:19" s="13" customFormat="1" x14ac:dyDescent="0.25">
      <c r="A176" s="446"/>
      <c r="B176" s="448" t="s">
        <v>99</v>
      </c>
      <c r="C176" s="445"/>
      <c r="D176" s="219">
        <v>51</v>
      </c>
      <c r="E176" s="219">
        <v>6</v>
      </c>
      <c r="F176" s="219">
        <v>851</v>
      </c>
      <c r="G176" s="1"/>
      <c r="H176" s="18"/>
      <c r="I176" s="18" t="s">
        <v>684</v>
      </c>
      <c r="J176" s="1" t="s">
        <v>100</v>
      </c>
      <c r="K176" s="2"/>
      <c r="L176" s="2"/>
      <c r="M176" s="2"/>
      <c r="N176" s="2"/>
      <c r="O176" s="2"/>
      <c r="P176" s="2"/>
      <c r="Q176" s="2">
        <f t="shared" si="279"/>
        <v>0</v>
      </c>
      <c r="R176" s="2">
        <f t="shared" si="279"/>
        <v>2136420</v>
      </c>
      <c r="S176" s="2">
        <f t="shared" si="279"/>
        <v>2136420</v>
      </c>
    </row>
    <row r="177" spans="1:19" s="13" customFormat="1" x14ac:dyDescent="0.25">
      <c r="A177" s="446"/>
      <c r="B177" s="448" t="s">
        <v>139</v>
      </c>
      <c r="C177" s="445"/>
      <c r="D177" s="219">
        <v>51</v>
      </c>
      <c r="E177" s="219">
        <v>6</v>
      </c>
      <c r="F177" s="219">
        <v>851</v>
      </c>
      <c r="G177" s="1"/>
      <c r="H177" s="18"/>
      <c r="I177" s="18" t="s">
        <v>684</v>
      </c>
      <c r="J177" s="1" t="s">
        <v>140</v>
      </c>
      <c r="K177" s="2"/>
      <c r="L177" s="2"/>
      <c r="M177" s="2"/>
      <c r="N177" s="2"/>
      <c r="O177" s="2"/>
      <c r="P177" s="2"/>
      <c r="Q177" s="2">
        <f t="shared" ref="Q177" si="282">O177+P177</f>
        <v>0</v>
      </c>
      <c r="R177" s="92">
        <f>'6 Вед15'!Q187</f>
        <v>2136420</v>
      </c>
      <c r="S177" s="2">
        <f t="shared" ref="S177" si="283">Q177+R177</f>
        <v>2136420</v>
      </c>
    </row>
    <row r="178" spans="1:19" s="6" customFormat="1" ht="24.75" customHeight="1" x14ac:dyDescent="0.25">
      <c r="A178" s="530" t="s">
        <v>138</v>
      </c>
      <c r="B178" s="530"/>
      <c r="C178" s="224"/>
      <c r="D178" s="219">
        <v>51</v>
      </c>
      <c r="E178" s="219">
        <v>6</v>
      </c>
      <c r="F178" s="63">
        <v>851</v>
      </c>
      <c r="G178" s="1" t="s">
        <v>0</v>
      </c>
      <c r="H178" s="1" t="s">
        <v>3</v>
      </c>
      <c r="I178" s="63">
        <v>2226</v>
      </c>
      <c r="J178" s="1"/>
      <c r="K178" s="2">
        <f>K179</f>
        <v>582660</v>
      </c>
      <c r="L178" s="2">
        <f t="shared" si="277"/>
        <v>0</v>
      </c>
      <c r="M178" s="2">
        <f t="shared" si="277"/>
        <v>582660</v>
      </c>
      <c r="N178" s="2">
        <f t="shared" si="277"/>
        <v>0</v>
      </c>
      <c r="O178" s="2">
        <f t="shared" si="277"/>
        <v>582660</v>
      </c>
      <c r="P178" s="2">
        <f t="shared" si="278"/>
        <v>0</v>
      </c>
      <c r="Q178" s="2">
        <f t="shared" si="279"/>
        <v>582660</v>
      </c>
      <c r="R178" s="2">
        <f t="shared" si="278"/>
        <v>0</v>
      </c>
      <c r="S178" s="2">
        <f t="shared" si="279"/>
        <v>582660</v>
      </c>
    </row>
    <row r="179" spans="1:19" s="6" customFormat="1" x14ac:dyDescent="0.25">
      <c r="A179" s="231"/>
      <c r="B179" s="224" t="s">
        <v>99</v>
      </c>
      <c r="C179" s="224"/>
      <c r="D179" s="219">
        <v>51</v>
      </c>
      <c r="E179" s="219">
        <v>6</v>
      </c>
      <c r="F179" s="63">
        <v>851</v>
      </c>
      <c r="G179" s="1" t="s">
        <v>0</v>
      </c>
      <c r="H179" s="1" t="s">
        <v>3</v>
      </c>
      <c r="I179" s="63">
        <v>2226</v>
      </c>
      <c r="J179" s="1" t="s">
        <v>100</v>
      </c>
      <c r="K179" s="2">
        <f t="shared" ref="K179:S179" si="284">K180</f>
        <v>582660</v>
      </c>
      <c r="L179" s="2">
        <f t="shared" si="284"/>
        <v>0</v>
      </c>
      <c r="M179" s="2">
        <f t="shared" si="284"/>
        <v>582660</v>
      </c>
      <c r="N179" s="2">
        <f t="shared" si="284"/>
        <v>0</v>
      </c>
      <c r="O179" s="2">
        <f t="shared" si="284"/>
        <v>582660</v>
      </c>
      <c r="P179" s="2">
        <f t="shared" si="284"/>
        <v>0</v>
      </c>
      <c r="Q179" s="2">
        <f t="shared" si="284"/>
        <v>582660</v>
      </c>
      <c r="R179" s="2">
        <f t="shared" si="284"/>
        <v>0</v>
      </c>
      <c r="S179" s="2">
        <f t="shared" si="284"/>
        <v>582660</v>
      </c>
    </row>
    <row r="180" spans="1:19" s="6" customFormat="1" x14ac:dyDescent="0.25">
      <c r="A180" s="231"/>
      <c r="B180" s="224" t="s">
        <v>139</v>
      </c>
      <c r="C180" s="224"/>
      <c r="D180" s="219">
        <v>51</v>
      </c>
      <c r="E180" s="219">
        <v>6</v>
      </c>
      <c r="F180" s="63">
        <v>851</v>
      </c>
      <c r="G180" s="1" t="s">
        <v>0</v>
      </c>
      <c r="H180" s="1" t="s">
        <v>3</v>
      </c>
      <c r="I180" s="63">
        <v>2226</v>
      </c>
      <c r="J180" s="1" t="s">
        <v>140</v>
      </c>
      <c r="K180" s="2">
        <f>'6 Вед15'!J190</f>
        <v>582660</v>
      </c>
      <c r="L180" s="92">
        <f>'6 Вед15'!K190</f>
        <v>0</v>
      </c>
      <c r="M180" s="2">
        <f t="shared" si="247"/>
        <v>582660</v>
      </c>
      <c r="N180" s="92">
        <f>'6 Вед15'!M190</f>
        <v>0</v>
      </c>
      <c r="O180" s="2">
        <f t="shared" si="248"/>
        <v>582660</v>
      </c>
      <c r="P180" s="92">
        <f>'6 Вед15'!O190</f>
        <v>0</v>
      </c>
      <c r="Q180" s="2">
        <f t="shared" ref="Q180:Q181" si="285">O180+P180</f>
        <v>582660</v>
      </c>
      <c r="R180" s="92">
        <f>'6 Вед15'!Q190</f>
        <v>0</v>
      </c>
      <c r="S180" s="2">
        <f t="shared" ref="S180:S181" si="286">Q180+R180</f>
        <v>582660</v>
      </c>
    </row>
    <row r="181" spans="1:19" s="13" customFormat="1" ht="23.25" customHeight="1" x14ac:dyDescent="0.25">
      <c r="A181" s="508" t="s">
        <v>508</v>
      </c>
      <c r="B181" s="508"/>
      <c r="C181" s="227"/>
      <c r="D181" s="16">
        <v>51</v>
      </c>
      <c r="E181" s="16">
        <v>7</v>
      </c>
      <c r="F181" s="16"/>
      <c r="G181" s="11"/>
      <c r="H181" s="20"/>
      <c r="I181" s="20"/>
      <c r="J181" s="11"/>
      <c r="K181" s="12">
        <f>K182</f>
        <v>100000</v>
      </c>
      <c r="L181" s="210">
        <f t="shared" ref="L181:S184" si="287">L182</f>
        <v>0</v>
      </c>
      <c r="M181" s="2">
        <f t="shared" si="247"/>
        <v>100000</v>
      </c>
      <c r="N181" s="210">
        <f t="shared" si="287"/>
        <v>0</v>
      </c>
      <c r="O181" s="2">
        <f t="shared" si="248"/>
        <v>100000</v>
      </c>
      <c r="P181" s="210">
        <f t="shared" si="287"/>
        <v>0</v>
      </c>
      <c r="Q181" s="2">
        <f t="shared" si="285"/>
        <v>100000</v>
      </c>
      <c r="R181" s="210">
        <f t="shared" si="287"/>
        <v>0</v>
      </c>
      <c r="S181" s="2">
        <f t="shared" si="286"/>
        <v>100000</v>
      </c>
    </row>
    <row r="182" spans="1:19" s="13" customFormat="1" x14ac:dyDescent="0.25">
      <c r="A182" s="508" t="s">
        <v>15</v>
      </c>
      <c r="B182" s="508"/>
      <c r="C182" s="227"/>
      <c r="D182" s="16">
        <v>51</v>
      </c>
      <c r="E182" s="16">
        <v>7</v>
      </c>
      <c r="F182" s="16">
        <v>851</v>
      </c>
      <c r="G182" s="11"/>
      <c r="H182" s="20"/>
      <c r="I182" s="20"/>
      <c r="J182" s="11"/>
      <c r="K182" s="12">
        <f>K183</f>
        <v>100000</v>
      </c>
      <c r="L182" s="12">
        <f t="shared" si="287"/>
        <v>0</v>
      </c>
      <c r="M182" s="12">
        <f t="shared" si="287"/>
        <v>100000</v>
      </c>
      <c r="N182" s="12">
        <f t="shared" si="287"/>
        <v>0</v>
      </c>
      <c r="O182" s="12">
        <f t="shared" si="287"/>
        <v>100000</v>
      </c>
      <c r="P182" s="12">
        <f t="shared" si="287"/>
        <v>0</v>
      </c>
      <c r="Q182" s="12">
        <f t="shared" si="287"/>
        <v>100000</v>
      </c>
      <c r="R182" s="12">
        <f t="shared" si="287"/>
        <v>0</v>
      </c>
      <c r="S182" s="12">
        <f t="shared" si="287"/>
        <v>100000</v>
      </c>
    </row>
    <row r="183" spans="1:19" s="6" customFormat="1" ht="24" customHeight="1" x14ac:dyDescent="0.25">
      <c r="A183" s="509" t="s">
        <v>439</v>
      </c>
      <c r="B183" s="509"/>
      <c r="C183" s="225"/>
      <c r="D183" s="219">
        <v>51</v>
      </c>
      <c r="E183" s="219">
        <v>7</v>
      </c>
      <c r="F183" s="219">
        <v>851</v>
      </c>
      <c r="G183" s="18" t="s">
        <v>6</v>
      </c>
      <c r="H183" s="18" t="s">
        <v>67</v>
      </c>
      <c r="I183" s="18" t="s">
        <v>444</v>
      </c>
      <c r="J183" s="1"/>
      <c r="K183" s="2">
        <f>K184</f>
        <v>100000</v>
      </c>
      <c r="L183" s="2">
        <f t="shared" si="287"/>
        <v>0</v>
      </c>
      <c r="M183" s="2">
        <f t="shared" si="287"/>
        <v>100000</v>
      </c>
      <c r="N183" s="2">
        <f t="shared" si="287"/>
        <v>0</v>
      </c>
      <c r="O183" s="2">
        <f t="shared" si="287"/>
        <v>100000</v>
      </c>
      <c r="P183" s="2">
        <f t="shared" si="287"/>
        <v>0</v>
      </c>
      <c r="Q183" s="2">
        <f t="shared" si="287"/>
        <v>100000</v>
      </c>
      <c r="R183" s="2">
        <f t="shared" si="287"/>
        <v>0</v>
      </c>
      <c r="S183" s="2">
        <f t="shared" si="287"/>
        <v>100000</v>
      </c>
    </row>
    <row r="184" spans="1:19" s="6" customFormat="1" ht="13.5" customHeight="1" x14ac:dyDescent="0.25">
      <c r="A184" s="15"/>
      <c r="B184" s="225" t="s">
        <v>31</v>
      </c>
      <c r="C184" s="225"/>
      <c r="D184" s="219">
        <v>51</v>
      </c>
      <c r="E184" s="219">
        <v>7</v>
      </c>
      <c r="F184" s="219">
        <v>851</v>
      </c>
      <c r="G184" s="18" t="s">
        <v>6</v>
      </c>
      <c r="H184" s="18" t="s">
        <v>67</v>
      </c>
      <c r="I184" s="18" t="s">
        <v>444</v>
      </c>
      <c r="J184" s="1" t="s">
        <v>32</v>
      </c>
      <c r="K184" s="2">
        <f>K185</f>
        <v>100000</v>
      </c>
      <c r="L184" s="2">
        <f t="shared" si="287"/>
        <v>0</v>
      </c>
      <c r="M184" s="2">
        <f t="shared" si="287"/>
        <v>100000</v>
      </c>
      <c r="N184" s="2">
        <f t="shared" si="287"/>
        <v>0</v>
      </c>
      <c r="O184" s="2">
        <f t="shared" si="287"/>
        <v>100000</v>
      </c>
      <c r="P184" s="2">
        <f t="shared" si="287"/>
        <v>0</v>
      </c>
      <c r="Q184" s="2">
        <f t="shared" si="287"/>
        <v>100000</v>
      </c>
      <c r="R184" s="2">
        <f t="shared" si="287"/>
        <v>0</v>
      </c>
      <c r="S184" s="2">
        <f t="shared" si="287"/>
        <v>100000</v>
      </c>
    </row>
    <row r="185" spans="1:19" s="6" customFormat="1" ht="36" x14ac:dyDescent="0.25">
      <c r="A185" s="15"/>
      <c r="B185" s="225" t="s">
        <v>250</v>
      </c>
      <c r="C185" s="225"/>
      <c r="D185" s="219">
        <v>51</v>
      </c>
      <c r="E185" s="219">
        <v>7</v>
      </c>
      <c r="F185" s="219">
        <v>851</v>
      </c>
      <c r="G185" s="18" t="s">
        <v>6</v>
      </c>
      <c r="H185" s="18" t="s">
        <v>67</v>
      </c>
      <c r="I185" s="18" t="s">
        <v>444</v>
      </c>
      <c r="J185" s="1" t="s">
        <v>65</v>
      </c>
      <c r="K185" s="2">
        <f>'6 Вед15'!J110</f>
        <v>100000</v>
      </c>
      <c r="L185" s="92">
        <f>'6 Вед15'!K110</f>
        <v>0</v>
      </c>
      <c r="M185" s="2">
        <f t="shared" si="247"/>
        <v>100000</v>
      </c>
      <c r="N185" s="92">
        <f>'6 Вед15'!M110</f>
        <v>0</v>
      </c>
      <c r="O185" s="2">
        <f t="shared" si="248"/>
        <v>100000</v>
      </c>
      <c r="P185" s="92">
        <f>'6 Вед15'!O110</f>
        <v>0</v>
      </c>
      <c r="Q185" s="2">
        <f t="shared" ref="Q185" si="288">O185+P185</f>
        <v>100000</v>
      </c>
      <c r="R185" s="92">
        <f>'6 Вед15'!Q110</f>
        <v>0</v>
      </c>
      <c r="S185" s="2">
        <f t="shared" ref="S185" si="289">Q185+R185</f>
        <v>100000</v>
      </c>
    </row>
    <row r="186" spans="1:19" s="6" customFormat="1" ht="27" customHeight="1" x14ac:dyDescent="0.25">
      <c r="A186" s="538" t="s">
        <v>510</v>
      </c>
      <c r="B186" s="539"/>
      <c r="C186" s="15"/>
      <c r="D186" s="235">
        <v>52</v>
      </c>
      <c r="E186" s="63"/>
      <c r="F186" s="15"/>
      <c r="G186" s="15"/>
      <c r="H186" s="15"/>
      <c r="I186" s="1"/>
      <c r="J186" s="1"/>
      <c r="K186" s="8">
        <f t="shared" ref="K186:S186" si="290">K187</f>
        <v>148946959</v>
      </c>
      <c r="L186" s="8">
        <f t="shared" si="290"/>
        <v>325480</v>
      </c>
      <c r="M186" s="8">
        <f t="shared" si="290"/>
        <v>149272439</v>
      </c>
      <c r="N186" s="8">
        <f t="shared" si="290"/>
        <v>1033500</v>
      </c>
      <c r="O186" s="8">
        <f t="shared" si="290"/>
        <v>150305939</v>
      </c>
      <c r="P186" s="8">
        <f t="shared" si="290"/>
        <v>247500</v>
      </c>
      <c r="Q186" s="8">
        <f t="shared" si="290"/>
        <v>150553439</v>
      </c>
      <c r="R186" s="8">
        <f t="shared" si="290"/>
        <v>1604959.91</v>
      </c>
      <c r="S186" s="8">
        <f t="shared" si="290"/>
        <v>152158398.91</v>
      </c>
    </row>
    <row r="187" spans="1:19" s="6" customFormat="1" ht="24.75" customHeight="1" x14ac:dyDescent="0.25">
      <c r="A187" s="520" t="s">
        <v>111</v>
      </c>
      <c r="B187" s="521"/>
      <c r="C187" s="16"/>
      <c r="D187" s="16">
        <v>52</v>
      </c>
      <c r="E187" s="16">
        <v>0</v>
      </c>
      <c r="F187" s="16">
        <v>852</v>
      </c>
      <c r="G187" s="18"/>
      <c r="H187" s="18"/>
      <c r="I187" s="18"/>
      <c r="J187" s="1"/>
      <c r="K187" s="12">
        <f>K188+K191+K194+K197+K200+K210+K215+K218+K221+K224+K229+K235+K238+K247+K250+K253+K256</f>
        <v>148946959</v>
      </c>
      <c r="L187" s="12">
        <f t="shared" ref="L187:N187" si="291">L188+L191+L194+L197+L200+L210+L215+L218+L221+L224+L229+L235+L238+L247+L250+L253+L256</f>
        <v>325480</v>
      </c>
      <c r="M187" s="12">
        <f t="shared" si="291"/>
        <v>149272439</v>
      </c>
      <c r="N187" s="12">
        <f t="shared" si="291"/>
        <v>1033500</v>
      </c>
      <c r="O187" s="12">
        <f>O188+O191+O194+O197+O200+O210+O215+O218+O221+O224+O229+O232+O235+O238+O247+O250+O253+O256</f>
        <v>150305939</v>
      </c>
      <c r="P187" s="12">
        <f t="shared" ref="P187:Q187" si="292">P188+P191+P194+P197+P200+P210+P215+P218+P221+P224+P229+P232+P235+P238+P247+P250+P253+P256</f>
        <v>247500</v>
      </c>
      <c r="Q187" s="12">
        <f t="shared" si="292"/>
        <v>150553439</v>
      </c>
      <c r="R187" s="12">
        <f t="shared" ref="R187:S187" si="293">R188+R191+R194+R197+R200+R210+R215+R218+R221+R224+R229+R232+R235+R238+R247+R250+R253+R256</f>
        <v>1604959.91</v>
      </c>
      <c r="S187" s="12">
        <f t="shared" si="293"/>
        <v>152158398.91</v>
      </c>
    </row>
    <row r="188" spans="1:19" s="6" customFormat="1" ht="24" customHeight="1" x14ac:dyDescent="0.25">
      <c r="A188" s="509" t="s">
        <v>26</v>
      </c>
      <c r="B188" s="509"/>
      <c r="C188" s="219"/>
      <c r="D188" s="219">
        <v>52</v>
      </c>
      <c r="E188" s="219">
        <v>0</v>
      </c>
      <c r="F188" s="219">
        <v>852</v>
      </c>
      <c r="G188" s="1" t="s">
        <v>36</v>
      </c>
      <c r="H188" s="1" t="s">
        <v>57</v>
      </c>
      <c r="I188" s="1" t="s">
        <v>435</v>
      </c>
      <c r="J188" s="1"/>
      <c r="K188" s="2">
        <f t="shared" ref="K188:S189" si="294">K189</f>
        <v>836500</v>
      </c>
      <c r="L188" s="2">
        <f t="shared" si="294"/>
        <v>0</v>
      </c>
      <c r="M188" s="2">
        <f t="shared" si="294"/>
        <v>836500</v>
      </c>
      <c r="N188" s="2">
        <f t="shared" si="294"/>
        <v>0</v>
      </c>
      <c r="O188" s="2">
        <f t="shared" si="294"/>
        <v>836500</v>
      </c>
      <c r="P188" s="2">
        <f t="shared" si="294"/>
        <v>0</v>
      </c>
      <c r="Q188" s="2">
        <f t="shared" si="294"/>
        <v>836500</v>
      </c>
      <c r="R188" s="2">
        <f t="shared" si="294"/>
        <v>0</v>
      </c>
      <c r="S188" s="2">
        <f t="shared" si="294"/>
        <v>836500</v>
      </c>
    </row>
    <row r="189" spans="1:19" s="6" customFormat="1" ht="36" customHeight="1" x14ac:dyDescent="0.25">
      <c r="A189" s="15"/>
      <c r="B189" s="224" t="s">
        <v>21</v>
      </c>
      <c r="C189" s="219"/>
      <c r="D189" s="219">
        <v>52</v>
      </c>
      <c r="E189" s="219">
        <v>0</v>
      </c>
      <c r="F189" s="219">
        <v>852</v>
      </c>
      <c r="G189" s="1" t="s">
        <v>36</v>
      </c>
      <c r="H189" s="1" t="s">
        <v>57</v>
      </c>
      <c r="I189" s="1" t="s">
        <v>435</v>
      </c>
      <c r="J189" s="1" t="s">
        <v>23</v>
      </c>
      <c r="K189" s="2">
        <f t="shared" si="294"/>
        <v>836500</v>
      </c>
      <c r="L189" s="2">
        <f t="shared" si="294"/>
        <v>0</v>
      </c>
      <c r="M189" s="2">
        <f t="shared" si="294"/>
        <v>836500</v>
      </c>
      <c r="N189" s="2">
        <f t="shared" si="294"/>
        <v>0</v>
      </c>
      <c r="O189" s="2">
        <f t="shared" si="294"/>
        <v>836500</v>
      </c>
      <c r="P189" s="2">
        <f t="shared" si="294"/>
        <v>0</v>
      </c>
      <c r="Q189" s="2">
        <f t="shared" si="294"/>
        <v>836500</v>
      </c>
      <c r="R189" s="2">
        <f t="shared" si="294"/>
        <v>0</v>
      </c>
      <c r="S189" s="2">
        <f t="shared" si="294"/>
        <v>836500</v>
      </c>
    </row>
    <row r="190" spans="1:19" s="6" customFormat="1" ht="12" customHeight="1" x14ac:dyDescent="0.25">
      <c r="A190" s="15"/>
      <c r="B190" s="224" t="s">
        <v>24</v>
      </c>
      <c r="C190" s="219"/>
      <c r="D190" s="219">
        <v>52</v>
      </c>
      <c r="E190" s="219">
        <v>0</v>
      </c>
      <c r="F190" s="219">
        <v>852</v>
      </c>
      <c r="G190" s="1" t="s">
        <v>36</v>
      </c>
      <c r="H190" s="1" t="s">
        <v>57</v>
      </c>
      <c r="I190" s="1" t="s">
        <v>435</v>
      </c>
      <c r="J190" s="1" t="s">
        <v>25</v>
      </c>
      <c r="K190" s="2">
        <f>'6 Вед15'!J259</f>
        <v>836500</v>
      </c>
      <c r="L190" s="2">
        <f>'6 Вед15'!K259</f>
        <v>0</v>
      </c>
      <c r="M190" s="2">
        <f t="shared" si="247"/>
        <v>836500</v>
      </c>
      <c r="N190" s="2">
        <f>'6 Вед15'!M259</f>
        <v>0</v>
      </c>
      <c r="O190" s="2">
        <f t="shared" si="248"/>
        <v>836500</v>
      </c>
      <c r="P190" s="2">
        <f>'6 Вед15'!O259</f>
        <v>0</v>
      </c>
      <c r="Q190" s="2">
        <f t="shared" ref="Q190" si="295">O190+P190</f>
        <v>836500</v>
      </c>
      <c r="R190" s="2">
        <f>'6 Вед15'!Q259</f>
        <v>0</v>
      </c>
      <c r="S190" s="2">
        <f t="shared" ref="S190" si="296">Q190+R190</f>
        <v>836500</v>
      </c>
    </row>
    <row r="191" spans="1:19" s="23" customFormat="1" ht="13.5" customHeight="1" x14ac:dyDescent="0.25">
      <c r="A191" s="537" t="s">
        <v>115</v>
      </c>
      <c r="B191" s="537"/>
      <c r="C191" s="225"/>
      <c r="D191" s="219">
        <v>52</v>
      </c>
      <c r="E191" s="219">
        <v>0</v>
      </c>
      <c r="F191" s="219">
        <v>852</v>
      </c>
      <c r="G191" s="18" t="s">
        <v>36</v>
      </c>
      <c r="H191" s="18" t="s">
        <v>17</v>
      </c>
      <c r="I191" s="18" t="s">
        <v>231</v>
      </c>
      <c r="J191" s="18"/>
      <c r="K191" s="21">
        <f t="shared" ref="K191:S192" si="297">K192</f>
        <v>11495900</v>
      </c>
      <c r="L191" s="21">
        <f t="shared" si="297"/>
        <v>0</v>
      </c>
      <c r="M191" s="21">
        <f t="shared" si="297"/>
        <v>11495900</v>
      </c>
      <c r="N191" s="21">
        <f t="shared" si="297"/>
        <v>0</v>
      </c>
      <c r="O191" s="21">
        <f t="shared" si="297"/>
        <v>11495900</v>
      </c>
      <c r="P191" s="21">
        <f t="shared" si="297"/>
        <v>0</v>
      </c>
      <c r="Q191" s="21">
        <f t="shared" si="297"/>
        <v>11495900</v>
      </c>
      <c r="R191" s="21">
        <f t="shared" si="297"/>
        <v>1176182</v>
      </c>
      <c r="S191" s="21">
        <f t="shared" si="297"/>
        <v>12672082</v>
      </c>
    </row>
    <row r="192" spans="1:19" s="23" customFormat="1" ht="24.75" customHeight="1" x14ac:dyDescent="0.25">
      <c r="A192" s="228"/>
      <c r="B192" s="228" t="s">
        <v>91</v>
      </c>
      <c r="C192" s="225"/>
      <c r="D192" s="219">
        <v>52</v>
      </c>
      <c r="E192" s="219">
        <v>0</v>
      </c>
      <c r="F192" s="219">
        <v>852</v>
      </c>
      <c r="G192" s="18" t="s">
        <v>36</v>
      </c>
      <c r="H192" s="18" t="s">
        <v>17</v>
      </c>
      <c r="I192" s="18" t="s">
        <v>231</v>
      </c>
      <c r="J192" s="18" t="s">
        <v>87</v>
      </c>
      <c r="K192" s="21">
        <f t="shared" si="297"/>
        <v>11495900</v>
      </c>
      <c r="L192" s="21">
        <f t="shared" si="297"/>
        <v>0</v>
      </c>
      <c r="M192" s="21">
        <f t="shared" si="297"/>
        <v>11495900</v>
      </c>
      <c r="N192" s="21">
        <f t="shared" si="297"/>
        <v>0</v>
      </c>
      <c r="O192" s="21">
        <f t="shared" si="297"/>
        <v>11495900</v>
      </c>
      <c r="P192" s="21">
        <f t="shared" si="297"/>
        <v>0</v>
      </c>
      <c r="Q192" s="21">
        <f t="shared" si="297"/>
        <v>11495900</v>
      </c>
      <c r="R192" s="21">
        <f t="shared" si="297"/>
        <v>1176182</v>
      </c>
      <c r="S192" s="21">
        <f t="shared" si="297"/>
        <v>12672082</v>
      </c>
    </row>
    <row r="193" spans="1:19" s="6" customFormat="1" ht="39" customHeight="1" x14ac:dyDescent="0.25">
      <c r="A193" s="228"/>
      <c r="B193" s="228" t="s">
        <v>88</v>
      </c>
      <c r="C193" s="225"/>
      <c r="D193" s="219">
        <v>52</v>
      </c>
      <c r="E193" s="219">
        <v>0</v>
      </c>
      <c r="F193" s="219">
        <v>852</v>
      </c>
      <c r="G193" s="1" t="s">
        <v>36</v>
      </c>
      <c r="H193" s="1" t="s">
        <v>17</v>
      </c>
      <c r="I193" s="1" t="s">
        <v>231</v>
      </c>
      <c r="J193" s="1" t="s">
        <v>89</v>
      </c>
      <c r="K193" s="2">
        <f>'6 Вед15'!J214</f>
        <v>11495900</v>
      </c>
      <c r="L193" s="2">
        <f>'6 Вед15'!K214</f>
        <v>0</v>
      </c>
      <c r="M193" s="2">
        <f t="shared" si="247"/>
        <v>11495900</v>
      </c>
      <c r="N193" s="2">
        <f>'6 Вед15'!M214</f>
        <v>0</v>
      </c>
      <c r="O193" s="2">
        <f t="shared" si="248"/>
        <v>11495900</v>
      </c>
      <c r="P193" s="2">
        <f>'6 Вед15'!O214</f>
        <v>0</v>
      </c>
      <c r="Q193" s="2">
        <f t="shared" ref="Q193" si="298">O193+P193</f>
        <v>11495900</v>
      </c>
      <c r="R193" s="2">
        <f>'6 Вед15'!Q214</f>
        <v>1176182</v>
      </c>
      <c r="S193" s="2">
        <f t="shared" ref="S193" si="299">Q193+R193</f>
        <v>12672082</v>
      </c>
    </row>
    <row r="194" spans="1:19" s="6" customFormat="1" x14ac:dyDescent="0.25">
      <c r="A194" s="509" t="s">
        <v>123</v>
      </c>
      <c r="B194" s="509"/>
      <c r="C194" s="225"/>
      <c r="D194" s="219">
        <v>52</v>
      </c>
      <c r="E194" s="219">
        <v>0</v>
      </c>
      <c r="F194" s="219">
        <v>852</v>
      </c>
      <c r="G194" s="1" t="s">
        <v>36</v>
      </c>
      <c r="H194" s="1" t="s">
        <v>72</v>
      </c>
      <c r="I194" s="1" t="s">
        <v>232</v>
      </c>
      <c r="J194" s="1"/>
      <c r="K194" s="2">
        <f t="shared" ref="K194:S195" si="300">K195</f>
        <v>13985000</v>
      </c>
      <c r="L194" s="2">
        <f t="shared" si="300"/>
        <v>0</v>
      </c>
      <c r="M194" s="2">
        <f t="shared" si="300"/>
        <v>13985000</v>
      </c>
      <c r="N194" s="2">
        <f t="shared" si="300"/>
        <v>-49248</v>
      </c>
      <c r="O194" s="2">
        <f t="shared" si="300"/>
        <v>13935752</v>
      </c>
      <c r="P194" s="2">
        <f t="shared" si="300"/>
        <v>0</v>
      </c>
      <c r="Q194" s="2">
        <f t="shared" si="300"/>
        <v>13935752</v>
      </c>
      <c r="R194" s="2">
        <f t="shared" si="300"/>
        <v>0</v>
      </c>
      <c r="S194" s="2">
        <f t="shared" si="300"/>
        <v>13935752</v>
      </c>
    </row>
    <row r="195" spans="1:19" s="6" customFormat="1" ht="24" x14ac:dyDescent="0.25">
      <c r="A195" s="225"/>
      <c r="B195" s="228" t="s">
        <v>91</v>
      </c>
      <c r="C195" s="225"/>
      <c r="D195" s="219">
        <v>52</v>
      </c>
      <c r="E195" s="219">
        <v>0</v>
      </c>
      <c r="F195" s="219">
        <v>852</v>
      </c>
      <c r="G195" s="1" t="s">
        <v>36</v>
      </c>
      <c r="H195" s="18" t="s">
        <v>72</v>
      </c>
      <c r="I195" s="18" t="s">
        <v>232</v>
      </c>
      <c r="J195" s="1" t="s">
        <v>87</v>
      </c>
      <c r="K195" s="2">
        <f t="shared" si="300"/>
        <v>13985000</v>
      </c>
      <c r="L195" s="2">
        <f t="shared" si="300"/>
        <v>0</v>
      </c>
      <c r="M195" s="2">
        <f t="shared" si="300"/>
        <v>13985000</v>
      </c>
      <c r="N195" s="2">
        <f t="shared" si="300"/>
        <v>-49248</v>
      </c>
      <c r="O195" s="2">
        <f t="shared" si="300"/>
        <v>13935752</v>
      </c>
      <c r="P195" s="2">
        <f t="shared" si="300"/>
        <v>0</v>
      </c>
      <c r="Q195" s="2">
        <f t="shared" si="300"/>
        <v>13935752</v>
      </c>
      <c r="R195" s="2">
        <f t="shared" si="300"/>
        <v>0</v>
      </c>
      <c r="S195" s="2">
        <f t="shared" si="300"/>
        <v>13935752</v>
      </c>
    </row>
    <row r="196" spans="1:19" s="6" customFormat="1" ht="36" x14ac:dyDescent="0.25">
      <c r="A196" s="225"/>
      <c r="B196" s="228" t="s">
        <v>88</v>
      </c>
      <c r="C196" s="225"/>
      <c r="D196" s="219">
        <v>52</v>
      </c>
      <c r="E196" s="219">
        <v>0</v>
      </c>
      <c r="F196" s="219">
        <v>852</v>
      </c>
      <c r="G196" s="1" t="s">
        <v>36</v>
      </c>
      <c r="H196" s="18" t="s">
        <v>72</v>
      </c>
      <c r="I196" s="18" t="s">
        <v>232</v>
      </c>
      <c r="J196" s="1" t="s">
        <v>89</v>
      </c>
      <c r="K196" s="2">
        <f>'6 Вед15'!J230</f>
        <v>13985000</v>
      </c>
      <c r="L196" s="2">
        <f>'6 Вед15'!K230</f>
        <v>0</v>
      </c>
      <c r="M196" s="2">
        <f t="shared" si="247"/>
        <v>13985000</v>
      </c>
      <c r="N196" s="2">
        <f>'6 Вед15'!M230</f>
        <v>-49248</v>
      </c>
      <c r="O196" s="2">
        <f t="shared" si="248"/>
        <v>13935752</v>
      </c>
      <c r="P196" s="2">
        <f>'6 Вед15'!O230</f>
        <v>0</v>
      </c>
      <c r="Q196" s="2">
        <f t="shared" ref="Q196" si="301">O196+P196</f>
        <v>13935752</v>
      </c>
      <c r="R196" s="2">
        <f>'6 Вед15'!Q230</f>
        <v>0</v>
      </c>
      <c r="S196" s="2">
        <f t="shared" ref="S196" si="302">Q196+R196</f>
        <v>13935752</v>
      </c>
    </row>
    <row r="197" spans="1:19" s="6" customFormat="1" x14ac:dyDescent="0.25">
      <c r="A197" s="509" t="s">
        <v>125</v>
      </c>
      <c r="B197" s="509"/>
      <c r="C197" s="225"/>
      <c r="D197" s="219">
        <v>52</v>
      </c>
      <c r="E197" s="219">
        <v>0</v>
      </c>
      <c r="F197" s="219">
        <v>852</v>
      </c>
      <c r="G197" s="18" t="s">
        <v>36</v>
      </c>
      <c r="H197" s="18" t="s">
        <v>72</v>
      </c>
      <c r="I197" s="18" t="s">
        <v>233</v>
      </c>
      <c r="J197" s="1"/>
      <c r="K197" s="2">
        <f t="shared" ref="K197:S198" si="303">K198</f>
        <v>8331600</v>
      </c>
      <c r="L197" s="2">
        <f t="shared" si="303"/>
        <v>0</v>
      </c>
      <c r="M197" s="2">
        <f t="shared" si="303"/>
        <v>8331600</v>
      </c>
      <c r="N197" s="2">
        <f t="shared" si="303"/>
        <v>0</v>
      </c>
      <c r="O197" s="2">
        <f t="shared" si="303"/>
        <v>8331600</v>
      </c>
      <c r="P197" s="2">
        <f t="shared" si="303"/>
        <v>0</v>
      </c>
      <c r="Q197" s="2">
        <f t="shared" si="303"/>
        <v>8331600</v>
      </c>
      <c r="R197" s="2">
        <f t="shared" si="303"/>
        <v>-329104</v>
      </c>
      <c r="S197" s="2">
        <f t="shared" si="303"/>
        <v>8002496</v>
      </c>
    </row>
    <row r="198" spans="1:19" s="6" customFormat="1" ht="24" x14ac:dyDescent="0.25">
      <c r="A198" s="225"/>
      <c r="B198" s="228" t="s">
        <v>91</v>
      </c>
      <c r="C198" s="225"/>
      <c r="D198" s="219">
        <v>52</v>
      </c>
      <c r="E198" s="219">
        <v>0</v>
      </c>
      <c r="F198" s="219">
        <v>852</v>
      </c>
      <c r="G198" s="1" t="s">
        <v>36</v>
      </c>
      <c r="H198" s="18" t="s">
        <v>72</v>
      </c>
      <c r="I198" s="18" t="s">
        <v>233</v>
      </c>
      <c r="J198" s="1" t="s">
        <v>87</v>
      </c>
      <c r="K198" s="2">
        <f t="shared" si="303"/>
        <v>8331600</v>
      </c>
      <c r="L198" s="2">
        <f t="shared" si="303"/>
        <v>0</v>
      </c>
      <c r="M198" s="2">
        <f t="shared" si="303"/>
        <v>8331600</v>
      </c>
      <c r="N198" s="2">
        <f t="shared" si="303"/>
        <v>0</v>
      </c>
      <c r="O198" s="2">
        <f t="shared" si="303"/>
        <v>8331600</v>
      </c>
      <c r="P198" s="2">
        <f t="shared" si="303"/>
        <v>0</v>
      </c>
      <c r="Q198" s="2">
        <f t="shared" si="303"/>
        <v>8331600</v>
      </c>
      <c r="R198" s="2">
        <f t="shared" si="303"/>
        <v>-329104</v>
      </c>
      <c r="S198" s="2">
        <f t="shared" si="303"/>
        <v>8002496</v>
      </c>
    </row>
    <row r="199" spans="1:19" s="6" customFormat="1" x14ac:dyDescent="0.25">
      <c r="A199" s="225"/>
      <c r="B199" s="17" t="s">
        <v>119</v>
      </c>
      <c r="C199" s="225"/>
      <c r="D199" s="219">
        <v>52</v>
      </c>
      <c r="E199" s="219">
        <v>0</v>
      </c>
      <c r="F199" s="219">
        <v>852</v>
      </c>
      <c r="G199" s="1" t="s">
        <v>36</v>
      </c>
      <c r="H199" s="18" t="s">
        <v>72</v>
      </c>
      <c r="I199" s="18" t="s">
        <v>233</v>
      </c>
      <c r="J199" s="1" t="s">
        <v>89</v>
      </c>
      <c r="K199" s="2">
        <f>'6 Вед15'!J233</f>
        <v>8331600</v>
      </c>
      <c r="L199" s="2">
        <f>'6 Вед15'!K233</f>
        <v>0</v>
      </c>
      <c r="M199" s="2">
        <f t="shared" si="247"/>
        <v>8331600</v>
      </c>
      <c r="N199" s="2">
        <f>'6 Вед15'!M233</f>
        <v>0</v>
      </c>
      <c r="O199" s="2">
        <f t="shared" si="248"/>
        <v>8331600</v>
      </c>
      <c r="P199" s="2">
        <f>'6 Вед15'!O233</f>
        <v>0</v>
      </c>
      <c r="Q199" s="2">
        <f t="shared" ref="Q199" si="304">O199+P199</f>
        <v>8331600</v>
      </c>
      <c r="R199" s="2">
        <f>'6 Вед15'!Q233</f>
        <v>-329104</v>
      </c>
      <c r="S199" s="2">
        <f t="shared" ref="S199" si="305">Q199+R199</f>
        <v>8002496</v>
      </c>
    </row>
    <row r="200" spans="1:19" s="6" customFormat="1" ht="15" customHeight="1" x14ac:dyDescent="0.25">
      <c r="A200" s="509" t="s">
        <v>132</v>
      </c>
      <c r="B200" s="509"/>
      <c r="C200" s="225"/>
      <c r="D200" s="219">
        <v>52</v>
      </c>
      <c r="E200" s="219">
        <v>0</v>
      </c>
      <c r="F200" s="219">
        <v>852</v>
      </c>
      <c r="G200" s="1" t="s">
        <v>36</v>
      </c>
      <c r="H200" s="1" t="s">
        <v>57</v>
      </c>
      <c r="I200" s="1" t="s">
        <v>236</v>
      </c>
      <c r="J200" s="1"/>
      <c r="K200" s="2">
        <f t="shared" ref="K200:O200" si="306">K201+K203+K205+K207</f>
        <v>9831800</v>
      </c>
      <c r="L200" s="2">
        <f t="shared" si="306"/>
        <v>0</v>
      </c>
      <c r="M200" s="2">
        <f t="shared" si="306"/>
        <v>9831800</v>
      </c>
      <c r="N200" s="2">
        <f t="shared" si="306"/>
        <v>57314</v>
      </c>
      <c r="O200" s="2">
        <f t="shared" si="306"/>
        <v>9889114</v>
      </c>
      <c r="P200" s="2">
        <f t="shared" ref="P200:Q200" si="307">P201+P203+P205+P207</f>
        <v>0</v>
      </c>
      <c r="Q200" s="2">
        <f t="shared" si="307"/>
        <v>9889114</v>
      </c>
      <c r="R200" s="2">
        <f t="shared" ref="R200:S200" si="308">R201+R203+R205+R207</f>
        <v>384100</v>
      </c>
      <c r="S200" s="2">
        <f t="shared" si="308"/>
        <v>10273214</v>
      </c>
    </row>
    <row r="201" spans="1:19" s="6" customFormat="1" ht="36.75" customHeight="1" x14ac:dyDescent="0.25">
      <c r="A201" s="15"/>
      <c r="B201" s="224" t="s">
        <v>21</v>
      </c>
      <c r="C201" s="219"/>
      <c r="D201" s="219">
        <v>52</v>
      </c>
      <c r="E201" s="219">
        <v>0</v>
      </c>
      <c r="F201" s="219">
        <v>852</v>
      </c>
      <c r="G201" s="1" t="s">
        <v>36</v>
      </c>
      <c r="H201" s="1" t="s">
        <v>57</v>
      </c>
      <c r="I201" s="1" t="s">
        <v>236</v>
      </c>
      <c r="J201" s="1" t="s">
        <v>23</v>
      </c>
      <c r="K201" s="2">
        <f t="shared" ref="K201:S201" si="309">K202</f>
        <v>2427300</v>
      </c>
      <c r="L201" s="2">
        <f t="shared" si="309"/>
        <v>0</v>
      </c>
      <c r="M201" s="2">
        <f t="shared" si="309"/>
        <v>2427300</v>
      </c>
      <c r="N201" s="2">
        <f t="shared" si="309"/>
        <v>1824</v>
      </c>
      <c r="O201" s="2">
        <f t="shared" si="309"/>
        <v>2429124</v>
      </c>
      <c r="P201" s="2">
        <f t="shared" si="309"/>
        <v>0</v>
      </c>
      <c r="Q201" s="2">
        <f t="shared" si="309"/>
        <v>2429124</v>
      </c>
      <c r="R201" s="2">
        <f t="shared" si="309"/>
        <v>0</v>
      </c>
      <c r="S201" s="2">
        <f t="shared" si="309"/>
        <v>2429124</v>
      </c>
    </row>
    <row r="202" spans="1:19" s="6" customFormat="1" ht="12.75" customHeight="1" x14ac:dyDescent="0.25">
      <c r="A202" s="15"/>
      <c r="B202" s="224" t="s">
        <v>24</v>
      </c>
      <c r="C202" s="219"/>
      <c r="D202" s="219">
        <v>52</v>
      </c>
      <c r="E202" s="219">
        <v>0</v>
      </c>
      <c r="F202" s="219">
        <v>852</v>
      </c>
      <c r="G202" s="1" t="s">
        <v>36</v>
      </c>
      <c r="H202" s="1" t="s">
        <v>57</v>
      </c>
      <c r="I202" s="1" t="s">
        <v>236</v>
      </c>
      <c r="J202" s="1" t="s">
        <v>25</v>
      </c>
      <c r="K202" s="2">
        <f>'6 Вед15'!J262</f>
        <v>2427300</v>
      </c>
      <c r="L202" s="2">
        <f>'6 Вед15'!K262</f>
        <v>0</v>
      </c>
      <c r="M202" s="2">
        <f t="shared" si="247"/>
        <v>2427300</v>
      </c>
      <c r="N202" s="2">
        <f>'6 Вед15'!M262</f>
        <v>1824</v>
      </c>
      <c r="O202" s="2">
        <f t="shared" si="248"/>
        <v>2429124</v>
      </c>
      <c r="P202" s="2">
        <f>'6 Вед15'!O262</f>
        <v>0</v>
      </c>
      <c r="Q202" s="2">
        <f t="shared" ref="Q202" si="310">O202+P202</f>
        <v>2429124</v>
      </c>
      <c r="R202" s="2">
        <f>'6 Вед15'!Q262</f>
        <v>0</v>
      </c>
      <c r="S202" s="2">
        <f t="shared" ref="S202" si="311">Q202+R202</f>
        <v>2429124</v>
      </c>
    </row>
    <row r="203" spans="1:19" s="6" customFormat="1" ht="12" customHeight="1" x14ac:dyDescent="0.25">
      <c r="A203" s="224"/>
      <c r="B203" s="228" t="s">
        <v>27</v>
      </c>
      <c r="C203" s="224"/>
      <c r="D203" s="219">
        <v>52</v>
      </c>
      <c r="E203" s="219">
        <v>0</v>
      </c>
      <c r="F203" s="219">
        <v>852</v>
      </c>
      <c r="G203" s="1" t="s">
        <v>36</v>
      </c>
      <c r="H203" s="1" t="s">
        <v>57</v>
      </c>
      <c r="I203" s="1" t="s">
        <v>236</v>
      </c>
      <c r="J203" s="1" t="s">
        <v>28</v>
      </c>
      <c r="K203" s="2">
        <f t="shared" ref="K203:S203" si="312">K204</f>
        <v>505100</v>
      </c>
      <c r="L203" s="2">
        <f t="shared" si="312"/>
        <v>0</v>
      </c>
      <c r="M203" s="2">
        <f t="shared" si="312"/>
        <v>505100</v>
      </c>
      <c r="N203" s="2">
        <f t="shared" si="312"/>
        <v>-1824</v>
      </c>
      <c r="O203" s="2">
        <f t="shared" si="312"/>
        <v>503276</v>
      </c>
      <c r="P203" s="2">
        <f t="shared" si="312"/>
        <v>0</v>
      </c>
      <c r="Q203" s="2">
        <f t="shared" si="312"/>
        <v>503276</v>
      </c>
      <c r="R203" s="2">
        <f t="shared" si="312"/>
        <v>0</v>
      </c>
      <c r="S203" s="2">
        <f t="shared" si="312"/>
        <v>503276</v>
      </c>
    </row>
    <row r="204" spans="1:19" s="6" customFormat="1" ht="24" customHeight="1" x14ac:dyDescent="0.25">
      <c r="A204" s="224"/>
      <c r="B204" s="228" t="s">
        <v>29</v>
      </c>
      <c r="C204" s="225"/>
      <c r="D204" s="219">
        <v>52</v>
      </c>
      <c r="E204" s="219">
        <v>0</v>
      </c>
      <c r="F204" s="219">
        <v>852</v>
      </c>
      <c r="G204" s="1" t="s">
        <v>36</v>
      </c>
      <c r="H204" s="1" t="s">
        <v>57</v>
      </c>
      <c r="I204" s="1" t="s">
        <v>236</v>
      </c>
      <c r="J204" s="1" t="s">
        <v>30</v>
      </c>
      <c r="K204" s="2">
        <f>'6 Вед15'!J264</f>
        <v>505100</v>
      </c>
      <c r="L204" s="2">
        <f>'6 Вед15'!K264</f>
        <v>0</v>
      </c>
      <c r="M204" s="2">
        <f t="shared" si="247"/>
        <v>505100</v>
      </c>
      <c r="N204" s="2">
        <f>'6 Вед15'!M264</f>
        <v>-1824</v>
      </c>
      <c r="O204" s="2">
        <f t="shared" si="248"/>
        <v>503276</v>
      </c>
      <c r="P204" s="2">
        <f>'6 Вед15'!O264</f>
        <v>0</v>
      </c>
      <c r="Q204" s="2">
        <f t="shared" ref="Q204" si="313">O204+P204</f>
        <v>503276</v>
      </c>
      <c r="R204" s="2">
        <f>'6 Вед15'!Q264</f>
        <v>0</v>
      </c>
      <c r="S204" s="2">
        <f t="shared" ref="S204" si="314">Q204+R204</f>
        <v>503276</v>
      </c>
    </row>
    <row r="205" spans="1:19" s="6" customFormat="1" ht="24" x14ac:dyDescent="0.25">
      <c r="A205" s="225"/>
      <c r="B205" s="228" t="s">
        <v>91</v>
      </c>
      <c r="C205" s="225"/>
      <c r="D205" s="219">
        <v>52</v>
      </c>
      <c r="E205" s="219">
        <v>0</v>
      </c>
      <c r="F205" s="219">
        <v>852</v>
      </c>
      <c r="G205" s="1" t="s">
        <v>36</v>
      </c>
      <c r="H205" s="1" t="s">
        <v>57</v>
      </c>
      <c r="I205" s="1" t="s">
        <v>236</v>
      </c>
      <c r="J205" s="1" t="s">
        <v>87</v>
      </c>
      <c r="K205" s="2">
        <f t="shared" ref="K205:S205" si="315">K206</f>
        <v>6887400</v>
      </c>
      <c r="L205" s="2">
        <f t="shared" si="315"/>
        <v>0</v>
      </c>
      <c r="M205" s="2">
        <f t="shared" si="315"/>
        <v>6887400</v>
      </c>
      <c r="N205" s="2">
        <f t="shared" si="315"/>
        <v>57314</v>
      </c>
      <c r="O205" s="2">
        <f t="shared" si="315"/>
        <v>6944714</v>
      </c>
      <c r="P205" s="2">
        <f t="shared" si="315"/>
        <v>0</v>
      </c>
      <c r="Q205" s="2">
        <f t="shared" si="315"/>
        <v>6944714</v>
      </c>
      <c r="R205" s="2">
        <f t="shared" si="315"/>
        <v>384100</v>
      </c>
      <c r="S205" s="2">
        <f t="shared" si="315"/>
        <v>7328814</v>
      </c>
    </row>
    <row r="206" spans="1:19" s="6" customFormat="1" ht="36" x14ac:dyDescent="0.25">
      <c r="A206" s="225"/>
      <c r="B206" s="228" t="s">
        <v>88</v>
      </c>
      <c r="C206" s="225"/>
      <c r="D206" s="219">
        <v>52</v>
      </c>
      <c r="E206" s="219">
        <v>0</v>
      </c>
      <c r="F206" s="219">
        <v>852</v>
      </c>
      <c r="G206" s="1" t="s">
        <v>36</v>
      </c>
      <c r="H206" s="1" t="s">
        <v>57</v>
      </c>
      <c r="I206" s="1" t="s">
        <v>236</v>
      </c>
      <c r="J206" s="1" t="s">
        <v>89</v>
      </c>
      <c r="K206" s="2">
        <f>'6 Вед15'!J266</f>
        <v>6887400</v>
      </c>
      <c r="L206" s="2">
        <f>'6 Вед15'!K266</f>
        <v>0</v>
      </c>
      <c r="M206" s="2">
        <f t="shared" si="247"/>
        <v>6887400</v>
      </c>
      <c r="N206" s="2">
        <f>'6 Вед15'!M266</f>
        <v>57314</v>
      </c>
      <c r="O206" s="2">
        <f t="shared" si="248"/>
        <v>6944714</v>
      </c>
      <c r="P206" s="2">
        <f>'6 Вед15'!O266</f>
        <v>0</v>
      </c>
      <c r="Q206" s="2">
        <f t="shared" ref="Q206" si="316">O206+P206</f>
        <v>6944714</v>
      </c>
      <c r="R206" s="2">
        <f>'6 Вед15'!Q266</f>
        <v>384100</v>
      </c>
      <c r="S206" s="2">
        <f t="shared" ref="S206" si="317">Q206+R206</f>
        <v>7328814</v>
      </c>
    </row>
    <row r="207" spans="1:19" s="6" customFormat="1" ht="12" customHeight="1" x14ac:dyDescent="0.25">
      <c r="A207" s="225"/>
      <c r="B207" s="225" t="s">
        <v>31</v>
      </c>
      <c r="C207" s="225"/>
      <c r="D207" s="219">
        <v>52</v>
      </c>
      <c r="E207" s="219">
        <v>0</v>
      </c>
      <c r="F207" s="219">
        <v>852</v>
      </c>
      <c r="G207" s="1" t="s">
        <v>36</v>
      </c>
      <c r="H207" s="1" t="s">
        <v>57</v>
      </c>
      <c r="I207" s="1" t="s">
        <v>236</v>
      </c>
      <c r="J207" s="1" t="s">
        <v>32</v>
      </c>
      <c r="K207" s="2">
        <f t="shared" ref="K207:P207" si="318">K208</f>
        <v>12000</v>
      </c>
      <c r="L207" s="2">
        <f t="shared" si="318"/>
        <v>0</v>
      </c>
      <c r="M207" s="2">
        <f t="shared" si="318"/>
        <v>12000</v>
      </c>
      <c r="N207" s="2">
        <f t="shared" si="318"/>
        <v>0</v>
      </c>
      <c r="O207" s="2">
        <f t="shared" si="318"/>
        <v>12000</v>
      </c>
      <c r="P207" s="2">
        <f t="shared" si="318"/>
        <v>0</v>
      </c>
      <c r="Q207" s="2">
        <f>Q208+Q209</f>
        <v>12000</v>
      </c>
      <c r="R207" s="2">
        <f t="shared" ref="R207:S207" si="319">R208+R209</f>
        <v>0</v>
      </c>
      <c r="S207" s="2">
        <f t="shared" si="319"/>
        <v>12000</v>
      </c>
    </row>
    <row r="208" spans="1:19" s="6" customFormat="1" ht="12.75" customHeight="1" x14ac:dyDescent="0.25">
      <c r="A208" s="225"/>
      <c r="B208" s="225" t="s">
        <v>33</v>
      </c>
      <c r="C208" s="225"/>
      <c r="D208" s="219">
        <v>52</v>
      </c>
      <c r="E208" s="219">
        <v>0</v>
      </c>
      <c r="F208" s="219">
        <v>852</v>
      </c>
      <c r="G208" s="1" t="s">
        <v>36</v>
      </c>
      <c r="H208" s="1" t="s">
        <v>57</v>
      </c>
      <c r="I208" s="1" t="s">
        <v>236</v>
      </c>
      <c r="J208" s="1" t="s">
        <v>34</v>
      </c>
      <c r="K208" s="2">
        <f>'6 Вед15'!J268</f>
        <v>12000</v>
      </c>
      <c r="L208" s="2">
        <f>'6 Вед15'!K268</f>
        <v>0</v>
      </c>
      <c r="M208" s="2">
        <f t="shared" si="247"/>
        <v>12000</v>
      </c>
      <c r="N208" s="2">
        <f>'6 Вед15'!M268</f>
        <v>0</v>
      </c>
      <c r="O208" s="2">
        <f t="shared" si="248"/>
        <v>12000</v>
      </c>
      <c r="P208" s="2">
        <f>'6 Вед15'!O268</f>
        <v>0</v>
      </c>
      <c r="Q208" s="2">
        <f t="shared" ref="Q208" si="320">O208+P208</f>
        <v>12000</v>
      </c>
      <c r="R208" s="2">
        <f>'6 Вед15'!Q268</f>
        <v>-563</v>
      </c>
      <c r="S208" s="2">
        <f t="shared" ref="S208:S209" si="321">Q208+R208</f>
        <v>11437</v>
      </c>
    </row>
    <row r="209" spans="1:19" s="6" customFormat="1" ht="12.75" customHeight="1" x14ac:dyDescent="0.25">
      <c r="A209" s="440"/>
      <c r="B209" s="443" t="s">
        <v>466</v>
      </c>
      <c r="C209" s="440"/>
      <c r="D209" s="219">
        <v>52</v>
      </c>
      <c r="E209" s="219">
        <v>0</v>
      </c>
      <c r="F209" s="219">
        <v>852</v>
      </c>
      <c r="G209" s="1"/>
      <c r="H209" s="1"/>
      <c r="I209" s="1" t="s">
        <v>236</v>
      </c>
      <c r="J209" s="1" t="s">
        <v>35</v>
      </c>
      <c r="K209" s="2"/>
      <c r="L209" s="2"/>
      <c r="M209" s="2"/>
      <c r="N209" s="2"/>
      <c r="O209" s="2"/>
      <c r="P209" s="2"/>
      <c r="Q209" s="2"/>
      <c r="R209" s="2">
        <f>'6 Вед15'!Q269</f>
        <v>563</v>
      </c>
      <c r="S209" s="2">
        <f t="shared" si="321"/>
        <v>563</v>
      </c>
    </row>
    <row r="210" spans="1:19" s="6" customFormat="1" ht="47.25" customHeight="1" x14ac:dyDescent="0.25">
      <c r="A210" s="509" t="s">
        <v>45</v>
      </c>
      <c r="B210" s="509"/>
      <c r="C210" s="219"/>
      <c r="D210" s="219">
        <v>52</v>
      </c>
      <c r="E210" s="219">
        <v>0</v>
      </c>
      <c r="F210" s="219">
        <v>852</v>
      </c>
      <c r="G210" s="1" t="s">
        <v>0</v>
      </c>
      <c r="H210" s="1" t="s">
        <v>1</v>
      </c>
      <c r="I210" s="1" t="s">
        <v>210</v>
      </c>
      <c r="J210" s="1"/>
      <c r="K210" s="2">
        <f t="shared" ref="K210:O210" si="322">K211+K213</f>
        <v>510800</v>
      </c>
      <c r="L210" s="2">
        <f t="shared" si="322"/>
        <v>0</v>
      </c>
      <c r="M210" s="2">
        <f t="shared" si="322"/>
        <v>510800</v>
      </c>
      <c r="N210" s="2">
        <f t="shared" si="322"/>
        <v>-35763</v>
      </c>
      <c r="O210" s="2">
        <f t="shared" si="322"/>
        <v>475037</v>
      </c>
      <c r="P210" s="2">
        <f t="shared" ref="P210:Q210" si="323">P211+P213</f>
        <v>0</v>
      </c>
      <c r="Q210" s="2">
        <f t="shared" si="323"/>
        <v>475037</v>
      </c>
      <c r="R210" s="2">
        <f t="shared" ref="R210:S210" si="324">R211+R213</f>
        <v>0</v>
      </c>
      <c r="S210" s="2">
        <f t="shared" si="324"/>
        <v>475037</v>
      </c>
    </row>
    <row r="211" spans="1:19" s="6" customFormat="1" ht="39" customHeight="1" x14ac:dyDescent="0.25">
      <c r="A211" s="15"/>
      <c r="B211" s="224" t="s">
        <v>21</v>
      </c>
      <c r="C211" s="219"/>
      <c r="D211" s="219">
        <v>52</v>
      </c>
      <c r="E211" s="219">
        <v>0</v>
      </c>
      <c r="F211" s="219">
        <v>852</v>
      </c>
      <c r="G211" s="18" t="s">
        <v>0</v>
      </c>
      <c r="H211" s="18" t="s">
        <v>1</v>
      </c>
      <c r="I211" s="18" t="s">
        <v>210</v>
      </c>
      <c r="J211" s="1" t="s">
        <v>23</v>
      </c>
      <c r="K211" s="2">
        <f t="shared" ref="K211:S211" si="325">K212</f>
        <v>379550</v>
      </c>
      <c r="L211" s="2">
        <f t="shared" si="325"/>
        <v>0</v>
      </c>
      <c r="M211" s="2">
        <f t="shared" si="325"/>
        <v>379550</v>
      </c>
      <c r="N211" s="2">
        <f t="shared" si="325"/>
        <v>0</v>
      </c>
      <c r="O211" s="2">
        <f t="shared" si="325"/>
        <v>379550</v>
      </c>
      <c r="P211" s="2">
        <f t="shared" si="325"/>
        <v>0</v>
      </c>
      <c r="Q211" s="2">
        <f t="shared" si="325"/>
        <v>379550</v>
      </c>
      <c r="R211" s="2">
        <f t="shared" si="325"/>
        <v>0</v>
      </c>
      <c r="S211" s="2">
        <f t="shared" si="325"/>
        <v>379550</v>
      </c>
    </row>
    <row r="212" spans="1:19" s="6" customFormat="1" ht="15" customHeight="1" x14ac:dyDescent="0.25">
      <c r="A212" s="15"/>
      <c r="B212" s="224" t="s">
        <v>24</v>
      </c>
      <c r="C212" s="219"/>
      <c r="D212" s="219">
        <v>52</v>
      </c>
      <c r="E212" s="219">
        <v>0</v>
      </c>
      <c r="F212" s="219">
        <v>852</v>
      </c>
      <c r="G212" s="18" t="s">
        <v>0</v>
      </c>
      <c r="H212" s="18" t="s">
        <v>1</v>
      </c>
      <c r="I212" s="18" t="s">
        <v>210</v>
      </c>
      <c r="J212" s="1" t="s">
        <v>25</v>
      </c>
      <c r="K212" s="2">
        <f>'6 Вед15'!J296</f>
        <v>379550</v>
      </c>
      <c r="L212" s="2">
        <f>'6 Вед15'!K296</f>
        <v>0</v>
      </c>
      <c r="M212" s="2">
        <f t="shared" si="247"/>
        <v>379550</v>
      </c>
      <c r="N212" s="2">
        <f>'6 Вед15'!M296</f>
        <v>0</v>
      </c>
      <c r="O212" s="2">
        <f t="shared" si="248"/>
        <v>379550</v>
      </c>
      <c r="P212" s="2">
        <f>'6 Вед15'!O296</f>
        <v>0</v>
      </c>
      <c r="Q212" s="2">
        <f t="shared" ref="Q212" si="326">O212+P212</f>
        <v>379550</v>
      </c>
      <c r="R212" s="2">
        <f>'6 Вед15'!Q296</f>
        <v>0</v>
      </c>
      <c r="S212" s="2">
        <f t="shared" ref="S212" si="327">Q212+R212</f>
        <v>379550</v>
      </c>
    </row>
    <row r="213" spans="1:19" s="6" customFormat="1" ht="15" customHeight="1" x14ac:dyDescent="0.25">
      <c r="A213" s="15"/>
      <c r="B213" s="228" t="s">
        <v>27</v>
      </c>
      <c r="C213" s="219"/>
      <c r="D213" s="219">
        <v>52</v>
      </c>
      <c r="E213" s="219">
        <v>0</v>
      </c>
      <c r="F213" s="219">
        <v>852</v>
      </c>
      <c r="G213" s="18" t="s">
        <v>0</v>
      </c>
      <c r="H213" s="18" t="s">
        <v>1</v>
      </c>
      <c r="I213" s="18" t="s">
        <v>210</v>
      </c>
      <c r="J213" s="1" t="s">
        <v>28</v>
      </c>
      <c r="K213" s="2">
        <f t="shared" ref="K213:S213" si="328">K214</f>
        <v>131250</v>
      </c>
      <c r="L213" s="2">
        <f t="shared" si="328"/>
        <v>0</v>
      </c>
      <c r="M213" s="2">
        <f t="shared" si="328"/>
        <v>131250</v>
      </c>
      <c r="N213" s="2">
        <f t="shared" si="328"/>
        <v>-35763</v>
      </c>
      <c r="O213" s="2">
        <f t="shared" si="328"/>
        <v>95487</v>
      </c>
      <c r="P213" s="2">
        <f t="shared" si="328"/>
        <v>0</v>
      </c>
      <c r="Q213" s="2">
        <f t="shared" si="328"/>
        <v>95487</v>
      </c>
      <c r="R213" s="2">
        <f t="shared" si="328"/>
        <v>0</v>
      </c>
      <c r="S213" s="2">
        <f t="shared" si="328"/>
        <v>95487</v>
      </c>
    </row>
    <row r="214" spans="1:19" s="6" customFormat="1" ht="24" customHeight="1" x14ac:dyDescent="0.25">
      <c r="A214" s="15"/>
      <c r="B214" s="228" t="s">
        <v>29</v>
      </c>
      <c r="C214" s="219"/>
      <c r="D214" s="219">
        <v>52</v>
      </c>
      <c r="E214" s="219">
        <v>0</v>
      </c>
      <c r="F214" s="219">
        <v>852</v>
      </c>
      <c r="G214" s="18" t="s">
        <v>0</v>
      </c>
      <c r="H214" s="18" t="s">
        <v>1</v>
      </c>
      <c r="I214" s="18" t="s">
        <v>210</v>
      </c>
      <c r="J214" s="1" t="s">
        <v>30</v>
      </c>
      <c r="K214" s="2">
        <f>'6 Вед15'!J298</f>
        <v>131250</v>
      </c>
      <c r="L214" s="2">
        <f>'6 Вед15'!K298</f>
        <v>0</v>
      </c>
      <c r="M214" s="2">
        <f t="shared" si="247"/>
        <v>131250</v>
      </c>
      <c r="N214" s="2">
        <f>'6 Вед15'!M298</f>
        <v>-35763</v>
      </c>
      <c r="O214" s="2">
        <f t="shared" si="248"/>
        <v>95487</v>
      </c>
      <c r="P214" s="2">
        <f>'6 Вед15'!O298</f>
        <v>0</v>
      </c>
      <c r="Q214" s="2">
        <f t="shared" ref="Q214" si="329">O214+P214</f>
        <v>95487</v>
      </c>
      <c r="R214" s="2">
        <f>'6 Вед15'!Q298</f>
        <v>0</v>
      </c>
      <c r="S214" s="2">
        <f t="shared" ref="S214" si="330">Q214+R214</f>
        <v>95487</v>
      </c>
    </row>
    <row r="215" spans="1:19" s="13" customFormat="1" ht="52.5" customHeight="1" x14ac:dyDescent="0.25">
      <c r="A215" s="533" t="s">
        <v>635</v>
      </c>
      <c r="B215" s="533"/>
      <c r="C215" s="227"/>
      <c r="D215" s="219">
        <v>52</v>
      </c>
      <c r="E215" s="219">
        <v>0</v>
      </c>
      <c r="F215" s="219">
        <v>852</v>
      </c>
      <c r="G215" s="1" t="s">
        <v>36</v>
      </c>
      <c r="H215" s="1" t="s">
        <v>72</v>
      </c>
      <c r="I215" s="1" t="s">
        <v>234</v>
      </c>
      <c r="J215" s="1"/>
      <c r="K215" s="2">
        <f t="shared" ref="K215:S216" si="331">K216</f>
        <v>66777336</v>
      </c>
      <c r="L215" s="2">
        <f t="shared" si="331"/>
        <v>0</v>
      </c>
      <c r="M215" s="2">
        <f t="shared" si="331"/>
        <v>66777336</v>
      </c>
      <c r="N215" s="2">
        <f t="shared" si="331"/>
        <v>0</v>
      </c>
      <c r="O215" s="2">
        <f t="shared" si="331"/>
        <v>66777336</v>
      </c>
      <c r="P215" s="2">
        <f t="shared" si="331"/>
        <v>0</v>
      </c>
      <c r="Q215" s="2">
        <f t="shared" si="331"/>
        <v>66777336</v>
      </c>
      <c r="R215" s="2">
        <f t="shared" si="331"/>
        <v>0</v>
      </c>
      <c r="S215" s="2">
        <f t="shared" si="331"/>
        <v>66777336</v>
      </c>
    </row>
    <row r="216" spans="1:19" s="13" customFormat="1" ht="25.5" customHeight="1" x14ac:dyDescent="0.25">
      <c r="A216" s="228"/>
      <c r="B216" s="228" t="s">
        <v>91</v>
      </c>
      <c r="C216" s="227"/>
      <c r="D216" s="219">
        <v>52</v>
      </c>
      <c r="E216" s="219">
        <v>0</v>
      </c>
      <c r="F216" s="219">
        <v>852</v>
      </c>
      <c r="G216" s="1" t="s">
        <v>36</v>
      </c>
      <c r="H216" s="1" t="s">
        <v>72</v>
      </c>
      <c r="I216" s="1" t="s">
        <v>234</v>
      </c>
      <c r="J216" s="1" t="s">
        <v>87</v>
      </c>
      <c r="K216" s="2">
        <f t="shared" si="331"/>
        <v>66777336</v>
      </c>
      <c r="L216" s="2">
        <f t="shared" si="331"/>
        <v>0</v>
      </c>
      <c r="M216" s="2">
        <f t="shared" si="331"/>
        <v>66777336</v>
      </c>
      <c r="N216" s="2">
        <f t="shared" si="331"/>
        <v>0</v>
      </c>
      <c r="O216" s="2">
        <f t="shared" si="331"/>
        <v>66777336</v>
      </c>
      <c r="P216" s="2">
        <f t="shared" si="331"/>
        <v>0</v>
      </c>
      <c r="Q216" s="2">
        <f t="shared" si="331"/>
        <v>66777336</v>
      </c>
      <c r="R216" s="2">
        <f t="shared" si="331"/>
        <v>0</v>
      </c>
      <c r="S216" s="2">
        <f t="shared" si="331"/>
        <v>66777336</v>
      </c>
    </row>
    <row r="217" spans="1:19" s="13" customFormat="1" ht="35.25" customHeight="1" x14ac:dyDescent="0.25">
      <c r="A217" s="228"/>
      <c r="B217" s="228" t="s">
        <v>88</v>
      </c>
      <c r="C217" s="225"/>
      <c r="D217" s="219">
        <v>52</v>
      </c>
      <c r="E217" s="219">
        <v>0</v>
      </c>
      <c r="F217" s="219">
        <v>852</v>
      </c>
      <c r="G217" s="1" t="s">
        <v>36</v>
      </c>
      <c r="H217" s="1" t="s">
        <v>72</v>
      </c>
      <c r="I217" s="1" t="s">
        <v>234</v>
      </c>
      <c r="J217" s="1" t="s">
        <v>89</v>
      </c>
      <c r="K217" s="2">
        <f>'6 Вед15'!J236</f>
        <v>66777336</v>
      </c>
      <c r="L217" s="2">
        <f>'6 Вед15'!K236</f>
        <v>0</v>
      </c>
      <c r="M217" s="2">
        <f t="shared" si="247"/>
        <v>66777336</v>
      </c>
      <c r="N217" s="2">
        <f>'6 Вед15'!M236</f>
        <v>0</v>
      </c>
      <c r="O217" s="2">
        <f t="shared" si="248"/>
        <v>66777336</v>
      </c>
      <c r="P217" s="2">
        <f>'6 Вед15'!O236</f>
        <v>0</v>
      </c>
      <c r="Q217" s="2">
        <f t="shared" ref="Q217" si="332">O217+P217</f>
        <v>66777336</v>
      </c>
      <c r="R217" s="2">
        <f>'6 Вед15'!Q236</f>
        <v>0</v>
      </c>
      <c r="S217" s="2">
        <f t="shared" ref="S217" si="333">Q217+R217</f>
        <v>66777336</v>
      </c>
    </row>
    <row r="218" spans="1:19" s="13" customFormat="1" ht="25.5" customHeight="1" x14ac:dyDescent="0.25">
      <c r="A218" s="533" t="s">
        <v>634</v>
      </c>
      <c r="B218" s="533"/>
      <c r="C218" s="227"/>
      <c r="D218" s="219">
        <v>52</v>
      </c>
      <c r="E218" s="219">
        <v>0</v>
      </c>
      <c r="F218" s="219">
        <v>852</v>
      </c>
      <c r="G218" s="1" t="s">
        <v>36</v>
      </c>
      <c r="H218" s="1" t="s">
        <v>17</v>
      </c>
      <c r="I218" s="1" t="s">
        <v>229</v>
      </c>
      <c r="J218" s="1"/>
      <c r="K218" s="2">
        <f t="shared" ref="K218:S222" si="334">K219</f>
        <v>21495027</v>
      </c>
      <c r="L218" s="2">
        <f t="shared" si="334"/>
        <v>0</v>
      </c>
      <c r="M218" s="2">
        <f t="shared" si="334"/>
        <v>21495027</v>
      </c>
      <c r="N218" s="2">
        <f t="shared" si="334"/>
        <v>0</v>
      </c>
      <c r="O218" s="2">
        <f t="shared" si="334"/>
        <v>21495027</v>
      </c>
      <c r="P218" s="2">
        <f t="shared" si="334"/>
        <v>0</v>
      </c>
      <c r="Q218" s="2">
        <f t="shared" si="334"/>
        <v>21495027</v>
      </c>
      <c r="R218" s="2">
        <f t="shared" si="334"/>
        <v>0</v>
      </c>
      <c r="S218" s="2">
        <f t="shared" si="334"/>
        <v>21495027</v>
      </c>
    </row>
    <row r="219" spans="1:19" s="13" customFormat="1" ht="24" x14ac:dyDescent="0.25">
      <c r="A219" s="227"/>
      <c r="B219" s="228" t="s">
        <v>91</v>
      </c>
      <c r="C219" s="227"/>
      <c r="D219" s="219">
        <v>52</v>
      </c>
      <c r="E219" s="219">
        <v>0</v>
      </c>
      <c r="F219" s="219">
        <v>852</v>
      </c>
      <c r="G219" s="1" t="s">
        <v>36</v>
      </c>
      <c r="H219" s="1" t="s">
        <v>17</v>
      </c>
      <c r="I219" s="1" t="s">
        <v>229</v>
      </c>
      <c r="J219" s="1" t="s">
        <v>87</v>
      </c>
      <c r="K219" s="2">
        <f t="shared" si="334"/>
        <v>21495027</v>
      </c>
      <c r="L219" s="2">
        <f t="shared" si="334"/>
        <v>0</v>
      </c>
      <c r="M219" s="2">
        <f t="shared" si="334"/>
        <v>21495027</v>
      </c>
      <c r="N219" s="2">
        <f t="shared" si="334"/>
        <v>0</v>
      </c>
      <c r="O219" s="2">
        <f t="shared" si="334"/>
        <v>21495027</v>
      </c>
      <c r="P219" s="2">
        <f t="shared" si="334"/>
        <v>0</v>
      </c>
      <c r="Q219" s="2">
        <f t="shared" si="334"/>
        <v>21495027</v>
      </c>
      <c r="R219" s="2">
        <f t="shared" si="334"/>
        <v>0</v>
      </c>
      <c r="S219" s="2">
        <f t="shared" si="334"/>
        <v>21495027</v>
      </c>
    </row>
    <row r="220" spans="1:19" s="13" customFormat="1" ht="36" x14ac:dyDescent="0.25">
      <c r="A220" s="227"/>
      <c r="B220" s="228" t="s">
        <v>88</v>
      </c>
      <c r="C220" s="227"/>
      <c r="D220" s="219">
        <v>52</v>
      </c>
      <c r="E220" s="219">
        <v>0</v>
      </c>
      <c r="F220" s="219">
        <v>852</v>
      </c>
      <c r="G220" s="1" t="s">
        <v>36</v>
      </c>
      <c r="H220" s="1" t="s">
        <v>17</v>
      </c>
      <c r="I220" s="1" t="s">
        <v>229</v>
      </c>
      <c r="J220" s="1" t="s">
        <v>89</v>
      </c>
      <c r="K220" s="2">
        <f>'6 Вед15'!J217</f>
        <v>21495027</v>
      </c>
      <c r="L220" s="2">
        <f>'6 Вед15'!K217</f>
        <v>0</v>
      </c>
      <c r="M220" s="2">
        <f t="shared" si="247"/>
        <v>21495027</v>
      </c>
      <c r="N220" s="2">
        <f>'6 Вед15'!M217</f>
        <v>0</v>
      </c>
      <c r="O220" s="2">
        <f t="shared" si="248"/>
        <v>21495027</v>
      </c>
      <c r="P220" s="2">
        <f>'6 Вед15'!O217</f>
        <v>0</v>
      </c>
      <c r="Q220" s="2">
        <f t="shared" ref="Q220" si="335">O220+P220</f>
        <v>21495027</v>
      </c>
      <c r="R220" s="2">
        <f>'6 Вед15'!Q217</f>
        <v>0</v>
      </c>
      <c r="S220" s="2">
        <f t="shared" ref="S220" si="336">Q220+R220</f>
        <v>21495027</v>
      </c>
    </row>
    <row r="221" spans="1:19" s="13" customFormat="1" x14ac:dyDescent="0.25">
      <c r="A221" s="516" t="s">
        <v>602</v>
      </c>
      <c r="B221" s="517"/>
      <c r="C221" s="326"/>
      <c r="D221" s="219">
        <v>52</v>
      </c>
      <c r="E221" s="219">
        <v>0</v>
      </c>
      <c r="F221" s="219">
        <v>852</v>
      </c>
      <c r="G221" s="1" t="s">
        <v>36</v>
      </c>
      <c r="H221" s="1" t="s">
        <v>17</v>
      </c>
      <c r="I221" s="1" t="s">
        <v>604</v>
      </c>
      <c r="J221" s="1"/>
      <c r="K221" s="2">
        <f t="shared" si="334"/>
        <v>0</v>
      </c>
      <c r="L221" s="2">
        <f t="shared" si="334"/>
        <v>0</v>
      </c>
      <c r="M221" s="2">
        <f t="shared" si="334"/>
        <v>0</v>
      </c>
      <c r="N221" s="2">
        <f t="shared" si="334"/>
        <v>808050</v>
      </c>
      <c r="O221" s="2">
        <f t="shared" si="334"/>
        <v>808050</v>
      </c>
      <c r="P221" s="2">
        <f t="shared" si="334"/>
        <v>0</v>
      </c>
      <c r="Q221" s="2">
        <f t="shared" si="334"/>
        <v>808050</v>
      </c>
      <c r="R221" s="2">
        <f t="shared" si="334"/>
        <v>0</v>
      </c>
      <c r="S221" s="2">
        <f t="shared" si="334"/>
        <v>808050</v>
      </c>
    </row>
    <row r="222" spans="1:19" s="13" customFormat="1" ht="24" x14ac:dyDescent="0.25">
      <c r="A222" s="325"/>
      <c r="B222" s="325" t="s">
        <v>91</v>
      </c>
      <c r="C222" s="326"/>
      <c r="D222" s="219">
        <v>52</v>
      </c>
      <c r="E222" s="219">
        <v>0</v>
      </c>
      <c r="F222" s="219">
        <v>852</v>
      </c>
      <c r="G222" s="1" t="s">
        <v>36</v>
      </c>
      <c r="H222" s="1" t="s">
        <v>17</v>
      </c>
      <c r="I222" s="1" t="s">
        <v>604</v>
      </c>
      <c r="J222" s="1" t="s">
        <v>87</v>
      </c>
      <c r="K222" s="2">
        <f t="shared" si="334"/>
        <v>0</v>
      </c>
      <c r="L222" s="2">
        <f t="shared" si="334"/>
        <v>0</v>
      </c>
      <c r="M222" s="2">
        <f t="shared" si="334"/>
        <v>0</v>
      </c>
      <c r="N222" s="2">
        <f t="shared" si="334"/>
        <v>808050</v>
      </c>
      <c r="O222" s="2">
        <f t="shared" si="334"/>
        <v>808050</v>
      </c>
      <c r="P222" s="2">
        <f t="shared" si="334"/>
        <v>0</v>
      </c>
      <c r="Q222" s="2">
        <f t="shared" si="334"/>
        <v>808050</v>
      </c>
      <c r="R222" s="2">
        <f t="shared" si="334"/>
        <v>0</v>
      </c>
      <c r="S222" s="2">
        <f t="shared" si="334"/>
        <v>808050</v>
      </c>
    </row>
    <row r="223" spans="1:19" s="13" customFormat="1" x14ac:dyDescent="0.25">
      <c r="A223" s="325"/>
      <c r="B223" s="17" t="s">
        <v>119</v>
      </c>
      <c r="C223" s="326"/>
      <c r="D223" s="219">
        <v>52</v>
      </c>
      <c r="E223" s="219">
        <v>0</v>
      </c>
      <c r="F223" s="219">
        <v>852</v>
      </c>
      <c r="G223" s="1" t="s">
        <v>36</v>
      </c>
      <c r="H223" s="1" t="s">
        <v>17</v>
      </c>
      <c r="I223" s="1" t="s">
        <v>604</v>
      </c>
      <c r="J223" s="1" t="s">
        <v>120</v>
      </c>
      <c r="K223" s="2"/>
      <c r="L223" s="2">
        <f>'6 Вед15'!K239</f>
        <v>0</v>
      </c>
      <c r="M223" s="2">
        <f t="shared" ref="M223:M288" si="337">K223+L223</f>
        <v>0</v>
      </c>
      <c r="N223" s="2">
        <f>'6 Вед15'!M239</f>
        <v>808050</v>
      </c>
      <c r="O223" s="2">
        <f t="shared" ref="O223:O284" si="338">M223+N223</f>
        <v>808050</v>
      </c>
      <c r="P223" s="2">
        <f>'6 Вед15'!O239</f>
        <v>0</v>
      </c>
      <c r="Q223" s="2">
        <f t="shared" ref="Q223" si="339">O223+P223</f>
        <v>808050</v>
      </c>
      <c r="R223" s="2">
        <f>'6 Вед15'!Q239</f>
        <v>0</v>
      </c>
      <c r="S223" s="2">
        <f t="shared" ref="S223" si="340">Q223+R223</f>
        <v>808050</v>
      </c>
    </row>
    <row r="224" spans="1:19" s="13" customFormat="1" ht="39" customHeight="1" x14ac:dyDescent="0.25">
      <c r="A224" s="533" t="s">
        <v>113</v>
      </c>
      <c r="B224" s="533"/>
      <c r="C224" s="227"/>
      <c r="D224" s="219">
        <v>52</v>
      </c>
      <c r="E224" s="219">
        <v>0</v>
      </c>
      <c r="F224" s="219">
        <v>852</v>
      </c>
      <c r="G224" s="1" t="s">
        <v>36</v>
      </c>
      <c r="H224" s="1" t="s">
        <v>17</v>
      </c>
      <c r="I224" s="1" t="s">
        <v>230</v>
      </c>
      <c r="J224" s="1"/>
      <c r="K224" s="2">
        <f t="shared" ref="K224" si="341">K225+K227</f>
        <v>4690260</v>
      </c>
      <c r="L224" s="2">
        <f t="shared" ref="L224:O224" si="342">L225+L227</f>
        <v>0</v>
      </c>
      <c r="M224" s="2">
        <f t="shared" si="342"/>
        <v>4690260</v>
      </c>
      <c r="N224" s="2">
        <f t="shared" si="342"/>
        <v>0</v>
      </c>
      <c r="O224" s="2">
        <f t="shared" si="342"/>
        <v>4690260</v>
      </c>
      <c r="P224" s="2">
        <f t="shared" ref="P224:Q224" si="343">P225+P227</f>
        <v>0</v>
      </c>
      <c r="Q224" s="2">
        <f t="shared" si="343"/>
        <v>4690260</v>
      </c>
      <c r="R224" s="2">
        <f t="shared" ref="R224:S224" si="344">R225+R227</f>
        <v>0</v>
      </c>
      <c r="S224" s="2">
        <f t="shared" si="344"/>
        <v>4690260</v>
      </c>
    </row>
    <row r="225" spans="1:19" s="13" customFormat="1" ht="24" x14ac:dyDescent="0.25">
      <c r="A225" s="227"/>
      <c r="B225" s="228" t="s">
        <v>91</v>
      </c>
      <c r="C225" s="227"/>
      <c r="D225" s="219">
        <v>52</v>
      </c>
      <c r="E225" s="219">
        <v>0</v>
      </c>
      <c r="F225" s="219">
        <v>852</v>
      </c>
      <c r="G225" s="1" t="s">
        <v>36</v>
      </c>
      <c r="H225" s="1" t="s">
        <v>17</v>
      </c>
      <c r="I225" s="1" t="s">
        <v>230</v>
      </c>
      <c r="J225" s="1" t="s">
        <v>87</v>
      </c>
      <c r="K225" s="2">
        <f t="shared" ref="K225:S225" si="345">K226</f>
        <v>3291200</v>
      </c>
      <c r="L225" s="2">
        <f t="shared" si="345"/>
        <v>0</v>
      </c>
      <c r="M225" s="2">
        <f t="shared" si="345"/>
        <v>3291200</v>
      </c>
      <c r="N225" s="2">
        <f t="shared" si="345"/>
        <v>0</v>
      </c>
      <c r="O225" s="2">
        <f t="shared" si="345"/>
        <v>3291200</v>
      </c>
      <c r="P225" s="2">
        <f t="shared" si="345"/>
        <v>0</v>
      </c>
      <c r="Q225" s="2">
        <f t="shared" si="345"/>
        <v>3291200</v>
      </c>
      <c r="R225" s="2">
        <f t="shared" si="345"/>
        <v>0</v>
      </c>
      <c r="S225" s="2">
        <f t="shared" si="345"/>
        <v>3291200</v>
      </c>
    </row>
    <row r="226" spans="1:19" s="13" customFormat="1" ht="36" x14ac:dyDescent="0.25">
      <c r="A226" s="227"/>
      <c r="B226" s="228" t="s">
        <v>88</v>
      </c>
      <c r="C226" s="227"/>
      <c r="D226" s="219">
        <v>52</v>
      </c>
      <c r="E226" s="219">
        <v>0</v>
      </c>
      <c r="F226" s="219">
        <v>852</v>
      </c>
      <c r="G226" s="1" t="s">
        <v>36</v>
      </c>
      <c r="H226" s="1" t="s">
        <v>17</v>
      </c>
      <c r="I226" s="1" t="s">
        <v>230</v>
      </c>
      <c r="J226" s="1" t="s">
        <v>89</v>
      </c>
      <c r="K226" s="2">
        <f>'6 Вед15'!J220+'6 Вед15'!J242</f>
        <v>3291200</v>
      </c>
      <c r="L226" s="2">
        <f>'6 Вед15'!K220+'6 Вед15'!K242</f>
        <v>0</v>
      </c>
      <c r="M226" s="2">
        <f t="shared" si="337"/>
        <v>3291200</v>
      </c>
      <c r="N226" s="2">
        <f>'6 Вед15'!M220+'6 Вед15'!M242</f>
        <v>0</v>
      </c>
      <c r="O226" s="2">
        <f t="shared" si="338"/>
        <v>3291200</v>
      </c>
      <c r="P226" s="2">
        <f>'6 Вед15'!O220+'6 Вед15'!O242</f>
        <v>0</v>
      </c>
      <c r="Q226" s="2">
        <f t="shared" ref="Q226" si="346">O226+P226</f>
        <v>3291200</v>
      </c>
      <c r="R226" s="2">
        <f>'6 Вед15'!Q220+'6 Вед15'!Q242</f>
        <v>0</v>
      </c>
      <c r="S226" s="2">
        <f t="shared" ref="S226" si="347">Q226+R226</f>
        <v>3291200</v>
      </c>
    </row>
    <row r="227" spans="1:19" s="6" customFormat="1" x14ac:dyDescent="0.25">
      <c r="A227" s="15"/>
      <c r="B227" s="224" t="s">
        <v>99</v>
      </c>
      <c r="C227" s="224"/>
      <c r="D227" s="219">
        <v>52</v>
      </c>
      <c r="E227" s="219">
        <v>0</v>
      </c>
      <c r="F227" s="219">
        <v>852</v>
      </c>
      <c r="G227" s="1" t="s">
        <v>0</v>
      </c>
      <c r="H227" s="1" t="s">
        <v>6</v>
      </c>
      <c r="I227" s="1" t="s">
        <v>230</v>
      </c>
      <c r="J227" s="1" t="s">
        <v>100</v>
      </c>
      <c r="K227" s="2">
        <f t="shared" ref="K227:S227" si="348">K228</f>
        <v>1399060</v>
      </c>
      <c r="L227" s="2">
        <f t="shared" si="348"/>
        <v>0</v>
      </c>
      <c r="M227" s="2">
        <f t="shared" si="348"/>
        <v>1399060</v>
      </c>
      <c r="N227" s="2">
        <f t="shared" si="348"/>
        <v>0</v>
      </c>
      <c r="O227" s="2">
        <f t="shared" si="348"/>
        <v>1399060</v>
      </c>
      <c r="P227" s="2">
        <f t="shared" si="348"/>
        <v>0</v>
      </c>
      <c r="Q227" s="2">
        <f t="shared" si="348"/>
        <v>1399060</v>
      </c>
      <c r="R227" s="2">
        <f t="shared" si="348"/>
        <v>0</v>
      </c>
      <c r="S227" s="2">
        <f t="shared" si="348"/>
        <v>1399060</v>
      </c>
    </row>
    <row r="228" spans="1:19" s="13" customFormat="1" ht="24" customHeight="1" x14ac:dyDescent="0.25">
      <c r="A228" s="228"/>
      <c r="B228" s="228" t="s">
        <v>134</v>
      </c>
      <c r="C228" s="227"/>
      <c r="D228" s="219">
        <v>52</v>
      </c>
      <c r="E228" s="219">
        <v>0</v>
      </c>
      <c r="F228" s="219">
        <v>852</v>
      </c>
      <c r="G228" s="1" t="s">
        <v>36</v>
      </c>
      <c r="H228" s="1" t="s">
        <v>57</v>
      </c>
      <c r="I228" s="1" t="s">
        <v>230</v>
      </c>
      <c r="J228" s="1" t="s">
        <v>101</v>
      </c>
      <c r="K228" s="2">
        <f>'6 Вед15'!J272</f>
        <v>1399060</v>
      </c>
      <c r="L228" s="2">
        <f>'6 Вед15'!K272</f>
        <v>0</v>
      </c>
      <c r="M228" s="2">
        <f t="shared" si="337"/>
        <v>1399060</v>
      </c>
      <c r="N228" s="2">
        <f>'6 Вед15'!M272</f>
        <v>0</v>
      </c>
      <c r="O228" s="2">
        <f t="shared" si="338"/>
        <v>1399060</v>
      </c>
      <c r="P228" s="2">
        <f>'6 Вед15'!O272</f>
        <v>0</v>
      </c>
      <c r="Q228" s="2">
        <f t="shared" ref="Q228" si="349">O228+P228</f>
        <v>1399060</v>
      </c>
      <c r="R228" s="2">
        <f>'6 Вед15'!Q272</f>
        <v>0</v>
      </c>
      <c r="S228" s="2">
        <f t="shared" ref="S228" si="350">Q228+R228</f>
        <v>1399060</v>
      </c>
    </row>
    <row r="229" spans="1:19" s="6" customFormat="1" ht="24.75" customHeight="1" x14ac:dyDescent="0.25">
      <c r="A229" s="533" t="s">
        <v>469</v>
      </c>
      <c r="B229" s="533"/>
      <c r="C229" s="227"/>
      <c r="D229" s="219">
        <v>52</v>
      </c>
      <c r="E229" s="219">
        <v>0</v>
      </c>
      <c r="F229" s="219">
        <v>852</v>
      </c>
      <c r="G229" s="1" t="s">
        <v>0</v>
      </c>
      <c r="H229" s="1" t="s">
        <v>6</v>
      </c>
      <c r="I229" s="1" t="s">
        <v>239</v>
      </c>
      <c r="J229" s="11"/>
      <c r="K229" s="2">
        <f t="shared" ref="K229:S233" si="351">K230</f>
        <v>836736</v>
      </c>
      <c r="L229" s="2">
        <f t="shared" si="351"/>
        <v>0</v>
      </c>
      <c r="M229" s="2">
        <f t="shared" si="351"/>
        <v>836736</v>
      </c>
      <c r="N229" s="2">
        <f t="shared" si="351"/>
        <v>249959</v>
      </c>
      <c r="O229" s="2">
        <f t="shared" si="351"/>
        <v>1086695</v>
      </c>
      <c r="P229" s="2">
        <f t="shared" si="351"/>
        <v>0</v>
      </c>
      <c r="Q229" s="2">
        <f t="shared" si="351"/>
        <v>1086695</v>
      </c>
      <c r="R229" s="2">
        <f t="shared" si="351"/>
        <v>0</v>
      </c>
      <c r="S229" s="2">
        <f t="shared" si="351"/>
        <v>1086695</v>
      </c>
    </row>
    <row r="230" spans="1:19" s="6" customFormat="1" x14ac:dyDescent="0.25">
      <c r="A230" s="15"/>
      <c r="B230" s="224" t="s">
        <v>99</v>
      </c>
      <c r="C230" s="224"/>
      <c r="D230" s="219">
        <v>52</v>
      </c>
      <c r="E230" s="219">
        <v>0</v>
      </c>
      <c r="F230" s="219">
        <v>852</v>
      </c>
      <c r="G230" s="1" t="s">
        <v>0</v>
      </c>
      <c r="H230" s="1" t="s">
        <v>6</v>
      </c>
      <c r="I230" s="1" t="s">
        <v>239</v>
      </c>
      <c r="J230" s="1" t="s">
        <v>100</v>
      </c>
      <c r="K230" s="2">
        <f t="shared" si="351"/>
        <v>836736</v>
      </c>
      <c r="L230" s="2">
        <f t="shared" si="351"/>
        <v>0</v>
      </c>
      <c r="M230" s="2">
        <f t="shared" si="351"/>
        <v>836736</v>
      </c>
      <c r="N230" s="2">
        <f t="shared" si="351"/>
        <v>249959</v>
      </c>
      <c r="O230" s="2">
        <f t="shared" si="351"/>
        <v>1086695</v>
      </c>
      <c r="P230" s="2">
        <f t="shared" si="351"/>
        <v>0</v>
      </c>
      <c r="Q230" s="2">
        <f t="shared" si="351"/>
        <v>1086695</v>
      </c>
      <c r="R230" s="2">
        <f t="shared" si="351"/>
        <v>0</v>
      </c>
      <c r="S230" s="2">
        <f t="shared" si="351"/>
        <v>1086695</v>
      </c>
    </row>
    <row r="231" spans="1:19" s="6" customFormat="1" ht="24" x14ac:dyDescent="0.25">
      <c r="A231" s="225"/>
      <c r="B231" s="224" t="s">
        <v>134</v>
      </c>
      <c r="C231" s="224"/>
      <c r="D231" s="219">
        <v>52</v>
      </c>
      <c r="E231" s="219">
        <v>0</v>
      </c>
      <c r="F231" s="219">
        <v>852</v>
      </c>
      <c r="G231" s="1" t="s">
        <v>0</v>
      </c>
      <c r="H231" s="1" t="s">
        <v>6</v>
      </c>
      <c r="I231" s="1" t="s">
        <v>239</v>
      </c>
      <c r="J231" s="1" t="s">
        <v>101</v>
      </c>
      <c r="K231" s="2">
        <f>'6 Вед15'!J284</f>
        <v>836736</v>
      </c>
      <c r="L231" s="2">
        <f>'6 Вед15'!K284</f>
        <v>0</v>
      </c>
      <c r="M231" s="2">
        <f t="shared" si="337"/>
        <v>836736</v>
      </c>
      <c r="N231" s="2">
        <f>'6 Вед15'!M284</f>
        <v>249959</v>
      </c>
      <c r="O231" s="2">
        <f t="shared" si="338"/>
        <v>1086695</v>
      </c>
      <c r="P231" s="2">
        <f>'6 Вед15'!O284</f>
        <v>0</v>
      </c>
      <c r="Q231" s="2">
        <f t="shared" ref="Q231" si="352">O231+P231</f>
        <v>1086695</v>
      </c>
      <c r="R231" s="2">
        <f>'6 Вед15'!Q284</f>
        <v>0</v>
      </c>
      <c r="S231" s="2">
        <f t="shared" ref="S231" si="353">Q231+R231</f>
        <v>1086695</v>
      </c>
    </row>
    <row r="232" spans="1:19" s="6" customFormat="1" x14ac:dyDescent="0.25">
      <c r="A232" s="509" t="s">
        <v>652</v>
      </c>
      <c r="B232" s="509"/>
      <c r="C232" s="418"/>
      <c r="D232" s="219">
        <v>52</v>
      </c>
      <c r="E232" s="219">
        <v>0</v>
      </c>
      <c r="F232" s="219">
        <v>852</v>
      </c>
      <c r="G232" s="1"/>
      <c r="H232" s="1"/>
      <c r="I232" s="1" t="s">
        <v>655</v>
      </c>
      <c r="J232" s="1"/>
      <c r="K232" s="2"/>
      <c r="L232" s="2"/>
      <c r="M232" s="2"/>
      <c r="N232" s="2"/>
      <c r="O232" s="2">
        <f t="shared" si="351"/>
        <v>0</v>
      </c>
      <c r="P232" s="2">
        <f t="shared" si="351"/>
        <v>247500</v>
      </c>
      <c r="Q232" s="2">
        <f t="shared" si="351"/>
        <v>247500</v>
      </c>
      <c r="R232" s="2">
        <f t="shared" si="351"/>
        <v>0</v>
      </c>
      <c r="S232" s="2">
        <f t="shared" si="351"/>
        <v>247500</v>
      </c>
    </row>
    <row r="233" spans="1:19" s="6" customFormat="1" ht="24" x14ac:dyDescent="0.25">
      <c r="A233" s="416"/>
      <c r="B233" s="217" t="s">
        <v>91</v>
      </c>
      <c r="C233" s="418"/>
      <c r="D233" s="219">
        <v>52</v>
      </c>
      <c r="E233" s="219">
        <v>0</v>
      </c>
      <c r="F233" s="219">
        <v>852</v>
      </c>
      <c r="G233" s="1"/>
      <c r="H233" s="1"/>
      <c r="I233" s="1" t="s">
        <v>655</v>
      </c>
      <c r="J233" s="1" t="s">
        <v>87</v>
      </c>
      <c r="K233" s="2"/>
      <c r="L233" s="2"/>
      <c r="M233" s="2"/>
      <c r="N233" s="2"/>
      <c r="O233" s="2">
        <f t="shared" si="351"/>
        <v>0</v>
      </c>
      <c r="P233" s="2">
        <f t="shared" si="351"/>
        <v>247500</v>
      </c>
      <c r="Q233" s="2">
        <f t="shared" si="351"/>
        <v>247500</v>
      </c>
      <c r="R233" s="2">
        <f t="shared" si="351"/>
        <v>0</v>
      </c>
      <c r="S233" s="2">
        <f t="shared" si="351"/>
        <v>247500</v>
      </c>
    </row>
    <row r="234" spans="1:19" s="6" customFormat="1" x14ac:dyDescent="0.25">
      <c r="A234" s="416"/>
      <c r="B234" s="217" t="s">
        <v>119</v>
      </c>
      <c r="C234" s="418"/>
      <c r="D234" s="219">
        <v>52</v>
      </c>
      <c r="E234" s="219">
        <v>0</v>
      </c>
      <c r="F234" s="219">
        <v>852</v>
      </c>
      <c r="G234" s="1"/>
      <c r="H234" s="1"/>
      <c r="I234" s="1" t="s">
        <v>655</v>
      </c>
      <c r="J234" s="1" t="s">
        <v>120</v>
      </c>
      <c r="K234" s="2"/>
      <c r="L234" s="2"/>
      <c r="M234" s="2"/>
      <c r="N234" s="2"/>
      <c r="O234" s="2"/>
      <c r="P234" s="2">
        <f>'6 Вед15'!O245</f>
        <v>247500</v>
      </c>
      <c r="Q234" s="2">
        <f t="shared" ref="Q234" si="354">O234+P234</f>
        <v>247500</v>
      </c>
      <c r="R234" s="2">
        <f>'6 Вед15'!Q245</f>
        <v>0</v>
      </c>
      <c r="S234" s="2">
        <f t="shared" ref="S234" si="355">Q234+R234</f>
        <v>247500</v>
      </c>
    </row>
    <row r="235" spans="1:19" s="6" customFormat="1" ht="25.5" customHeight="1" x14ac:dyDescent="0.25">
      <c r="A235" s="533" t="s">
        <v>135</v>
      </c>
      <c r="B235" s="533"/>
      <c r="C235" s="227"/>
      <c r="D235" s="219">
        <v>52</v>
      </c>
      <c r="E235" s="219">
        <v>0</v>
      </c>
      <c r="F235" s="219">
        <v>852</v>
      </c>
      <c r="G235" s="1" t="s">
        <v>0</v>
      </c>
      <c r="H235" s="1" t="s">
        <v>3</v>
      </c>
      <c r="I235" s="1" t="s">
        <v>237</v>
      </c>
      <c r="J235" s="11"/>
      <c r="K235" s="2">
        <f t="shared" ref="K235:S236" si="356">K236</f>
        <v>93000</v>
      </c>
      <c r="L235" s="2">
        <f t="shared" si="356"/>
        <v>0</v>
      </c>
      <c r="M235" s="2">
        <f t="shared" si="356"/>
        <v>93000</v>
      </c>
      <c r="N235" s="2">
        <f t="shared" si="356"/>
        <v>0</v>
      </c>
      <c r="O235" s="2">
        <f t="shared" si="356"/>
        <v>93000</v>
      </c>
      <c r="P235" s="2">
        <f t="shared" si="356"/>
        <v>0</v>
      </c>
      <c r="Q235" s="2">
        <f t="shared" si="356"/>
        <v>93000</v>
      </c>
      <c r="R235" s="2">
        <f t="shared" si="356"/>
        <v>79000</v>
      </c>
      <c r="S235" s="2">
        <f t="shared" si="356"/>
        <v>172000</v>
      </c>
    </row>
    <row r="236" spans="1:19" s="6" customFormat="1" x14ac:dyDescent="0.25">
      <c r="A236" s="15"/>
      <c r="B236" s="224" t="s">
        <v>99</v>
      </c>
      <c r="C236" s="224"/>
      <c r="D236" s="219">
        <v>52</v>
      </c>
      <c r="E236" s="219">
        <v>0</v>
      </c>
      <c r="F236" s="219">
        <v>852</v>
      </c>
      <c r="G236" s="1" t="s">
        <v>0</v>
      </c>
      <c r="H236" s="1" t="s">
        <v>3</v>
      </c>
      <c r="I236" s="1" t="s">
        <v>237</v>
      </c>
      <c r="J236" s="1" t="s">
        <v>100</v>
      </c>
      <c r="K236" s="2">
        <f t="shared" si="356"/>
        <v>93000</v>
      </c>
      <c r="L236" s="2">
        <f t="shared" si="356"/>
        <v>0</v>
      </c>
      <c r="M236" s="2">
        <f t="shared" si="356"/>
        <v>93000</v>
      </c>
      <c r="N236" s="2">
        <f t="shared" si="356"/>
        <v>0</v>
      </c>
      <c r="O236" s="2">
        <f t="shared" si="356"/>
        <v>93000</v>
      </c>
      <c r="P236" s="2">
        <f t="shared" si="356"/>
        <v>0</v>
      </c>
      <c r="Q236" s="2">
        <f t="shared" si="356"/>
        <v>93000</v>
      </c>
      <c r="R236" s="2">
        <f t="shared" si="356"/>
        <v>79000</v>
      </c>
      <c r="S236" s="2">
        <f t="shared" si="356"/>
        <v>172000</v>
      </c>
    </row>
    <row r="237" spans="1:19" s="6" customFormat="1" ht="24" x14ac:dyDescent="0.25">
      <c r="A237" s="225"/>
      <c r="B237" s="224" t="s">
        <v>134</v>
      </c>
      <c r="C237" s="224"/>
      <c r="D237" s="219">
        <v>52</v>
      </c>
      <c r="E237" s="219">
        <v>0</v>
      </c>
      <c r="F237" s="219">
        <v>852</v>
      </c>
      <c r="G237" s="1" t="s">
        <v>0</v>
      </c>
      <c r="H237" s="1" t="s">
        <v>3</v>
      </c>
      <c r="I237" s="1" t="s">
        <v>237</v>
      </c>
      <c r="J237" s="1" t="s">
        <v>101</v>
      </c>
      <c r="K237" s="2">
        <f>'6 Вед15'!J280</f>
        <v>93000</v>
      </c>
      <c r="L237" s="2">
        <f>'6 Вед15'!K280</f>
        <v>0</v>
      </c>
      <c r="M237" s="2">
        <f t="shared" si="337"/>
        <v>93000</v>
      </c>
      <c r="N237" s="2">
        <f>'6 Вед15'!M280</f>
        <v>0</v>
      </c>
      <c r="O237" s="2">
        <f t="shared" si="338"/>
        <v>93000</v>
      </c>
      <c r="P237" s="2">
        <f>'6 Вед15'!O280</f>
        <v>0</v>
      </c>
      <c r="Q237" s="2">
        <f t="shared" ref="Q237" si="357">O237+P237</f>
        <v>93000</v>
      </c>
      <c r="R237" s="2">
        <f>'6 Вед15'!Q280</f>
        <v>79000</v>
      </c>
      <c r="S237" s="2">
        <f t="shared" ref="S237" si="358">Q237+R237</f>
        <v>172000</v>
      </c>
    </row>
    <row r="238" spans="1:19" s="6" customFormat="1" ht="46.5" customHeight="1" x14ac:dyDescent="0.25">
      <c r="A238" s="530" t="s">
        <v>2</v>
      </c>
      <c r="B238" s="530"/>
      <c r="C238" s="224"/>
      <c r="D238" s="219">
        <v>52</v>
      </c>
      <c r="E238" s="219">
        <v>0</v>
      </c>
      <c r="F238" s="219">
        <v>852</v>
      </c>
      <c r="G238" s="1" t="s">
        <v>0</v>
      </c>
      <c r="H238" s="1" t="s">
        <v>6</v>
      </c>
      <c r="I238" s="1" t="s">
        <v>238</v>
      </c>
      <c r="J238" s="1"/>
      <c r="K238" s="2">
        <f t="shared" ref="K238" si="359">K239+K241+K243+K245</f>
        <v>7634300</v>
      </c>
      <c r="L238" s="2">
        <f t="shared" ref="L238:O238" si="360">L239+L241+L243+L245</f>
        <v>0</v>
      </c>
      <c r="M238" s="2">
        <f t="shared" si="360"/>
        <v>7634300</v>
      </c>
      <c r="N238" s="2">
        <f t="shared" si="360"/>
        <v>-46060</v>
      </c>
      <c r="O238" s="2">
        <f t="shared" si="360"/>
        <v>7588240</v>
      </c>
      <c r="P238" s="2">
        <f t="shared" ref="P238:Q238" si="361">P239+P241+P243+P245</f>
        <v>0</v>
      </c>
      <c r="Q238" s="2">
        <f t="shared" si="361"/>
        <v>7588240</v>
      </c>
      <c r="R238" s="2">
        <f t="shared" ref="R238:S238" si="362">R239+R241+R243+R245</f>
        <v>0</v>
      </c>
      <c r="S238" s="2">
        <f t="shared" si="362"/>
        <v>7588240</v>
      </c>
    </row>
    <row r="239" spans="1:19" s="6" customFormat="1" ht="35.25" customHeight="1" x14ac:dyDescent="0.25">
      <c r="A239" s="225"/>
      <c r="B239" s="224" t="s">
        <v>21</v>
      </c>
      <c r="C239" s="225"/>
      <c r="D239" s="219">
        <v>52</v>
      </c>
      <c r="E239" s="219">
        <v>0</v>
      </c>
      <c r="F239" s="219">
        <v>852</v>
      </c>
      <c r="G239" s="18" t="s">
        <v>0</v>
      </c>
      <c r="H239" s="18" t="s">
        <v>1</v>
      </c>
      <c r="I239" s="18" t="s">
        <v>238</v>
      </c>
      <c r="J239" s="1" t="s">
        <v>23</v>
      </c>
      <c r="K239" s="2">
        <f t="shared" ref="K239:S239" si="363">K240</f>
        <v>420900</v>
      </c>
      <c r="L239" s="2">
        <f t="shared" si="363"/>
        <v>0</v>
      </c>
      <c r="M239" s="2">
        <f t="shared" si="363"/>
        <v>420900</v>
      </c>
      <c r="N239" s="2">
        <f t="shared" si="363"/>
        <v>0</v>
      </c>
      <c r="O239" s="2">
        <f t="shared" si="363"/>
        <v>420900</v>
      </c>
      <c r="P239" s="2">
        <f t="shared" si="363"/>
        <v>0</v>
      </c>
      <c r="Q239" s="2">
        <f t="shared" si="363"/>
        <v>420900</v>
      </c>
      <c r="R239" s="2">
        <f t="shared" si="363"/>
        <v>0</v>
      </c>
      <c r="S239" s="2">
        <f t="shared" si="363"/>
        <v>420900</v>
      </c>
    </row>
    <row r="240" spans="1:19" s="6" customFormat="1" ht="15" customHeight="1" x14ac:dyDescent="0.25">
      <c r="A240" s="15"/>
      <c r="B240" s="224" t="s">
        <v>24</v>
      </c>
      <c r="C240" s="224"/>
      <c r="D240" s="219">
        <v>52</v>
      </c>
      <c r="E240" s="219">
        <v>0</v>
      </c>
      <c r="F240" s="219">
        <v>852</v>
      </c>
      <c r="G240" s="18" t="s">
        <v>0</v>
      </c>
      <c r="H240" s="18" t="s">
        <v>1</v>
      </c>
      <c r="I240" s="18" t="s">
        <v>238</v>
      </c>
      <c r="J240" s="1" t="s">
        <v>25</v>
      </c>
      <c r="K240" s="2">
        <f>'6 Вед15'!J301</f>
        <v>420900</v>
      </c>
      <c r="L240" s="2">
        <f>'6 Вед15'!K301</f>
        <v>0</v>
      </c>
      <c r="M240" s="2">
        <f t="shared" si="337"/>
        <v>420900</v>
      </c>
      <c r="N240" s="2">
        <f>'6 Вед15'!M301</f>
        <v>0</v>
      </c>
      <c r="O240" s="2">
        <f t="shared" si="338"/>
        <v>420900</v>
      </c>
      <c r="P240" s="2">
        <f>'6 Вед15'!O301</f>
        <v>0</v>
      </c>
      <c r="Q240" s="2">
        <f t="shared" ref="Q240" si="364">O240+P240</f>
        <v>420900</v>
      </c>
      <c r="R240" s="2">
        <f>'6 Вед15'!Q301</f>
        <v>0</v>
      </c>
      <c r="S240" s="2">
        <f t="shared" ref="S240" si="365">Q240+R240</f>
        <v>420900</v>
      </c>
    </row>
    <row r="241" spans="1:19" s="6" customFormat="1" ht="15" customHeight="1" x14ac:dyDescent="0.25">
      <c r="A241" s="15"/>
      <c r="B241" s="228" t="s">
        <v>27</v>
      </c>
      <c r="C241" s="224"/>
      <c r="D241" s="219">
        <v>52</v>
      </c>
      <c r="E241" s="219">
        <v>0</v>
      </c>
      <c r="F241" s="219">
        <v>852</v>
      </c>
      <c r="G241" s="18" t="s">
        <v>0</v>
      </c>
      <c r="H241" s="18" t="s">
        <v>1</v>
      </c>
      <c r="I241" s="18" t="s">
        <v>238</v>
      </c>
      <c r="J241" s="1" t="s">
        <v>28</v>
      </c>
      <c r="K241" s="2">
        <f t="shared" ref="K241:S241" si="366">K242</f>
        <v>237100</v>
      </c>
      <c r="L241" s="2">
        <f t="shared" si="366"/>
        <v>0</v>
      </c>
      <c r="M241" s="2">
        <f t="shared" si="366"/>
        <v>237100</v>
      </c>
      <c r="N241" s="2">
        <f t="shared" si="366"/>
        <v>-46060</v>
      </c>
      <c r="O241" s="2">
        <f t="shared" si="366"/>
        <v>191040</v>
      </c>
      <c r="P241" s="2">
        <f t="shared" si="366"/>
        <v>0</v>
      </c>
      <c r="Q241" s="2">
        <f t="shared" si="366"/>
        <v>191040</v>
      </c>
      <c r="R241" s="2">
        <f t="shared" si="366"/>
        <v>0</v>
      </c>
      <c r="S241" s="2">
        <f t="shared" si="366"/>
        <v>191040</v>
      </c>
    </row>
    <row r="242" spans="1:19" s="6" customFormat="1" ht="25.5" customHeight="1" x14ac:dyDescent="0.25">
      <c r="A242" s="15"/>
      <c r="B242" s="228" t="s">
        <v>29</v>
      </c>
      <c r="C242" s="225"/>
      <c r="D242" s="219">
        <v>52</v>
      </c>
      <c r="E242" s="219">
        <v>0</v>
      </c>
      <c r="F242" s="219">
        <v>852</v>
      </c>
      <c r="G242" s="18" t="s">
        <v>0</v>
      </c>
      <c r="H242" s="18" t="s">
        <v>1</v>
      </c>
      <c r="I242" s="18" t="s">
        <v>238</v>
      </c>
      <c r="J242" s="1" t="s">
        <v>30</v>
      </c>
      <c r="K242" s="2">
        <f>'6 Вед15'!J303</f>
        <v>237100</v>
      </c>
      <c r="L242" s="2">
        <f>'6 Вед15'!K303</f>
        <v>0</v>
      </c>
      <c r="M242" s="2">
        <f t="shared" si="337"/>
        <v>237100</v>
      </c>
      <c r="N242" s="2">
        <f>'6 Вед15'!M303</f>
        <v>-46060</v>
      </c>
      <c r="O242" s="2">
        <f t="shared" si="338"/>
        <v>191040</v>
      </c>
      <c r="P242" s="2">
        <f>'6 Вед15'!O303</f>
        <v>0</v>
      </c>
      <c r="Q242" s="2">
        <f t="shared" ref="Q242" si="367">O242+P242</f>
        <v>191040</v>
      </c>
      <c r="R242" s="2">
        <f>'6 Вед15'!Q303</f>
        <v>0</v>
      </c>
      <c r="S242" s="2">
        <f t="shared" ref="S242" si="368">Q242+R242</f>
        <v>191040</v>
      </c>
    </row>
    <row r="243" spans="1:19" s="6" customFormat="1" ht="15" customHeight="1" x14ac:dyDescent="0.25">
      <c r="A243" s="15"/>
      <c r="B243" s="228" t="s">
        <v>27</v>
      </c>
      <c r="C243" s="224"/>
      <c r="D243" s="219">
        <v>52</v>
      </c>
      <c r="E243" s="219">
        <v>0</v>
      </c>
      <c r="F243" s="219">
        <v>852</v>
      </c>
      <c r="G243" s="1" t="s">
        <v>137</v>
      </c>
      <c r="H243" s="1" t="s">
        <v>6</v>
      </c>
      <c r="I243" s="1" t="s">
        <v>238</v>
      </c>
      <c r="J243" s="1" t="s">
        <v>28</v>
      </c>
      <c r="K243" s="2">
        <f t="shared" ref="K243:S243" si="369">K244</f>
        <v>1795108</v>
      </c>
      <c r="L243" s="2">
        <f t="shared" si="369"/>
        <v>0</v>
      </c>
      <c r="M243" s="2">
        <f t="shared" si="369"/>
        <v>1795108</v>
      </c>
      <c r="N243" s="2">
        <f t="shared" si="369"/>
        <v>0</v>
      </c>
      <c r="O243" s="2">
        <f t="shared" si="369"/>
        <v>1795108</v>
      </c>
      <c r="P243" s="2">
        <f t="shared" si="369"/>
        <v>0</v>
      </c>
      <c r="Q243" s="2">
        <f t="shared" si="369"/>
        <v>1795108</v>
      </c>
      <c r="R243" s="2">
        <f t="shared" si="369"/>
        <v>0</v>
      </c>
      <c r="S243" s="2">
        <f t="shared" si="369"/>
        <v>1795108</v>
      </c>
    </row>
    <row r="244" spans="1:19" s="6" customFormat="1" ht="24" x14ac:dyDescent="0.25">
      <c r="A244" s="15"/>
      <c r="B244" s="228" t="s">
        <v>29</v>
      </c>
      <c r="C244" s="225"/>
      <c r="D244" s="219">
        <v>52</v>
      </c>
      <c r="E244" s="219">
        <v>0</v>
      </c>
      <c r="F244" s="219">
        <v>852</v>
      </c>
      <c r="G244" s="1" t="s">
        <v>137</v>
      </c>
      <c r="H244" s="1" t="s">
        <v>6</v>
      </c>
      <c r="I244" s="1" t="s">
        <v>238</v>
      </c>
      <c r="J244" s="1" t="s">
        <v>30</v>
      </c>
      <c r="K244" s="2">
        <f>'6 Вед15'!J287</f>
        <v>1795108</v>
      </c>
      <c r="L244" s="2">
        <f>'6 Вед15'!K287</f>
        <v>0</v>
      </c>
      <c r="M244" s="2">
        <f t="shared" si="337"/>
        <v>1795108</v>
      </c>
      <c r="N244" s="2">
        <f>'6 Вед15'!M287</f>
        <v>0</v>
      </c>
      <c r="O244" s="2">
        <f t="shared" si="338"/>
        <v>1795108</v>
      </c>
      <c r="P244" s="2">
        <f>'6 Вед15'!O287</f>
        <v>0</v>
      </c>
      <c r="Q244" s="2">
        <f t="shared" ref="Q244" si="370">O244+P244</f>
        <v>1795108</v>
      </c>
      <c r="R244" s="2">
        <f>'6 Вед15'!Q287</f>
        <v>0</v>
      </c>
      <c r="S244" s="2">
        <f t="shared" ref="S244" si="371">Q244+R244</f>
        <v>1795108</v>
      </c>
    </row>
    <row r="245" spans="1:19" s="6" customFormat="1" x14ac:dyDescent="0.25">
      <c r="A245" s="231"/>
      <c r="B245" s="224" t="s">
        <v>99</v>
      </c>
      <c r="C245" s="224"/>
      <c r="D245" s="219">
        <v>52</v>
      </c>
      <c r="E245" s="219">
        <v>0</v>
      </c>
      <c r="F245" s="219">
        <v>852</v>
      </c>
      <c r="G245" s="1" t="s">
        <v>0</v>
      </c>
      <c r="H245" s="1" t="s">
        <v>6</v>
      </c>
      <c r="I245" s="1" t="s">
        <v>238</v>
      </c>
      <c r="J245" s="1" t="s">
        <v>100</v>
      </c>
      <c r="K245" s="2">
        <f t="shared" ref="K245:S245" si="372">K246</f>
        <v>5181192</v>
      </c>
      <c r="L245" s="2">
        <f t="shared" si="372"/>
        <v>0</v>
      </c>
      <c r="M245" s="2">
        <f t="shared" si="372"/>
        <v>5181192</v>
      </c>
      <c r="N245" s="2">
        <f t="shared" si="372"/>
        <v>0</v>
      </c>
      <c r="O245" s="2">
        <f t="shared" si="372"/>
        <v>5181192</v>
      </c>
      <c r="P245" s="2">
        <f t="shared" si="372"/>
        <v>0</v>
      </c>
      <c r="Q245" s="2">
        <f t="shared" si="372"/>
        <v>5181192</v>
      </c>
      <c r="R245" s="2">
        <f t="shared" si="372"/>
        <v>0</v>
      </c>
      <c r="S245" s="2">
        <f t="shared" si="372"/>
        <v>5181192</v>
      </c>
    </row>
    <row r="246" spans="1:19" s="6" customFormat="1" ht="24" x14ac:dyDescent="0.25">
      <c r="A246" s="231"/>
      <c r="B246" s="224" t="s">
        <v>252</v>
      </c>
      <c r="C246" s="224"/>
      <c r="D246" s="219">
        <v>52</v>
      </c>
      <c r="E246" s="219">
        <v>0</v>
      </c>
      <c r="F246" s="219">
        <v>852</v>
      </c>
      <c r="G246" s="1" t="s">
        <v>0</v>
      </c>
      <c r="H246" s="1" t="s">
        <v>6</v>
      </c>
      <c r="I246" s="1" t="s">
        <v>238</v>
      </c>
      <c r="J246" s="1" t="s">
        <v>8</v>
      </c>
      <c r="K246" s="2">
        <f>'6 Вед15'!J289</f>
        <v>5181192</v>
      </c>
      <c r="L246" s="2">
        <f>'6 Вед15'!K289</f>
        <v>0</v>
      </c>
      <c r="M246" s="2">
        <f t="shared" si="337"/>
        <v>5181192</v>
      </c>
      <c r="N246" s="2">
        <f>'6 Вед15'!M289</f>
        <v>0</v>
      </c>
      <c r="O246" s="2">
        <f t="shared" si="338"/>
        <v>5181192</v>
      </c>
      <c r="P246" s="2">
        <f>'6 Вед15'!O289</f>
        <v>0</v>
      </c>
      <c r="Q246" s="2">
        <f t="shared" ref="Q246" si="373">O246+P246</f>
        <v>5181192</v>
      </c>
      <c r="R246" s="2">
        <f>'6 Вед15'!Q289</f>
        <v>0</v>
      </c>
      <c r="S246" s="2">
        <f t="shared" ref="S246" si="374">Q246+R246</f>
        <v>5181192</v>
      </c>
    </row>
    <row r="247" spans="1:19" s="6" customFormat="1" ht="12" customHeight="1" x14ac:dyDescent="0.25">
      <c r="A247" s="509" t="s">
        <v>117</v>
      </c>
      <c r="B247" s="509"/>
      <c r="C247" s="225"/>
      <c r="D247" s="219">
        <v>52</v>
      </c>
      <c r="E247" s="219">
        <v>0</v>
      </c>
      <c r="F247" s="219">
        <v>852</v>
      </c>
      <c r="G247" s="18" t="s">
        <v>36</v>
      </c>
      <c r="H247" s="1" t="s">
        <v>17</v>
      </c>
      <c r="I247" s="1" t="s">
        <v>219</v>
      </c>
      <c r="J247" s="1"/>
      <c r="K247" s="2">
        <f t="shared" ref="K247:S248" si="375">K248</f>
        <v>1110000</v>
      </c>
      <c r="L247" s="2">
        <f t="shared" si="375"/>
        <v>154200</v>
      </c>
      <c r="M247" s="2">
        <f t="shared" si="375"/>
        <v>1264200</v>
      </c>
      <c r="N247" s="2">
        <f t="shared" si="375"/>
        <v>49248</v>
      </c>
      <c r="O247" s="2">
        <f t="shared" si="375"/>
        <v>1313448</v>
      </c>
      <c r="P247" s="2">
        <f t="shared" si="375"/>
        <v>0</v>
      </c>
      <c r="Q247" s="2">
        <f t="shared" si="375"/>
        <v>1313448</v>
      </c>
      <c r="R247" s="2">
        <f t="shared" si="375"/>
        <v>86571</v>
      </c>
      <c r="S247" s="2">
        <f t="shared" si="375"/>
        <v>1400019</v>
      </c>
    </row>
    <row r="248" spans="1:19" s="6" customFormat="1" ht="23.25" customHeight="1" x14ac:dyDescent="0.25">
      <c r="A248" s="225"/>
      <c r="B248" s="228" t="s">
        <v>91</v>
      </c>
      <c r="C248" s="225"/>
      <c r="D248" s="219">
        <v>52</v>
      </c>
      <c r="E248" s="219">
        <v>0</v>
      </c>
      <c r="F248" s="219">
        <v>852</v>
      </c>
      <c r="G248" s="1" t="s">
        <v>36</v>
      </c>
      <c r="H248" s="1" t="s">
        <v>17</v>
      </c>
      <c r="I248" s="1" t="s">
        <v>219</v>
      </c>
      <c r="J248" s="1" t="s">
        <v>87</v>
      </c>
      <c r="K248" s="2">
        <f t="shared" si="375"/>
        <v>1110000</v>
      </c>
      <c r="L248" s="2">
        <f t="shared" si="375"/>
        <v>154200</v>
      </c>
      <c r="M248" s="2">
        <f t="shared" si="375"/>
        <v>1264200</v>
      </c>
      <c r="N248" s="2">
        <f t="shared" si="375"/>
        <v>49248</v>
      </c>
      <c r="O248" s="2">
        <f t="shared" si="375"/>
        <v>1313448</v>
      </c>
      <c r="P248" s="2">
        <f t="shared" si="375"/>
        <v>0</v>
      </c>
      <c r="Q248" s="2">
        <f t="shared" si="375"/>
        <v>1313448</v>
      </c>
      <c r="R248" s="2">
        <f t="shared" si="375"/>
        <v>86571</v>
      </c>
      <c r="S248" s="2">
        <f t="shared" si="375"/>
        <v>1400019</v>
      </c>
    </row>
    <row r="249" spans="1:19" s="6" customFormat="1" x14ac:dyDescent="0.25">
      <c r="A249" s="224"/>
      <c r="B249" s="224" t="s">
        <v>119</v>
      </c>
      <c r="C249" s="224"/>
      <c r="D249" s="219">
        <v>52</v>
      </c>
      <c r="E249" s="219">
        <v>0</v>
      </c>
      <c r="F249" s="219">
        <v>852</v>
      </c>
      <c r="G249" s="1" t="s">
        <v>36</v>
      </c>
      <c r="H249" s="1" t="s">
        <v>17</v>
      </c>
      <c r="I249" s="1" t="s">
        <v>219</v>
      </c>
      <c r="J249" s="1" t="s">
        <v>120</v>
      </c>
      <c r="K249" s="2">
        <f>'6 Вед15'!J248</f>
        <v>1110000</v>
      </c>
      <c r="L249" s="2">
        <f>'6 Вед15'!K248</f>
        <v>154200</v>
      </c>
      <c r="M249" s="2">
        <f t="shared" si="337"/>
        <v>1264200</v>
      </c>
      <c r="N249" s="2">
        <f>'6 Вед15'!M248</f>
        <v>49248</v>
      </c>
      <c r="O249" s="2">
        <f t="shared" si="338"/>
        <v>1313448</v>
      </c>
      <c r="P249" s="2">
        <f>'6 Вед15'!O248</f>
        <v>0</v>
      </c>
      <c r="Q249" s="2">
        <f t="shared" ref="Q249" si="376">O249+P249</f>
        <v>1313448</v>
      </c>
      <c r="R249" s="2">
        <f>'6 Вед15'!Q223+'6 Вед15'!Q248</f>
        <v>86571</v>
      </c>
      <c r="S249" s="2">
        <f t="shared" ref="S249" si="377">Q249+R249</f>
        <v>1400019</v>
      </c>
    </row>
    <row r="250" spans="1:19" s="6" customFormat="1" ht="24.75" customHeight="1" x14ac:dyDescent="0.25">
      <c r="A250" s="509" t="s">
        <v>121</v>
      </c>
      <c r="B250" s="509"/>
      <c r="C250" s="225"/>
      <c r="D250" s="219">
        <v>52</v>
      </c>
      <c r="E250" s="219">
        <v>0</v>
      </c>
      <c r="F250" s="219">
        <v>852</v>
      </c>
      <c r="G250" s="18" t="s">
        <v>36</v>
      </c>
      <c r="H250" s="18" t="s">
        <v>17</v>
      </c>
      <c r="I250" s="18" t="s">
        <v>235</v>
      </c>
      <c r="J250" s="1"/>
      <c r="K250" s="2">
        <f t="shared" ref="K250:S250" si="378">K251</f>
        <v>1038500</v>
      </c>
      <c r="L250" s="2">
        <f t="shared" si="378"/>
        <v>171280</v>
      </c>
      <c r="M250" s="2">
        <f t="shared" si="378"/>
        <v>1209780</v>
      </c>
      <c r="N250" s="2">
        <f t="shared" si="378"/>
        <v>0</v>
      </c>
      <c r="O250" s="2">
        <f t="shared" si="378"/>
        <v>1209780</v>
      </c>
      <c r="P250" s="2">
        <f t="shared" si="378"/>
        <v>0</v>
      </c>
      <c r="Q250" s="2">
        <f t="shared" si="378"/>
        <v>1209780</v>
      </c>
      <c r="R250" s="2">
        <f t="shared" si="378"/>
        <v>242533</v>
      </c>
      <c r="S250" s="2">
        <f t="shared" si="378"/>
        <v>1452313</v>
      </c>
    </row>
    <row r="251" spans="1:19" s="6" customFormat="1" ht="24" x14ac:dyDescent="0.25">
      <c r="A251" s="225"/>
      <c r="B251" s="228" t="s">
        <v>91</v>
      </c>
      <c r="C251" s="225"/>
      <c r="D251" s="219">
        <v>52</v>
      </c>
      <c r="E251" s="219">
        <v>0</v>
      </c>
      <c r="F251" s="219">
        <v>852</v>
      </c>
      <c r="G251" s="1" t="s">
        <v>36</v>
      </c>
      <c r="H251" s="1" t="s">
        <v>17</v>
      </c>
      <c r="I251" s="18" t="s">
        <v>235</v>
      </c>
      <c r="J251" s="1" t="s">
        <v>87</v>
      </c>
      <c r="K251" s="2">
        <f t="shared" ref="K251:S251" si="379">K252</f>
        <v>1038500</v>
      </c>
      <c r="L251" s="2">
        <f t="shared" si="379"/>
        <v>171280</v>
      </c>
      <c r="M251" s="2">
        <f t="shared" si="379"/>
        <v>1209780</v>
      </c>
      <c r="N251" s="2">
        <f t="shared" si="379"/>
        <v>0</v>
      </c>
      <c r="O251" s="2">
        <f t="shared" si="379"/>
        <v>1209780</v>
      </c>
      <c r="P251" s="2">
        <f t="shared" si="379"/>
        <v>0</v>
      </c>
      <c r="Q251" s="2">
        <f t="shared" si="379"/>
        <v>1209780</v>
      </c>
      <c r="R251" s="2">
        <f t="shared" si="379"/>
        <v>242533</v>
      </c>
      <c r="S251" s="2">
        <f t="shared" si="379"/>
        <v>1452313</v>
      </c>
    </row>
    <row r="252" spans="1:19" s="6" customFormat="1" x14ac:dyDescent="0.25">
      <c r="A252" s="224"/>
      <c r="B252" s="224" t="s">
        <v>119</v>
      </c>
      <c r="C252" s="224"/>
      <c r="D252" s="219">
        <v>52</v>
      </c>
      <c r="E252" s="219">
        <v>0</v>
      </c>
      <c r="F252" s="219">
        <v>852</v>
      </c>
      <c r="G252" s="1" t="s">
        <v>36</v>
      </c>
      <c r="H252" s="1" t="s">
        <v>17</v>
      </c>
      <c r="I252" s="18" t="s">
        <v>235</v>
      </c>
      <c r="J252" s="1" t="s">
        <v>120</v>
      </c>
      <c r="K252" s="2">
        <f>'6 Вед15'!J226+'6 Вед15'!J251</f>
        <v>1038500</v>
      </c>
      <c r="L252" s="2">
        <f>'6 Вед15'!K226+'6 Вед15'!K251</f>
        <v>171280</v>
      </c>
      <c r="M252" s="2">
        <f t="shared" si="337"/>
        <v>1209780</v>
      </c>
      <c r="N252" s="2">
        <f>'6 Вед15'!M226+'6 Вед15'!M251</f>
        <v>0</v>
      </c>
      <c r="O252" s="2">
        <f t="shared" si="338"/>
        <v>1209780</v>
      </c>
      <c r="P252" s="2">
        <f>'6 Вед15'!O226+'6 Вед15'!O251</f>
        <v>0</v>
      </c>
      <c r="Q252" s="2">
        <f t="shared" ref="Q252" si="380">O252+P252</f>
        <v>1209780</v>
      </c>
      <c r="R252" s="2">
        <f>'6 Вед15'!Q226+'6 Вед15'!Q251+'6 Вед15'!Q275</f>
        <v>242533</v>
      </c>
      <c r="S252" s="2">
        <f t="shared" ref="S252" si="381">Q252+R252</f>
        <v>1452313</v>
      </c>
    </row>
    <row r="253" spans="1:19" s="6" customFormat="1" ht="24" customHeight="1" x14ac:dyDescent="0.25">
      <c r="A253" s="509" t="s">
        <v>130</v>
      </c>
      <c r="B253" s="509"/>
      <c r="C253" s="225"/>
      <c r="D253" s="219">
        <v>52</v>
      </c>
      <c r="E253" s="219">
        <v>0</v>
      </c>
      <c r="F253" s="219">
        <v>852</v>
      </c>
      <c r="G253" s="1" t="s">
        <v>36</v>
      </c>
      <c r="H253" s="1" t="s">
        <v>36</v>
      </c>
      <c r="I253" s="1" t="s">
        <v>431</v>
      </c>
      <c r="J253" s="1"/>
      <c r="K253" s="2">
        <f t="shared" ref="K253:S254" si="382">K254</f>
        <v>122200</v>
      </c>
      <c r="L253" s="2">
        <f t="shared" si="382"/>
        <v>0</v>
      </c>
      <c r="M253" s="2">
        <f t="shared" si="382"/>
        <v>122200</v>
      </c>
      <c r="N253" s="2">
        <f t="shared" si="382"/>
        <v>0</v>
      </c>
      <c r="O253" s="2">
        <f t="shared" si="382"/>
        <v>122200</v>
      </c>
      <c r="P253" s="2">
        <f t="shared" si="382"/>
        <v>0</v>
      </c>
      <c r="Q253" s="2">
        <f t="shared" si="382"/>
        <v>122200</v>
      </c>
      <c r="R253" s="2">
        <f t="shared" si="382"/>
        <v>0</v>
      </c>
      <c r="S253" s="2">
        <f t="shared" si="382"/>
        <v>122200</v>
      </c>
    </row>
    <row r="254" spans="1:19" s="6" customFormat="1" ht="12.75" customHeight="1" x14ac:dyDescent="0.25">
      <c r="A254" s="15"/>
      <c r="B254" s="228" t="s">
        <v>27</v>
      </c>
      <c r="C254" s="224"/>
      <c r="D254" s="219">
        <v>52</v>
      </c>
      <c r="E254" s="219">
        <v>0</v>
      </c>
      <c r="F254" s="219">
        <v>852</v>
      </c>
      <c r="G254" s="1" t="s">
        <v>36</v>
      </c>
      <c r="H254" s="1" t="s">
        <v>36</v>
      </c>
      <c r="I254" s="1" t="s">
        <v>431</v>
      </c>
      <c r="J254" s="1" t="s">
        <v>28</v>
      </c>
      <c r="K254" s="2">
        <f t="shared" si="382"/>
        <v>122200</v>
      </c>
      <c r="L254" s="2">
        <f t="shared" si="382"/>
        <v>0</v>
      </c>
      <c r="M254" s="2">
        <f t="shared" si="382"/>
        <v>122200</v>
      </c>
      <c r="N254" s="2">
        <f t="shared" si="382"/>
        <v>0</v>
      </c>
      <c r="O254" s="2">
        <f t="shared" si="382"/>
        <v>122200</v>
      </c>
      <c r="P254" s="2">
        <f t="shared" si="382"/>
        <v>0</v>
      </c>
      <c r="Q254" s="2">
        <f t="shared" si="382"/>
        <v>122200</v>
      </c>
      <c r="R254" s="2">
        <f t="shared" si="382"/>
        <v>0</v>
      </c>
      <c r="S254" s="2">
        <f t="shared" si="382"/>
        <v>122200</v>
      </c>
    </row>
    <row r="255" spans="1:19" s="6" customFormat="1" ht="26.25" customHeight="1" x14ac:dyDescent="0.25">
      <c r="A255" s="15"/>
      <c r="B255" s="228" t="s">
        <v>29</v>
      </c>
      <c r="C255" s="225"/>
      <c r="D255" s="219">
        <v>52</v>
      </c>
      <c r="E255" s="219">
        <v>0</v>
      </c>
      <c r="F255" s="219">
        <v>852</v>
      </c>
      <c r="G255" s="1" t="s">
        <v>36</v>
      </c>
      <c r="H255" s="1" t="s">
        <v>36</v>
      </c>
      <c r="I255" s="1" t="s">
        <v>431</v>
      </c>
      <c r="J255" s="1" t="s">
        <v>30</v>
      </c>
      <c r="K255" s="2">
        <f>'6 Вед15'!J255</f>
        <v>122200</v>
      </c>
      <c r="L255" s="92">
        <f>'6 Вед15'!K255</f>
        <v>0</v>
      </c>
      <c r="M255" s="2">
        <f t="shared" si="337"/>
        <v>122200</v>
      </c>
      <c r="N255" s="92">
        <f>'6 Вед15'!M255</f>
        <v>0</v>
      </c>
      <c r="O255" s="2">
        <f t="shared" si="338"/>
        <v>122200</v>
      </c>
      <c r="P255" s="92">
        <f>'6 Вед15'!O255</f>
        <v>0</v>
      </c>
      <c r="Q255" s="2">
        <f t="shared" ref="Q255" si="383">O255+P255</f>
        <v>122200</v>
      </c>
      <c r="R255" s="92">
        <f>'6 Вед15'!Q255</f>
        <v>0</v>
      </c>
      <c r="S255" s="2">
        <f t="shared" ref="S255" si="384">Q255+R255</f>
        <v>122200</v>
      </c>
    </row>
    <row r="256" spans="1:19" s="6" customFormat="1" ht="48.75" customHeight="1" x14ac:dyDescent="0.25">
      <c r="A256" s="533" t="s">
        <v>5</v>
      </c>
      <c r="B256" s="533"/>
      <c r="C256" s="224"/>
      <c r="D256" s="219">
        <v>52</v>
      </c>
      <c r="E256" s="219">
        <v>0</v>
      </c>
      <c r="F256" s="219">
        <v>852</v>
      </c>
      <c r="G256" s="1" t="s">
        <v>0</v>
      </c>
      <c r="H256" s="1" t="s">
        <v>6</v>
      </c>
      <c r="I256" s="1" t="s">
        <v>240</v>
      </c>
      <c r="J256" s="1"/>
      <c r="K256" s="2">
        <f t="shared" ref="K256:S257" si="385">K257</f>
        <v>158000</v>
      </c>
      <c r="L256" s="2">
        <f t="shared" si="385"/>
        <v>0</v>
      </c>
      <c r="M256" s="2">
        <f t="shared" si="385"/>
        <v>158000</v>
      </c>
      <c r="N256" s="2">
        <f t="shared" si="385"/>
        <v>0</v>
      </c>
      <c r="O256" s="2">
        <f t="shared" si="385"/>
        <v>158000</v>
      </c>
      <c r="P256" s="2">
        <f t="shared" si="385"/>
        <v>0</v>
      </c>
      <c r="Q256" s="2">
        <f t="shared" si="385"/>
        <v>158000</v>
      </c>
      <c r="R256" s="2">
        <f t="shared" si="385"/>
        <v>-34322.089999999997</v>
      </c>
      <c r="S256" s="2">
        <f t="shared" si="385"/>
        <v>123677.91</v>
      </c>
    </row>
    <row r="257" spans="1:20" s="6" customFormat="1" x14ac:dyDescent="0.25">
      <c r="A257" s="231"/>
      <c r="B257" s="224" t="s">
        <v>99</v>
      </c>
      <c r="C257" s="224"/>
      <c r="D257" s="219">
        <v>52</v>
      </c>
      <c r="E257" s="219">
        <v>0</v>
      </c>
      <c r="F257" s="219">
        <v>852</v>
      </c>
      <c r="G257" s="1" t="s">
        <v>0</v>
      </c>
      <c r="H257" s="1" t="s">
        <v>6</v>
      </c>
      <c r="I257" s="1" t="s">
        <v>240</v>
      </c>
      <c r="J257" s="1" t="s">
        <v>100</v>
      </c>
      <c r="K257" s="2">
        <f t="shared" si="385"/>
        <v>158000</v>
      </c>
      <c r="L257" s="2">
        <f t="shared" si="385"/>
        <v>0</v>
      </c>
      <c r="M257" s="2">
        <f t="shared" si="385"/>
        <v>158000</v>
      </c>
      <c r="N257" s="2">
        <f t="shared" si="385"/>
        <v>0</v>
      </c>
      <c r="O257" s="2">
        <f t="shared" si="385"/>
        <v>158000</v>
      </c>
      <c r="P257" s="2">
        <f t="shared" si="385"/>
        <v>0</v>
      </c>
      <c r="Q257" s="2">
        <f t="shared" si="385"/>
        <v>158000</v>
      </c>
      <c r="R257" s="2">
        <f t="shared" si="385"/>
        <v>-34322.089999999997</v>
      </c>
      <c r="S257" s="2">
        <f t="shared" si="385"/>
        <v>123677.91</v>
      </c>
    </row>
    <row r="258" spans="1:20" s="6" customFormat="1" ht="24" x14ac:dyDescent="0.25">
      <c r="A258" s="231"/>
      <c r="B258" s="224" t="s">
        <v>252</v>
      </c>
      <c r="C258" s="224"/>
      <c r="D258" s="219">
        <v>52</v>
      </c>
      <c r="E258" s="219">
        <v>0</v>
      </c>
      <c r="F258" s="219">
        <v>852</v>
      </c>
      <c r="G258" s="1" t="s">
        <v>0</v>
      </c>
      <c r="H258" s="1" t="s">
        <v>6</v>
      </c>
      <c r="I258" s="1" t="s">
        <v>240</v>
      </c>
      <c r="J258" s="1" t="s">
        <v>8</v>
      </c>
      <c r="K258" s="2">
        <f>'6 Вед15'!J292</f>
        <v>158000</v>
      </c>
      <c r="L258" s="92">
        <f>'6 Вед15'!K292</f>
        <v>0</v>
      </c>
      <c r="M258" s="2">
        <f t="shared" si="337"/>
        <v>158000</v>
      </c>
      <c r="N258" s="92">
        <f>'6 Вед15'!M292</f>
        <v>0</v>
      </c>
      <c r="O258" s="2">
        <f t="shared" si="338"/>
        <v>158000</v>
      </c>
      <c r="P258" s="92">
        <f>'6 Вед15'!O292</f>
        <v>0</v>
      </c>
      <c r="Q258" s="2">
        <f t="shared" ref="Q258" si="386">O258+P258</f>
        <v>158000</v>
      </c>
      <c r="R258" s="92">
        <f>'6 Вед15'!Q292</f>
        <v>-34322.089999999997</v>
      </c>
      <c r="S258" s="2">
        <f t="shared" ref="S258" si="387">Q258+R258</f>
        <v>123677.91</v>
      </c>
    </row>
    <row r="259" spans="1:20" s="6" customFormat="1" ht="24.75" customHeight="1" x14ac:dyDescent="0.25">
      <c r="A259" s="543" t="s">
        <v>509</v>
      </c>
      <c r="B259" s="544"/>
      <c r="C259" s="229"/>
      <c r="D259" s="234">
        <v>53</v>
      </c>
      <c r="E259" s="219"/>
      <c r="F259" s="234"/>
      <c r="G259" s="34"/>
      <c r="H259" s="34"/>
      <c r="I259" s="34"/>
      <c r="J259" s="7"/>
      <c r="K259" s="8">
        <f t="shared" ref="K259:S259" si="388">K260</f>
        <v>19120517</v>
      </c>
      <c r="L259" s="8">
        <f t="shared" si="388"/>
        <v>0</v>
      </c>
      <c r="M259" s="8">
        <f t="shared" si="388"/>
        <v>19120517</v>
      </c>
      <c r="N259" s="8">
        <f t="shared" si="388"/>
        <v>-666401</v>
      </c>
      <c r="O259" s="8">
        <f t="shared" si="388"/>
        <v>18454116</v>
      </c>
      <c r="P259" s="8">
        <f t="shared" si="388"/>
        <v>-7950</v>
      </c>
      <c r="Q259" s="8">
        <f t="shared" si="388"/>
        <v>18446166</v>
      </c>
      <c r="R259" s="8">
        <f t="shared" si="388"/>
        <v>2752363.6</v>
      </c>
      <c r="S259" s="8">
        <f t="shared" si="388"/>
        <v>21198529.600000001</v>
      </c>
    </row>
    <row r="260" spans="1:20" s="6" customFormat="1" ht="24" customHeight="1" x14ac:dyDescent="0.25">
      <c r="A260" s="520" t="s">
        <v>143</v>
      </c>
      <c r="B260" s="521"/>
      <c r="C260" s="16"/>
      <c r="D260" s="16">
        <v>53</v>
      </c>
      <c r="E260" s="16">
        <v>0</v>
      </c>
      <c r="F260" s="16">
        <v>853</v>
      </c>
      <c r="G260" s="1"/>
      <c r="H260" s="1"/>
      <c r="I260" s="1"/>
      <c r="J260" s="1"/>
      <c r="K260" s="245">
        <f>K261+K269+K272+K275+K280+K285+K292+K289+K295</f>
        <v>19120517</v>
      </c>
      <c r="L260" s="245">
        <f t="shared" ref="L260:O260" si="389">L261+L269+L272+L275+L280+L285+L292+L289+L295</f>
        <v>0</v>
      </c>
      <c r="M260" s="245">
        <f t="shared" si="389"/>
        <v>19120517</v>
      </c>
      <c r="N260" s="245">
        <f t="shared" si="389"/>
        <v>-666401</v>
      </c>
      <c r="O260" s="245">
        <f t="shared" si="389"/>
        <v>18454116</v>
      </c>
      <c r="P260" s="245">
        <f t="shared" ref="P260" si="390">P261+P269+P272+P275+P280+P285+P292+P289+P295</f>
        <v>-7950</v>
      </c>
      <c r="Q260" s="12">
        <f>Q261+Q269+Q272+Q275+Q280+Q285+Q292+Q289+Q295+Q298</f>
        <v>18446166</v>
      </c>
      <c r="R260" s="12">
        <f t="shared" ref="R260:S260" si="391">R261+R269+R272+R275+R280+R285+R292+R289+R295+R298</f>
        <v>2752363.6</v>
      </c>
      <c r="S260" s="12">
        <f t="shared" si="391"/>
        <v>21198529.600000001</v>
      </c>
    </row>
    <row r="261" spans="1:20" s="6" customFormat="1" ht="27" customHeight="1" x14ac:dyDescent="0.25">
      <c r="A261" s="509" t="s">
        <v>26</v>
      </c>
      <c r="B261" s="509"/>
      <c r="C261" s="219"/>
      <c r="D261" s="219">
        <v>53</v>
      </c>
      <c r="E261" s="219">
        <v>0</v>
      </c>
      <c r="F261" s="63">
        <v>853</v>
      </c>
      <c r="G261" s="1" t="s">
        <v>22</v>
      </c>
      <c r="H261" s="1" t="s">
        <v>1</v>
      </c>
      <c r="I261" s="1" t="s">
        <v>435</v>
      </c>
      <c r="J261" s="1"/>
      <c r="K261" s="2">
        <f t="shared" ref="K261" si="392">K262+K264+K266</f>
        <v>3735300</v>
      </c>
      <c r="L261" s="2">
        <f t="shared" ref="L261:O261" si="393">L262+L264+L266</f>
        <v>0</v>
      </c>
      <c r="M261" s="2">
        <f t="shared" si="393"/>
        <v>3735300</v>
      </c>
      <c r="N261" s="2">
        <f t="shared" si="393"/>
        <v>0</v>
      </c>
      <c r="O261" s="2">
        <f t="shared" si="393"/>
        <v>3735300</v>
      </c>
      <c r="P261" s="2">
        <f t="shared" ref="P261:Q261" si="394">P262+P264+P266</f>
        <v>0</v>
      </c>
      <c r="Q261" s="2">
        <f t="shared" si="394"/>
        <v>3735300</v>
      </c>
      <c r="R261" s="2">
        <f t="shared" ref="R261:S261" si="395">R262+R264+R266</f>
        <v>0</v>
      </c>
      <c r="S261" s="2">
        <f t="shared" si="395"/>
        <v>3735300</v>
      </c>
    </row>
    <row r="262" spans="1:20" s="6" customFormat="1" ht="36" customHeight="1" x14ac:dyDescent="0.25">
      <c r="A262" s="15"/>
      <c r="B262" s="224" t="s">
        <v>21</v>
      </c>
      <c r="C262" s="219"/>
      <c r="D262" s="219">
        <v>53</v>
      </c>
      <c r="E262" s="219">
        <v>0</v>
      </c>
      <c r="F262" s="63">
        <v>853</v>
      </c>
      <c r="G262" s="1" t="s">
        <v>17</v>
      </c>
      <c r="H262" s="1" t="s">
        <v>1</v>
      </c>
      <c r="I262" s="1" t="s">
        <v>435</v>
      </c>
      <c r="J262" s="1" t="s">
        <v>23</v>
      </c>
      <c r="K262" s="2">
        <f t="shared" ref="K262:S262" si="396">K263</f>
        <v>3406500</v>
      </c>
      <c r="L262" s="2">
        <f t="shared" si="396"/>
        <v>0</v>
      </c>
      <c r="M262" s="2">
        <f t="shared" si="396"/>
        <v>3406500</v>
      </c>
      <c r="N262" s="2">
        <f t="shared" si="396"/>
        <v>0</v>
      </c>
      <c r="O262" s="2">
        <f t="shared" si="396"/>
        <v>3406500</v>
      </c>
      <c r="P262" s="2">
        <f t="shared" si="396"/>
        <v>0</v>
      </c>
      <c r="Q262" s="2">
        <f t="shared" si="396"/>
        <v>3406500</v>
      </c>
      <c r="R262" s="2">
        <f t="shared" si="396"/>
        <v>0</v>
      </c>
      <c r="S262" s="2">
        <f t="shared" si="396"/>
        <v>3406500</v>
      </c>
    </row>
    <row r="263" spans="1:20" s="6" customFormat="1" ht="15.75" customHeight="1" x14ac:dyDescent="0.25">
      <c r="A263" s="15"/>
      <c r="B263" s="224" t="s">
        <v>24</v>
      </c>
      <c r="C263" s="219"/>
      <c r="D263" s="219">
        <v>53</v>
      </c>
      <c r="E263" s="219">
        <v>0</v>
      </c>
      <c r="F263" s="63">
        <v>853</v>
      </c>
      <c r="G263" s="1" t="s">
        <v>17</v>
      </c>
      <c r="H263" s="1" t="s">
        <v>1</v>
      </c>
      <c r="I263" s="1" t="s">
        <v>435</v>
      </c>
      <c r="J263" s="1" t="s">
        <v>25</v>
      </c>
      <c r="K263" s="2">
        <f>'6 Вед15'!J309</f>
        <v>3406500</v>
      </c>
      <c r="L263" s="92">
        <f>'6 Вед15'!K309</f>
        <v>0</v>
      </c>
      <c r="M263" s="2">
        <f t="shared" si="337"/>
        <v>3406500</v>
      </c>
      <c r="N263" s="92">
        <f>'6 Вед15'!M309</f>
        <v>0</v>
      </c>
      <c r="O263" s="2">
        <f t="shared" si="338"/>
        <v>3406500</v>
      </c>
      <c r="P263" s="92">
        <f>'6 Вед15'!O309</f>
        <v>0</v>
      </c>
      <c r="Q263" s="2">
        <f t="shared" ref="Q263" si="397">O263+P263</f>
        <v>3406500</v>
      </c>
      <c r="R263" s="92">
        <f>'6 Вед15'!Q309</f>
        <v>0</v>
      </c>
      <c r="S263" s="2">
        <f t="shared" ref="S263" si="398">Q263+R263</f>
        <v>3406500</v>
      </c>
    </row>
    <row r="264" spans="1:20" s="6" customFormat="1" ht="15.75" customHeight="1" x14ac:dyDescent="0.25">
      <c r="A264" s="15"/>
      <c r="B264" s="228" t="s">
        <v>27</v>
      </c>
      <c r="C264" s="219"/>
      <c r="D264" s="219">
        <v>53</v>
      </c>
      <c r="E264" s="219">
        <v>0</v>
      </c>
      <c r="F264" s="63">
        <v>853</v>
      </c>
      <c r="G264" s="1" t="s">
        <v>17</v>
      </c>
      <c r="H264" s="1" t="s">
        <v>1</v>
      </c>
      <c r="I264" s="1" t="s">
        <v>435</v>
      </c>
      <c r="J264" s="1" t="s">
        <v>28</v>
      </c>
      <c r="K264" s="2">
        <f t="shared" ref="K264" si="399">K265</f>
        <v>314800</v>
      </c>
      <c r="L264" s="2">
        <f t="shared" ref="L264" si="400">L265</f>
        <v>0</v>
      </c>
      <c r="M264" s="2">
        <f t="shared" ref="M264" si="401">M265</f>
        <v>314800</v>
      </c>
      <c r="N264" s="2">
        <f t="shared" ref="N264" si="402">N265</f>
        <v>0</v>
      </c>
      <c r="O264" s="2">
        <f t="shared" ref="O264" si="403">O265</f>
        <v>314800</v>
      </c>
      <c r="P264" s="2">
        <f t="shared" ref="P264" si="404">P265</f>
        <v>0</v>
      </c>
      <c r="Q264" s="2">
        <f t="shared" ref="Q264" si="405">Q265</f>
        <v>314800</v>
      </c>
      <c r="R264" s="2">
        <f t="shared" ref="R264" si="406">R265</f>
        <v>0</v>
      </c>
      <c r="S264" s="2">
        <f t="shared" ref="S264" si="407">S265</f>
        <v>314800</v>
      </c>
      <c r="T264" s="2">
        <f t="shared" ref="T264" si="408">T265</f>
        <v>0</v>
      </c>
    </row>
    <row r="265" spans="1:20" s="6" customFormat="1" ht="25.5" customHeight="1" x14ac:dyDescent="0.25">
      <c r="A265" s="15"/>
      <c r="B265" s="228" t="s">
        <v>29</v>
      </c>
      <c r="C265" s="219"/>
      <c r="D265" s="219">
        <v>53</v>
      </c>
      <c r="E265" s="219">
        <v>0</v>
      </c>
      <c r="F265" s="63">
        <v>853</v>
      </c>
      <c r="G265" s="1" t="s">
        <v>17</v>
      </c>
      <c r="H265" s="1" t="s">
        <v>1</v>
      </c>
      <c r="I265" s="1" t="s">
        <v>435</v>
      </c>
      <c r="J265" s="1" t="s">
        <v>30</v>
      </c>
      <c r="K265" s="2">
        <f>'6 Вед15'!J311</f>
        <v>314800</v>
      </c>
      <c r="L265" s="92">
        <f>'6 Вед15'!K311</f>
        <v>0</v>
      </c>
      <c r="M265" s="2">
        <f t="shared" si="337"/>
        <v>314800</v>
      </c>
      <c r="N265" s="92">
        <f>'6 Вед15'!M311</f>
        <v>0</v>
      </c>
      <c r="O265" s="2">
        <f t="shared" si="338"/>
        <v>314800</v>
      </c>
      <c r="P265" s="92">
        <f>'6 Вед15'!O311</f>
        <v>0</v>
      </c>
      <c r="Q265" s="2">
        <f t="shared" ref="Q265" si="409">O265+P265</f>
        <v>314800</v>
      </c>
      <c r="R265" s="92">
        <f>'6 Вед15'!Q311</f>
        <v>0</v>
      </c>
      <c r="S265" s="2">
        <f t="shared" ref="S265" si="410">Q265+R265</f>
        <v>314800</v>
      </c>
    </row>
    <row r="266" spans="1:20" s="6" customFormat="1" ht="14.25" customHeight="1" x14ac:dyDescent="0.25">
      <c r="A266" s="15"/>
      <c r="B266" s="228" t="s">
        <v>31</v>
      </c>
      <c r="C266" s="219"/>
      <c r="D266" s="219">
        <v>53</v>
      </c>
      <c r="E266" s="219">
        <v>0</v>
      </c>
      <c r="F266" s="63">
        <v>853</v>
      </c>
      <c r="G266" s="1" t="s">
        <v>17</v>
      </c>
      <c r="H266" s="1" t="s">
        <v>1</v>
      </c>
      <c r="I266" s="1" t="s">
        <v>435</v>
      </c>
      <c r="J266" s="1" t="s">
        <v>32</v>
      </c>
      <c r="K266" s="2">
        <f>K267+K268</f>
        <v>14000</v>
      </c>
      <c r="L266" s="2">
        <f t="shared" ref="L266:O266" si="411">L267+L268</f>
        <v>0</v>
      </c>
      <c r="M266" s="2">
        <f t="shared" si="411"/>
        <v>14000</v>
      </c>
      <c r="N266" s="2">
        <f t="shared" si="411"/>
        <v>0</v>
      </c>
      <c r="O266" s="2">
        <f t="shared" si="411"/>
        <v>14000</v>
      </c>
      <c r="P266" s="2">
        <f t="shared" ref="P266:R266" si="412">P267+P268</f>
        <v>0</v>
      </c>
      <c r="Q266" s="2">
        <f t="shared" ref="Q266:S266" si="413">Q267+Q268</f>
        <v>14000</v>
      </c>
      <c r="R266" s="2">
        <f t="shared" si="412"/>
        <v>0</v>
      </c>
      <c r="S266" s="2">
        <f t="shared" si="413"/>
        <v>14000</v>
      </c>
    </row>
    <row r="267" spans="1:20" s="6" customFormat="1" ht="14.25" customHeight="1" x14ac:dyDescent="0.25">
      <c r="A267" s="15"/>
      <c r="B267" s="228" t="s">
        <v>33</v>
      </c>
      <c r="C267" s="219"/>
      <c r="D267" s="219">
        <v>53</v>
      </c>
      <c r="E267" s="219">
        <v>0</v>
      </c>
      <c r="F267" s="63">
        <v>853</v>
      </c>
      <c r="G267" s="1" t="s">
        <v>17</v>
      </c>
      <c r="H267" s="1" t="s">
        <v>1</v>
      </c>
      <c r="I267" s="1" t="s">
        <v>435</v>
      </c>
      <c r="J267" s="1" t="s">
        <v>34</v>
      </c>
      <c r="K267" s="2">
        <f>'6 Вед15'!J313</f>
        <v>13870</v>
      </c>
      <c r="L267" s="92">
        <f>'6 Вед15'!K313</f>
        <v>0</v>
      </c>
      <c r="M267" s="2">
        <f t="shared" si="337"/>
        <v>13870</v>
      </c>
      <c r="N267" s="92">
        <f>'6 Вед15'!M313</f>
        <v>0</v>
      </c>
      <c r="O267" s="2">
        <f t="shared" si="338"/>
        <v>13870</v>
      </c>
      <c r="P267" s="92">
        <f>'6 Вед15'!O313</f>
        <v>0</v>
      </c>
      <c r="Q267" s="2">
        <f t="shared" ref="Q267:Q268" si="414">O267+P267</f>
        <v>13870</v>
      </c>
      <c r="R267" s="92">
        <f>'6 Вед15'!Q313</f>
        <v>0</v>
      </c>
      <c r="S267" s="2">
        <f t="shared" ref="S267:S268" si="415">Q267+R267</f>
        <v>13870</v>
      </c>
    </row>
    <row r="268" spans="1:20" s="6" customFormat="1" ht="12.75" customHeight="1" x14ac:dyDescent="0.25">
      <c r="A268" s="15"/>
      <c r="B268" s="239" t="s">
        <v>466</v>
      </c>
      <c r="C268" s="219"/>
      <c r="D268" s="219">
        <v>53</v>
      </c>
      <c r="E268" s="219">
        <v>0</v>
      </c>
      <c r="F268" s="63">
        <v>853</v>
      </c>
      <c r="G268" s="1" t="s">
        <v>17</v>
      </c>
      <c r="H268" s="1" t="s">
        <v>1</v>
      </c>
      <c r="I268" s="1" t="s">
        <v>435</v>
      </c>
      <c r="J268" s="1" t="s">
        <v>35</v>
      </c>
      <c r="K268" s="2">
        <f>'6 Вед15'!J314</f>
        <v>130</v>
      </c>
      <c r="L268" s="92"/>
      <c r="M268" s="2">
        <f t="shared" si="337"/>
        <v>130</v>
      </c>
      <c r="N268" s="92"/>
      <c r="O268" s="2">
        <f t="shared" si="338"/>
        <v>130</v>
      </c>
      <c r="P268" s="92"/>
      <c r="Q268" s="2">
        <f t="shared" si="414"/>
        <v>130</v>
      </c>
      <c r="R268" s="92"/>
      <c r="S268" s="2">
        <f t="shared" si="415"/>
        <v>130</v>
      </c>
    </row>
    <row r="269" spans="1:20" s="6" customFormat="1" ht="47.25" customHeight="1" x14ac:dyDescent="0.25">
      <c r="A269" s="509" t="s">
        <v>45</v>
      </c>
      <c r="B269" s="509"/>
      <c r="C269" s="219"/>
      <c r="D269" s="219">
        <v>53</v>
      </c>
      <c r="E269" s="219">
        <v>0</v>
      </c>
      <c r="F269" s="63">
        <v>853</v>
      </c>
      <c r="G269" s="1" t="s">
        <v>17</v>
      </c>
      <c r="H269" s="1" t="s">
        <v>44</v>
      </c>
      <c r="I269" s="1" t="s">
        <v>210</v>
      </c>
      <c r="J269" s="1"/>
      <c r="K269" s="2">
        <f t="shared" ref="K269:S270" si="416">K270</f>
        <v>200</v>
      </c>
      <c r="L269" s="2">
        <f t="shared" si="416"/>
        <v>0</v>
      </c>
      <c r="M269" s="2">
        <f t="shared" si="416"/>
        <v>200</v>
      </c>
      <c r="N269" s="2">
        <f t="shared" si="416"/>
        <v>0</v>
      </c>
      <c r="O269" s="2">
        <f t="shared" si="416"/>
        <v>200</v>
      </c>
      <c r="P269" s="2">
        <f t="shared" si="416"/>
        <v>0</v>
      </c>
      <c r="Q269" s="2">
        <f t="shared" si="416"/>
        <v>200</v>
      </c>
      <c r="R269" s="2">
        <f t="shared" si="416"/>
        <v>0</v>
      </c>
      <c r="S269" s="2">
        <f t="shared" si="416"/>
        <v>200</v>
      </c>
    </row>
    <row r="270" spans="1:20" s="6" customFormat="1" x14ac:dyDescent="0.25">
      <c r="A270" s="15"/>
      <c r="B270" s="224" t="s">
        <v>145</v>
      </c>
      <c r="C270" s="224"/>
      <c r="D270" s="219">
        <v>53</v>
      </c>
      <c r="E270" s="219">
        <v>0</v>
      </c>
      <c r="F270" s="63">
        <v>853</v>
      </c>
      <c r="G270" s="1" t="s">
        <v>17</v>
      </c>
      <c r="H270" s="18" t="s">
        <v>44</v>
      </c>
      <c r="I270" s="18" t="s">
        <v>210</v>
      </c>
      <c r="J270" s="1" t="s">
        <v>146</v>
      </c>
      <c r="K270" s="2">
        <f t="shared" si="416"/>
        <v>200</v>
      </c>
      <c r="L270" s="2">
        <f t="shared" si="416"/>
        <v>0</v>
      </c>
      <c r="M270" s="2">
        <f t="shared" si="416"/>
        <v>200</v>
      </c>
      <c r="N270" s="2">
        <f t="shared" si="416"/>
        <v>0</v>
      </c>
      <c r="O270" s="2">
        <f t="shared" si="416"/>
        <v>200</v>
      </c>
      <c r="P270" s="2">
        <f t="shared" si="416"/>
        <v>0</v>
      </c>
      <c r="Q270" s="2">
        <f t="shared" si="416"/>
        <v>200</v>
      </c>
      <c r="R270" s="2">
        <f t="shared" si="416"/>
        <v>0</v>
      </c>
      <c r="S270" s="2">
        <f t="shared" si="416"/>
        <v>200</v>
      </c>
    </row>
    <row r="271" spans="1:20" s="6" customFormat="1" x14ac:dyDescent="0.25">
      <c r="A271" s="15"/>
      <c r="B271" s="224" t="s">
        <v>147</v>
      </c>
      <c r="C271" s="224"/>
      <c r="D271" s="219">
        <v>53</v>
      </c>
      <c r="E271" s="219">
        <v>0</v>
      </c>
      <c r="F271" s="63">
        <v>853</v>
      </c>
      <c r="G271" s="1" t="s">
        <v>17</v>
      </c>
      <c r="H271" s="18" t="s">
        <v>44</v>
      </c>
      <c r="I271" s="18" t="s">
        <v>210</v>
      </c>
      <c r="J271" s="1" t="s">
        <v>148</v>
      </c>
      <c r="K271" s="2">
        <f>'6 Вед15'!J318</f>
        <v>200</v>
      </c>
      <c r="L271" s="92">
        <f>'6 Вед15'!K318</f>
        <v>0</v>
      </c>
      <c r="M271" s="2">
        <f t="shared" si="337"/>
        <v>200</v>
      </c>
      <c r="N271" s="92">
        <f>'6 Вед15'!M318</f>
        <v>0</v>
      </c>
      <c r="O271" s="2">
        <f t="shared" si="338"/>
        <v>200</v>
      </c>
      <c r="P271" s="92">
        <f>'6 Вед15'!O318</f>
        <v>0</v>
      </c>
      <c r="Q271" s="2">
        <f t="shared" ref="Q271" si="417">O271+P271</f>
        <v>200</v>
      </c>
      <c r="R271" s="92">
        <f>'6 Вед15'!Q318</f>
        <v>0</v>
      </c>
      <c r="S271" s="2">
        <f t="shared" ref="S271" si="418">Q271+R271</f>
        <v>200</v>
      </c>
    </row>
    <row r="272" spans="1:20" s="6" customFormat="1" ht="58.5" customHeight="1" x14ac:dyDescent="0.25">
      <c r="A272" s="533" t="s">
        <v>86</v>
      </c>
      <c r="B272" s="533"/>
      <c r="C272" s="225"/>
      <c r="D272" s="219">
        <v>53</v>
      </c>
      <c r="E272" s="219">
        <v>0</v>
      </c>
      <c r="F272" s="219">
        <v>853</v>
      </c>
      <c r="G272" s="1" t="s">
        <v>84</v>
      </c>
      <c r="H272" s="1" t="s">
        <v>17</v>
      </c>
      <c r="I272" s="1" t="s">
        <v>220</v>
      </c>
      <c r="J272" s="1"/>
      <c r="K272" s="2">
        <f t="shared" ref="K272:S273" si="419">K273</f>
        <v>95400</v>
      </c>
      <c r="L272" s="2">
        <f t="shared" si="419"/>
        <v>0</v>
      </c>
      <c r="M272" s="2">
        <f t="shared" si="419"/>
        <v>95400</v>
      </c>
      <c r="N272" s="2">
        <f t="shared" si="419"/>
        <v>0</v>
      </c>
      <c r="O272" s="2">
        <f t="shared" si="419"/>
        <v>95400</v>
      </c>
      <c r="P272" s="2">
        <f t="shared" si="419"/>
        <v>-7950</v>
      </c>
      <c r="Q272" s="2">
        <f t="shared" si="419"/>
        <v>87450</v>
      </c>
      <c r="R272" s="2">
        <f t="shared" si="419"/>
        <v>0</v>
      </c>
      <c r="S272" s="2">
        <f t="shared" si="419"/>
        <v>87450</v>
      </c>
    </row>
    <row r="273" spans="1:19" s="6" customFormat="1" x14ac:dyDescent="0.25">
      <c r="A273" s="15"/>
      <c r="B273" s="225" t="s">
        <v>145</v>
      </c>
      <c r="C273" s="224"/>
      <c r="D273" s="219">
        <v>53</v>
      </c>
      <c r="E273" s="219">
        <v>0</v>
      </c>
      <c r="F273" s="63">
        <v>853</v>
      </c>
      <c r="G273" s="1" t="s">
        <v>84</v>
      </c>
      <c r="H273" s="1" t="s">
        <v>6</v>
      </c>
      <c r="I273" s="1" t="s">
        <v>220</v>
      </c>
      <c r="J273" s="1" t="s">
        <v>146</v>
      </c>
      <c r="K273" s="2">
        <f t="shared" si="419"/>
        <v>95400</v>
      </c>
      <c r="L273" s="2">
        <f t="shared" si="419"/>
        <v>0</v>
      </c>
      <c r="M273" s="2">
        <f t="shared" si="419"/>
        <v>95400</v>
      </c>
      <c r="N273" s="2">
        <f t="shared" si="419"/>
        <v>0</v>
      </c>
      <c r="O273" s="2">
        <f t="shared" si="419"/>
        <v>95400</v>
      </c>
      <c r="P273" s="2">
        <f t="shared" si="419"/>
        <v>-7950</v>
      </c>
      <c r="Q273" s="2">
        <f t="shared" si="419"/>
        <v>87450</v>
      </c>
      <c r="R273" s="2">
        <f t="shared" si="419"/>
        <v>0</v>
      </c>
      <c r="S273" s="2">
        <f t="shared" si="419"/>
        <v>87450</v>
      </c>
    </row>
    <row r="274" spans="1:19" s="6" customFormat="1" x14ac:dyDescent="0.25">
      <c r="A274" s="176"/>
      <c r="B274" s="225" t="s">
        <v>147</v>
      </c>
      <c r="C274" s="225"/>
      <c r="D274" s="219">
        <v>53</v>
      </c>
      <c r="E274" s="219">
        <v>0</v>
      </c>
      <c r="F274" s="63">
        <v>853</v>
      </c>
      <c r="G274" s="1" t="s">
        <v>84</v>
      </c>
      <c r="H274" s="1" t="s">
        <v>6</v>
      </c>
      <c r="I274" s="1" t="s">
        <v>220</v>
      </c>
      <c r="J274" s="1" t="s">
        <v>148</v>
      </c>
      <c r="K274" s="2">
        <f>'6 Вед15'!J346</f>
        <v>95400</v>
      </c>
      <c r="L274" s="2">
        <f>'6 Вед15'!K346</f>
        <v>0</v>
      </c>
      <c r="M274" s="2">
        <f t="shared" si="337"/>
        <v>95400</v>
      </c>
      <c r="N274" s="2">
        <f>'6 Вед15'!M346</f>
        <v>0</v>
      </c>
      <c r="O274" s="2">
        <f t="shared" si="338"/>
        <v>95400</v>
      </c>
      <c r="P274" s="2">
        <f>'6 Вед15'!O346</f>
        <v>-7950</v>
      </c>
      <c r="Q274" s="2">
        <f t="shared" ref="Q274" si="420">O274+P274</f>
        <v>87450</v>
      </c>
      <c r="R274" s="2">
        <f>'6 Вед15'!Q346</f>
        <v>0</v>
      </c>
      <c r="S274" s="2">
        <f t="shared" ref="S274" si="421">Q274+R274</f>
        <v>87450</v>
      </c>
    </row>
    <row r="275" spans="1:19" s="6" customFormat="1" ht="15" customHeight="1" x14ac:dyDescent="0.25">
      <c r="A275" s="533" t="s">
        <v>155</v>
      </c>
      <c r="B275" s="533"/>
      <c r="C275" s="227"/>
      <c r="D275" s="219">
        <v>53</v>
      </c>
      <c r="E275" s="219">
        <v>0</v>
      </c>
      <c r="F275" s="63">
        <v>853</v>
      </c>
      <c r="G275" s="18" t="s">
        <v>153</v>
      </c>
      <c r="H275" s="18" t="s">
        <v>17</v>
      </c>
      <c r="I275" s="18" t="s">
        <v>241</v>
      </c>
      <c r="J275" s="20"/>
      <c r="K275" s="37">
        <f t="shared" ref="K275:S276" si="422">K276</f>
        <v>5882000</v>
      </c>
      <c r="L275" s="37">
        <f t="shared" si="422"/>
        <v>0</v>
      </c>
      <c r="M275" s="37">
        <f t="shared" si="422"/>
        <v>5882000</v>
      </c>
      <c r="N275" s="37">
        <f t="shared" si="422"/>
        <v>0</v>
      </c>
      <c r="O275" s="37">
        <f t="shared" si="422"/>
        <v>5882000</v>
      </c>
      <c r="P275" s="37">
        <f t="shared" si="422"/>
        <v>0</v>
      </c>
      <c r="Q275" s="37">
        <f t="shared" si="422"/>
        <v>5882000</v>
      </c>
      <c r="R275" s="37">
        <f t="shared" si="422"/>
        <v>0</v>
      </c>
      <c r="S275" s="37">
        <f t="shared" si="422"/>
        <v>5882000</v>
      </c>
    </row>
    <row r="276" spans="1:19" s="6" customFormat="1" x14ac:dyDescent="0.25">
      <c r="A276" s="15"/>
      <c r="B276" s="224" t="s">
        <v>145</v>
      </c>
      <c r="C276" s="224"/>
      <c r="D276" s="219">
        <v>53</v>
      </c>
      <c r="E276" s="219">
        <v>0</v>
      </c>
      <c r="F276" s="63">
        <v>853</v>
      </c>
      <c r="G276" s="1" t="s">
        <v>153</v>
      </c>
      <c r="H276" s="1" t="s">
        <v>17</v>
      </c>
      <c r="I276" s="1" t="s">
        <v>241</v>
      </c>
      <c r="J276" s="1" t="s">
        <v>146</v>
      </c>
      <c r="K276" s="2">
        <f>K277</f>
        <v>5882000</v>
      </c>
      <c r="L276" s="2">
        <f t="shared" si="422"/>
        <v>0</v>
      </c>
      <c r="M276" s="2">
        <f t="shared" si="422"/>
        <v>5882000</v>
      </c>
      <c r="N276" s="2">
        <f t="shared" si="422"/>
        <v>0</v>
      </c>
      <c r="O276" s="2">
        <f t="shared" si="422"/>
        <v>5882000</v>
      </c>
      <c r="P276" s="2">
        <f t="shared" si="422"/>
        <v>0</v>
      </c>
      <c r="Q276" s="2">
        <f t="shared" si="422"/>
        <v>5882000</v>
      </c>
      <c r="R276" s="2">
        <f t="shared" si="422"/>
        <v>0</v>
      </c>
      <c r="S276" s="2">
        <f t="shared" si="422"/>
        <v>5882000</v>
      </c>
    </row>
    <row r="277" spans="1:19" s="6" customFormat="1" x14ac:dyDescent="0.25">
      <c r="A277" s="15"/>
      <c r="B277" s="303" t="s">
        <v>579</v>
      </c>
      <c r="C277" s="303"/>
      <c r="D277" s="219">
        <v>53</v>
      </c>
      <c r="E277" s="219">
        <v>0</v>
      </c>
      <c r="F277" s="63">
        <v>853</v>
      </c>
      <c r="G277" s="1" t="s">
        <v>153</v>
      </c>
      <c r="H277" s="1" t="s">
        <v>17</v>
      </c>
      <c r="I277" s="1" t="s">
        <v>241</v>
      </c>
      <c r="J277" s="1" t="s">
        <v>580</v>
      </c>
      <c r="K277" s="2">
        <f>K278+K279</f>
        <v>5882000</v>
      </c>
      <c r="L277" s="2">
        <f t="shared" ref="L277" si="423">L278+L279</f>
        <v>0</v>
      </c>
      <c r="M277" s="2">
        <f t="shared" si="337"/>
        <v>5882000</v>
      </c>
      <c r="N277" s="2">
        <f t="shared" ref="N277" si="424">N278+N279</f>
        <v>0</v>
      </c>
      <c r="O277" s="2">
        <f t="shared" si="338"/>
        <v>5882000</v>
      </c>
      <c r="P277" s="2">
        <f t="shared" ref="P277:R277" si="425">P278+P279</f>
        <v>0</v>
      </c>
      <c r="Q277" s="2">
        <f t="shared" ref="Q277:Q278" si="426">O277+P277</f>
        <v>5882000</v>
      </c>
      <c r="R277" s="2">
        <f t="shared" si="425"/>
        <v>0</v>
      </c>
      <c r="S277" s="2">
        <f t="shared" ref="S277:S278" si="427">Q277+R277</f>
        <v>5882000</v>
      </c>
    </row>
    <row r="278" spans="1:19" s="6" customFormat="1" x14ac:dyDescent="0.25">
      <c r="A278" s="15"/>
      <c r="B278" s="303" t="s">
        <v>187</v>
      </c>
      <c r="C278" s="303"/>
      <c r="D278" s="219">
        <v>53</v>
      </c>
      <c r="E278" s="219">
        <v>0</v>
      </c>
      <c r="F278" s="63">
        <v>853</v>
      </c>
      <c r="G278" s="1" t="s">
        <v>153</v>
      </c>
      <c r="H278" s="1" t="s">
        <v>17</v>
      </c>
      <c r="I278" s="1" t="s">
        <v>241</v>
      </c>
      <c r="J278" s="1" t="s">
        <v>578</v>
      </c>
      <c r="K278" s="2"/>
      <c r="L278" s="2">
        <f>'6 Вед15'!K352</f>
        <v>5882000</v>
      </c>
      <c r="M278" s="2">
        <f t="shared" si="337"/>
        <v>5882000</v>
      </c>
      <c r="N278" s="2">
        <f>'6 Вед15'!M352</f>
        <v>0</v>
      </c>
      <c r="O278" s="2">
        <f t="shared" si="338"/>
        <v>5882000</v>
      </c>
      <c r="P278" s="2">
        <f>'6 Вед15'!O352</f>
        <v>0</v>
      </c>
      <c r="Q278" s="2">
        <f t="shared" si="426"/>
        <v>5882000</v>
      </c>
      <c r="R278" s="2">
        <f>'6 Вед15'!Q352</f>
        <v>0</v>
      </c>
      <c r="S278" s="2">
        <f t="shared" si="427"/>
        <v>5882000</v>
      </c>
    </row>
    <row r="279" spans="1:19" s="6" customFormat="1" x14ac:dyDescent="0.25">
      <c r="A279" s="15"/>
      <c r="B279" s="225" t="s">
        <v>157</v>
      </c>
      <c r="C279" s="225"/>
      <c r="D279" s="219">
        <v>53</v>
      </c>
      <c r="E279" s="219">
        <v>0</v>
      </c>
      <c r="F279" s="63">
        <v>853</v>
      </c>
      <c r="G279" s="1" t="s">
        <v>153</v>
      </c>
      <c r="H279" s="1" t="s">
        <v>17</v>
      </c>
      <c r="I279" s="1" t="s">
        <v>241</v>
      </c>
      <c r="J279" s="1" t="s">
        <v>158</v>
      </c>
      <c r="K279" s="2">
        <f>'6 Вед15'!J353</f>
        <v>5882000</v>
      </c>
      <c r="L279" s="2">
        <f>'6 Вед15'!K353</f>
        <v>-5882000</v>
      </c>
      <c r="M279" s="2">
        <f>'6 Вед15'!L353</f>
        <v>0</v>
      </c>
      <c r="N279" s="2">
        <f>'6 Вед15'!M353</f>
        <v>0</v>
      </c>
      <c r="O279" s="2">
        <f>'6 Вед15'!N353</f>
        <v>0</v>
      </c>
      <c r="P279" s="2">
        <f>'6 Вед15'!O353</f>
        <v>0</v>
      </c>
      <c r="Q279" s="2">
        <f>'6 Вед15'!P353</f>
        <v>0</v>
      </c>
      <c r="R279" s="2">
        <f>'6 Вед15'!Q353</f>
        <v>0</v>
      </c>
      <c r="S279" s="2">
        <f>'6 Вед15'!U353</f>
        <v>0</v>
      </c>
    </row>
    <row r="280" spans="1:19" s="6" customFormat="1" ht="15" customHeight="1" x14ac:dyDescent="0.25">
      <c r="A280" s="530" t="s">
        <v>160</v>
      </c>
      <c r="B280" s="530"/>
      <c r="C280" s="224"/>
      <c r="D280" s="219">
        <v>53</v>
      </c>
      <c r="E280" s="219">
        <v>0</v>
      </c>
      <c r="F280" s="63">
        <v>853</v>
      </c>
      <c r="G280" s="1" t="s">
        <v>153</v>
      </c>
      <c r="H280" s="1" t="s">
        <v>72</v>
      </c>
      <c r="I280" s="1" t="s">
        <v>242</v>
      </c>
      <c r="J280" s="1"/>
      <c r="K280" s="2">
        <f t="shared" ref="K280:S281" si="428">K281</f>
        <v>8607000</v>
      </c>
      <c r="L280" s="92">
        <f t="shared" si="428"/>
        <v>0</v>
      </c>
      <c r="M280" s="2">
        <f t="shared" si="337"/>
        <v>8607000</v>
      </c>
      <c r="N280" s="92">
        <f t="shared" si="428"/>
        <v>-860700</v>
      </c>
      <c r="O280" s="2">
        <f t="shared" si="338"/>
        <v>7746300</v>
      </c>
      <c r="P280" s="92">
        <f t="shared" si="428"/>
        <v>0</v>
      </c>
      <c r="Q280" s="2">
        <f t="shared" ref="Q280" si="429">O280+P280</f>
        <v>7746300</v>
      </c>
      <c r="R280" s="92">
        <f t="shared" si="428"/>
        <v>0</v>
      </c>
      <c r="S280" s="2">
        <f t="shared" ref="S280" si="430">Q280+R280</f>
        <v>7746300</v>
      </c>
    </row>
    <row r="281" spans="1:19" s="6" customFormat="1" x14ac:dyDescent="0.25">
      <c r="A281" s="15"/>
      <c r="B281" s="224" t="s">
        <v>145</v>
      </c>
      <c r="C281" s="224"/>
      <c r="D281" s="219">
        <v>53</v>
      </c>
      <c r="E281" s="219">
        <v>0</v>
      </c>
      <c r="F281" s="63">
        <v>853</v>
      </c>
      <c r="G281" s="1" t="s">
        <v>153</v>
      </c>
      <c r="H281" s="1" t="s">
        <v>72</v>
      </c>
      <c r="I281" s="1" t="s">
        <v>242</v>
      </c>
      <c r="J281" s="1" t="s">
        <v>146</v>
      </c>
      <c r="K281" s="2">
        <f>K282</f>
        <v>8607000</v>
      </c>
      <c r="L281" s="2">
        <f t="shared" si="428"/>
        <v>0</v>
      </c>
      <c r="M281" s="2">
        <f t="shared" si="428"/>
        <v>8607000</v>
      </c>
      <c r="N281" s="2">
        <f t="shared" si="428"/>
        <v>-860700</v>
      </c>
      <c r="O281" s="2">
        <f t="shared" si="428"/>
        <v>7746300</v>
      </c>
      <c r="P281" s="2">
        <f t="shared" si="428"/>
        <v>0</v>
      </c>
      <c r="Q281" s="2">
        <f t="shared" si="428"/>
        <v>7746300</v>
      </c>
      <c r="R281" s="2">
        <f t="shared" si="428"/>
        <v>0</v>
      </c>
      <c r="S281" s="2">
        <f t="shared" si="428"/>
        <v>7746300</v>
      </c>
    </row>
    <row r="282" spans="1:19" s="6" customFormat="1" x14ac:dyDescent="0.25">
      <c r="A282" s="15"/>
      <c r="B282" s="323" t="s">
        <v>579</v>
      </c>
      <c r="C282" s="323"/>
      <c r="D282" s="219">
        <v>53</v>
      </c>
      <c r="E282" s="219">
        <v>0</v>
      </c>
      <c r="F282" s="63">
        <v>853</v>
      </c>
      <c r="G282" s="1" t="s">
        <v>153</v>
      </c>
      <c r="H282" s="1" t="s">
        <v>17</v>
      </c>
      <c r="I282" s="1" t="s">
        <v>242</v>
      </c>
      <c r="J282" s="1" t="s">
        <v>580</v>
      </c>
      <c r="K282" s="2">
        <f>K283+K284</f>
        <v>8607000</v>
      </c>
      <c r="L282" s="2">
        <f t="shared" ref="L282:O282" si="431">L283+L284</f>
        <v>0</v>
      </c>
      <c r="M282" s="2">
        <f t="shared" si="431"/>
        <v>8607000</v>
      </c>
      <c r="N282" s="2">
        <f t="shared" si="431"/>
        <v>-860700</v>
      </c>
      <c r="O282" s="2">
        <f t="shared" si="431"/>
        <v>7746300</v>
      </c>
      <c r="P282" s="2">
        <f t="shared" ref="P282:R282" si="432">P283+P284</f>
        <v>0</v>
      </c>
      <c r="Q282" s="2">
        <f t="shared" ref="Q282:S282" si="433">Q283+Q284</f>
        <v>7746300</v>
      </c>
      <c r="R282" s="2">
        <f t="shared" si="432"/>
        <v>0</v>
      </c>
      <c r="S282" s="2">
        <f t="shared" si="433"/>
        <v>7746300</v>
      </c>
    </row>
    <row r="283" spans="1:19" s="6" customFormat="1" x14ac:dyDescent="0.25">
      <c r="A283" s="15"/>
      <c r="B283" s="323" t="s">
        <v>159</v>
      </c>
      <c r="C283" s="323"/>
      <c r="D283" s="219">
        <v>53</v>
      </c>
      <c r="E283" s="219">
        <v>0</v>
      </c>
      <c r="F283" s="63">
        <v>853</v>
      </c>
      <c r="G283" s="1" t="s">
        <v>153</v>
      </c>
      <c r="H283" s="1" t="s">
        <v>72</v>
      </c>
      <c r="I283" s="1" t="s">
        <v>242</v>
      </c>
      <c r="J283" s="1" t="s">
        <v>598</v>
      </c>
      <c r="K283" s="2">
        <f>'6 Вед15'!J358</f>
        <v>0</v>
      </c>
      <c r="L283" s="2">
        <f>'6 Вед15'!K358</f>
        <v>8607000</v>
      </c>
      <c r="M283" s="2">
        <f t="shared" si="337"/>
        <v>8607000</v>
      </c>
      <c r="N283" s="2">
        <f>'6 Вед15'!M358</f>
        <v>-860700</v>
      </c>
      <c r="O283" s="2">
        <f t="shared" si="338"/>
        <v>7746300</v>
      </c>
      <c r="P283" s="2">
        <f>'6 Вед15'!O358</f>
        <v>0</v>
      </c>
      <c r="Q283" s="2">
        <f t="shared" ref="Q283:Q284" si="434">O283+P283</f>
        <v>7746300</v>
      </c>
      <c r="R283" s="2">
        <f>'6 Вед15'!Q358</f>
        <v>0</v>
      </c>
      <c r="S283" s="2">
        <f t="shared" ref="S283:S284" si="435">Q283+R283</f>
        <v>7746300</v>
      </c>
    </row>
    <row r="284" spans="1:19" s="6" customFormat="1" hidden="1" x14ac:dyDescent="0.25">
      <c r="A284" s="15"/>
      <c r="B284" s="225" t="s">
        <v>157</v>
      </c>
      <c r="C284" s="225"/>
      <c r="D284" s="219">
        <v>53</v>
      </c>
      <c r="E284" s="219">
        <v>0</v>
      </c>
      <c r="F284" s="63">
        <v>853</v>
      </c>
      <c r="G284" s="1" t="s">
        <v>153</v>
      </c>
      <c r="H284" s="1" t="s">
        <v>72</v>
      </c>
      <c r="I284" s="1" t="s">
        <v>242</v>
      </c>
      <c r="J284" s="1" t="s">
        <v>158</v>
      </c>
      <c r="K284" s="2">
        <f>'6 Вед15'!J359</f>
        <v>8607000</v>
      </c>
      <c r="L284" s="2">
        <f>'6 Вед15'!K359</f>
        <v>-8607000</v>
      </c>
      <c r="M284" s="2">
        <f t="shared" si="337"/>
        <v>0</v>
      </c>
      <c r="N284" s="2">
        <f>'6 Вед15'!M359</f>
        <v>0</v>
      </c>
      <c r="O284" s="2">
        <f t="shared" si="338"/>
        <v>0</v>
      </c>
      <c r="P284" s="2">
        <f>'6 Вед15'!O359</f>
        <v>0</v>
      </c>
      <c r="Q284" s="2">
        <f t="shared" si="434"/>
        <v>0</v>
      </c>
      <c r="R284" s="2">
        <f>'6 Вед15'!Q359</f>
        <v>0</v>
      </c>
      <c r="S284" s="2">
        <f t="shared" si="435"/>
        <v>0</v>
      </c>
    </row>
    <row r="285" spans="1:19" s="6" customFormat="1" ht="12.75" x14ac:dyDescent="0.25">
      <c r="A285" s="522" t="s">
        <v>627</v>
      </c>
      <c r="B285" s="523"/>
      <c r="C285" s="362"/>
      <c r="D285" s="219">
        <v>53</v>
      </c>
      <c r="E285" s="219">
        <v>0</v>
      </c>
      <c r="F285" s="63">
        <v>853</v>
      </c>
      <c r="G285" s="1" t="s">
        <v>153</v>
      </c>
      <c r="H285" s="1" t="s">
        <v>72</v>
      </c>
      <c r="I285" s="1" t="s">
        <v>629</v>
      </c>
      <c r="J285" s="1"/>
      <c r="K285" s="2"/>
      <c r="L285" s="92"/>
      <c r="M285" s="2">
        <f>M286</f>
        <v>0</v>
      </c>
      <c r="N285" s="2">
        <f t="shared" ref="N285:O287" si="436">N286</f>
        <v>200000</v>
      </c>
      <c r="O285" s="2">
        <f t="shared" si="436"/>
        <v>200000</v>
      </c>
      <c r="P285" s="2">
        <f t="shared" ref="P285:R287" si="437">P286</f>
        <v>0</v>
      </c>
      <c r="Q285" s="2">
        <f t="shared" ref="Q285:S287" si="438">Q286</f>
        <v>200000</v>
      </c>
      <c r="R285" s="2">
        <f t="shared" si="437"/>
        <v>0</v>
      </c>
      <c r="S285" s="2">
        <f t="shared" si="438"/>
        <v>200000</v>
      </c>
    </row>
    <row r="286" spans="1:19" s="6" customFormat="1" ht="12.75" x14ac:dyDescent="0.25">
      <c r="A286" s="367"/>
      <c r="B286" s="372" t="s">
        <v>145</v>
      </c>
      <c r="C286" s="362"/>
      <c r="D286" s="219">
        <v>53</v>
      </c>
      <c r="E286" s="219">
        <v>0</v>
      </c>
      <c r="F286" s="63">
        <v>853</v>
      </c>
      <c r="G286" s="1" t="s">
        <v>153</v>
      </c>
      <c r="H286" s="1" t="s">
        <v>72</v>
      </c>
      <c r="I286" s="1" t="s">
        <v>629</v>
      </c>
      <c r="J286" s="1" t="s">
        <v>146</v>
      </c>
      <c r="K286" s="2"/>
      <c r="L286" s="92"/>
      <c r="M286" s="2">
        <f>M287</f>
        <v>0</v>
      </c>
      <c r="N286" s="2">
        <f t="shared" si="436"/>
        <v>200000</v>
      </c>
      <c r="O286" s="2">
        <f t="shared" si="436"/>
        <v>200000</v>
      </c>
      <c r="P286" s="2">
        <f t="shared" si="437"/>
        <v>0</v>
      </c>
      <c r="Q286" s="2">
        <f t="shared" si="438"/>
        <v>200000</v>
      </c>
      <c r="R286" s="2">
        <f t="shared" si="437"/>
        <v>0</v>
      </c>
      <c r="S286" s="2">
        <f t="shared" si="438"/>
        <v>200000</v>
      </c>
    </row>
    <row r="287" spans="1:19" s="6" customFormat="1" x14ac:dyDescent="0.25">
      <c r="A287" s="15"/>
      <c r="B287" s="375" t="s">
        <v>579</v>
      </c>
      <c r="C287" s="375"/>
      <c r="D287" s="219">
        <v>53</v>
      </c>
      <c r="E287" s="219">
        <v>0</v>
      </c>
      <c r="F287" s="63">
        <v>853</v>
      </c>
      <c r="G287" s="1" t="s">
        <v>153</v>
      </c>
      <c r="H287" s="1" t="s">
        <v>17</v>
      </c>
      <c r="I287" s="1" t="s">
        <v>629</v>
      </c>
      <c r="J287" s="1" t="s">
        <v>580</v>
      </c>
      <c r="K287" s="2">
        <f>K288</f>
        <v>0</v>
      </c>
      <c r="L287" s="2">
        <f t="shared" ref="L287" si="439">L288</f>
        <v>0</v>
      </c>
      <c r="M287" s="2">
        <f>M288</f>
        <v>0</v>
      </c>
      <c r="N287" s="2">
        <f t="shared" si="436"/>
        <v>200000</v>
      </c>
      <c r="O287" s="2">
        <f t="shared" si="436"/>
        <v>200000</v>
      </c>
      <c r="P287" s="2">
        <f t="shared" si="437"/>
        <v>0</v>
      </c>
      <c r="Q287" s="2">
        <f t="shared" si="438"/>
        <v>200000</v>
      </c>
      <c r="R287" s="2">
        <f t="shared" si="437"/>
        <v>0</v>
      </c>
      <c r="S287" s="2">
        <f t="shared" si="438"/>
        <v>200000</v>
      </c>
    </row>
    <row r="288" spans="1:19" s="6" customFormat="1" ht="12.75" x14ac:dyDescent="0.25">
      <c r="A288" s="367"/>
      <c r="B288" s="380" t="s">
        <v>159</v>
      </c>
      <c r="C288" s="362"/>
      <c r="D288" s="219">
        <v>53</v>
      </c>
      <c r="E288" s="219">
        <v>0</v>
      </c>
      <c r="F288" s="63">
        <v>853</v>
      </c>
      <c r="G288" s="1" t="s">
        <v>153</v>
      </c>
      <c r="H288" s="1" t="s">
        <v>72</v>
      </c>
      <c r="I288" s="1" t="s">
        <v>629</v>
      </c>
      <c r="J288" s="1" t="s">
        <v>598</v>
      </c>
      <c r="K288" s="2"/>
      <c r="L288" s="92"/>
      <c r="M288" s="2">
        <f t="shared" si="337"/>
        <v>0</v>
      </c>
      <c r="N288" s="92">
        <f>'6 Вед15'!M363</f>
        <v>200000</v>
      </c>
      <c r="O288" s="2">
        <f t="shared" ref="O288:O331" si="440">M288+N288</f>
        <v>200000</v>
      </c>
      <c r="P288" s="92">
        <f>'6 Вед15'!O363</f>
        <v>0</v>
      </c>
      <c r="Q288" s="2">
        <f t="shared" ref="Q288" si="441">O288+P288</f>
        <v>200000</v>
      </c>
      <c r="R288" s="92">
        <f>'6 Вед15'!Q363</f>
        <v>0</v>
      </c>
      <c r="S288" s="2">
        <f t="shared" ref="S288" si="442">Q288+R288</f>
        <v>200000</v>
      </c>
    </row>
    <row r="289" spans="1:19" s="6" customFormat="1" ht="36.75" customHeight="1" x14ac:dyDescent="0.25">
      <c r="A289" s="516" t="s">
        <v>626</v>
      </c>
      <c r="B289" s="517"/>
      <c r="C289" s="362"/>
      <c r="D289" s="219">
        <v>53</v>
      </c>
      <c r="E289" s="219">
        <v>0</v>
      </c>
      <c r="F289" s="63">
        <v>853</v>
      </c>
      <c r="G289" s="18"/>
      <c r="H289" s="18"/>
      <c r="I289" s="18" t="s">
        <v>625</v>
      </c>
      <c r="J289" s="1"/>
      <c r="K289" s="2"/>
      <c r="L289" s="92"/>
      <c r="M289" s="2">
        <f>M290</f>
        <v>0</v>
      </c>
      <c r="N289" s="2">
        <f t="shared" ref="N289:O290" si="443">N290</f>
        <v>300</v>
      </c>
      <c r="O289" s="2">
        <f t="shared" si="443"/>
        <v>300</v>
      </c>
      <c r="P289" s="2">
        <f t="shared" ref="P289:R290" si="444">P290</f>
        <v>0</v>
      </c>
      <c r="Q289" s="2">
        <f t="shared" ref="Q289:S290" si="445">Q290</f>
        <v>300</v>
      </c>
      <c r="R289" s="2">
        <f t="shared" si="444"/>
        <v>206263</v>
      </c>
      <c r="S289" s="2">
        <f t="shared" si="445"/>
        <v>206563</v>
      </c>
    </row>
    <row r="290" spans="1:19" s="6" customFormat="1" x14ac:dyDescent="0.25">
      <c r="A290" s="362"/>
      <c r="B290" s="363" t="s">
        <v>145</v>
      </c>
      <c r="C290" s="362"/>
      <c r="D290" s="219">
        <v>53</v>
      </c>
      <c r="E290" s="219">
        <v>0</v>
      </c>
      <c r="F290" s="63">
        <v>853</v>
      </c>
      <c r="G290" s="18"/>
      <c r="H290" s="18"/>
      <c r="I290" s="18" t="s">
        <v>625</v>
      </c>
      <c r="J290" s="1" t="s">
        <v>146</v>
      </c>
      <c r="K290" s="2"/>
      <c r="L290" s="92"/>
      <c r="M290" s="2">
        <f>M291</f>
        <v>0</v>
      </c>
      <c r="N290" s="2">
        <f t="shared" si="443"/>
        <v>300</v>
      </c>
      <c r="O290" s="2">
        <f t="shared" si="443"/>
        <v>300</v>
      </c>
      <c r="P290" s="2">
        <f t="shared" si="444"/>
        <v>0</v>
      </c>
      <c r="Q290" s="2">
        <f t="shared" si="445"/>
        <v>300</v>
      </c>
      <c r="R290" s="2">
        <f t="shared" si="444"/>
        <v>206263</v>
      </c>
      <c r="S290" s="2">
        <f t="shared" si="445"/>
        <v>206563</v>
      </c>
    </row>
    <row r="291" spans="1:19" s="6" customFormat="1" x14ac:dyDescent="0.25">
      <c r="A291" s="362"/>
      <c r="B291" s="362" t="s">
        <v>157</v>
      </c>
      <c r="C291" s="362"/>
      <c r="D291" s="219">
        <v>53</v>
      </c>
      <c r="E291" s="219">
        <v>0</v>
      </c>
      <c r="F291" s="63">
        <v>853</v>
      </c>
      <c r="G291" s="18"/>
      <c r="H291" s="18"/>
      <c r="I291" s="18" t="s">
        <v>625</v>
      </c>
      <c r="J291" s="1" t="s">
        <v>158</v>
      </c>
      <c r="K291" s="2"/>
      <c r="L291" s="92"/>
      <c r="M291" s="2">
        <f t="shared" ref="M291:M334" si="446">K291+L291</f>
        <v>0</v>
      </c>
      <c r="N291" s="92">
        <f>'6 Вед15'!M337</f>
        <v>300</v>
      </c>
      <c r="O291" s="2">
        <f t="shared" si="440"/>
        <v>300</v>
      </c>
      <c r="P291" s="92">
        <f>'6 Вед15'!O337</f>
        <v>0</v>
      </c>
      <c r="Q291" s="2">
        <f t="shared" ref="Q291" si="447">O291+P291</f>
        <v>300</v>
      </c>
      <c r="R291" s="92">
        <f>'6 Вед15'!Q337</f>
        <v>206263</v>
      </c>
      <c r="S291" s="2">
        <f t="shared" ref="S291" si="448">Q291+R291</f>
        <v>206563</v>
      </c>
    </row>
    <row r="292" spans="1:19" s="33" customFormat="1" ht="47.25" customHeight="1" x14ac:dyDescent="0.25">
      <c r="A292" s="533" t="s">
        <v>499</v>
      </c>
      <c r="B292" s="533"/>
      <c r="C292" s="32"/>
      <c r="D292" s="76">
        <v>53</v>
      </c>
      <c r="E292" s="76">
        <v>0</v>
      </c>
      <c r="F292" s="63">
        <v>853</v>
      </c>
      <c r="G292" s="102" t="s">
        <v>72</v>
      </c>
      <c r="H292" s="102" t="s">
        <v>3</v>
      </c>
      <c r="I292" s="102">
        <v>5118</v>
      </c>
      <c r="J292" s="238" t="s">
        <v>151</v>
      </c>
      <c r="K292" s="103">
        <f t="shared" ref="K292:S293" si="449">K293</f>
        <v>800617</v>
      </c>
      <c r="L292" s="103">
        <f t="shared" si="449"/>
        <v>0</v>
      </c>
      <c r="M292" s="103">
        <f t="shared" si="449"/>
        <v>800617</v>
      </c>
      <c r="N292" s="103">
        <f t="shared" si="449"/>
        <v>-74105</v>
      </c>
      <c r="O292" s="103">
        <f t="shared" si="449"/>
        <v>726512</v>
      </c>
      <c r="P292" s="103">
        <f t="shared" si="449"/>
        <v>0</v>
      </c>
      <c r="Q292" s="103">
        <f t="shared" si="449"/>
        <v>726512</v>
      </c>
      <c r="R292" s="103">
        <f t="shared" si="449"/>
        <v>0</v>
      </c>
      <c r="S292" s="103">
        <f t="shared" si="449"/>
        <v>726512</v>
      </c>
    </row>
    <row r="293" spans="1:19" s="33" customFormat="1" x14ac:dyDescent="0.25">
      <c r="A293" s="32"/>
      <c r="B293" s="228" t="s">
        <v>145</v>
      </c>
      <c r="C293" s="32"/>
      <c r="D293" s="76">
        <v>53</v>
      </c>
      <c r="E293" s="76">
        <v>0</v>
      </c>
      <c r="F293" s="63">
        <v>853</v>
      </c>
      <c r="G293" s="102" t="s">
        <v>72</v>
      </c>
      <c r="H293" s="102" t="s">
        <v>3</v>
      </c>
      <c r="I293" s="102">
        <v>5118</v>
      </c>
      <c r="J293" s="102" t="s">
        <v>146</v>
      </c>
      <c r="K293" s="103">
        <f t="shared" si="449"/>
        <v>800617</v>
      </c>
      <c r="L293" s="103">
        <f t="shared" si="449"/>
        <v>0</v>
      </c>
      <c r="M293" s="103">
        <f t="shared" si="449"/>
        <v>800617</v>
      </c>
      <c r="N293" s="103">
        <f t="shared" si="449"/>
        <v>-74105</v>
      </c>
      <c r="O293" s="103">
        <f t="shared" si="449"/>
        <v>726512</v>
      </c>
      <c r="P293" s="103">
        <f t="shared" si="449"/>
        <v>0</v>
      </c>
      <c r="Q293" s="103">
        <f t="shared" si="449"/>
        <v>726512</v>
      </c>
      <c r="R293" s="103">
        <f t="shared" si="449"/>
        <v>0</v>
      </c>
      <c r="S293" s="103">
        <f t="shared" si="449"/>
        <v>726512</v>
      </c>
    </row>
    <row r="294" spans="1:19" s="33" customFormat="1" x14ac:dyDescent="0.25">
      <c r="A294" s="32"/>
      <c r="B294" s="228" t="s">
        <v>147</v>
      </c>
      <c r="C294" s="32"/>
      <c r="D294" s="76">
        <v>53</v>
      </c>
      <c r="E294" s="76">
        <v>0</v>
      </c>
      <c r="F294" s="63">
        <v>853</v>
      </c>
      <c r="G294" s="102" t="s">
        <v>72</v>
      </c>
      <c r="H294" s="102" t="s">
        <v>3</v>
      </c>
      <c r="I294" s="102">
        <v>5118</v>
      </c>
      <c r="J294" s="102" t="s">
        <v>148</v>
      </c>
      <c r="K294" s="103">
        <f>'6 Вед15'!J323</f>
        <v>800617</v>
      </c>
      <c r="L294" s="212">
        <f>'6 Вед15'!K323</f>
        <v>0</v>
      </c>
      <c r="M294" s="2">
        <f t="shared" si="446"/>
        <v>800617</v>
      </c>
      <c r="N294" s="212">
        <f>'6 Вед15'!M323</f>
        <v>-74105</v>
      </c>
      <c r="O294" s="2">
        <f t="shared" si="440"/>
        <v>726512</v>
      </c>
      <c r="P294" s="212">
        <f>'6 Вед15'!O323</f>
        <v>0</v>
      </c>
      <c r="Q294" s="2">
        <f t="shared" ref="Q294" si="450">O294+P294</f>
        <v>726512</v>
      </c>
      <c r="R294" s="212">
        <f>'6 Вед15'!Q323</f>
        <v>0</v>
      </c>
      <c r="S294" s="2">
        <f t="shared" ref="S294" si="451">Q294+R294</f>
        <v>726512</v>
      </c>
    </row>
    <row r="295" spans="1:19" s="13" customFormat="1" ht="95.25" customHeight="1" x14ac:dyDescent="0.25">
      <c r="A295" s="516" t="s">
        <v>623</v>
      </c>
      <c r="B295" s="517"/>
      <c r="C295" s="362"/>
      <c r="D295" s="76">
        <v>53</v>
      </c>
      <c r="E295" s="219">
        <v>0</v>
      </c>
      <c r="F295" s="63">
        <v>853</v>
      </c>
      <c r="G295" s="18"/>
      <c r="H295" s="18"/>
      <c r="I295" s="18" t="s">
        <v>624</v>
      </c>
      <c r="J295" s="1"/>
      <c r="K295" s="2">
        <f t="shared" ref="K295:S299" si="452">K296</f>
        <v>0</v>
      </c>
      <c r="L295" s="2">
        <f t="shared" si="452"/>
        <v>0</v>
      </c>
      <c r="M295" s="2">
        <f t="shared" si="452"/>
        <v>0</v>
      </c>
      <c r="N295" s="2">
        <f t="shared" si="452"/>
        <v>68104</v>
      </c>
      <c r="O295" s="2">
        <f t="shared" si="452"/>
        <v>68104</v>
      </c>
      <c r="P295" s="2">
        <f t="shared" si="452"/>
        <v>0</v>
      </c>
      <c r="Q295" s="2">
        <f t="shared" si="452"/>
        <v>68104</v>
      </c>
      <c r="R295" s="2">
        <f t="shared" si="452"/>
        <v>68100.600000000006</v>
      </c>
      <c r="S295" s="2">
        <f t="shared" si="452"/>
        <v>136204.6</v>
      </c>
    </row>
    <row r="296" spans="1:19" s="13" customFormat="1" x14ac:dyDescent="0.25">
      <c r="A296" s="362"/>
      <c r="B296" s="363" t="s">
        <v>145</v>
      </c>
      <c r="C296" s="362"/>
      <c r="D296" s="76">
        <v>53</v>
      </c>
      <c r="E296" s="219">
        <v>0</v>
      </c>
      <c r="F296" s="63">
        <v>853</v>
      </c>
      <c r="G296" s="18"/>
      <c r="H296" s="18"/>
      <c r="I296" s="18" t="s">
        <v>624</v>
      </c>
      <c r="J296" s="1" t="s">
        <v>146</v>
      </c>
      <c r="K296" s="2">
        <f t="shared" si="452"/>
        <v>0</v>
      </c>
      <c r="L296" s="2">
        <f t="shared" si="452"/>
        <v>0</v>
      </c>
      <c r="M296" s="2">
        <f t="shared" si="452"/>
        <v>0</v>
      </c>
      <c r="N296" s="2">
        <f t="shared" si="452"/>
        <v>68104</v>
      </c>
      <c r="O296" s="2">
        <f t="shared" si="452"/>
        <v>68104</v>
      </c>
      <c r="P296" s="2">
        <f t="shared" si="452"/>
        <v>0</v>
      </c>
      <c r="Q296" s="2">
        <f t="shared" si="452"/>
        <v>68104</v>
      </c>
      <c r="R296" s="2">
        <f t="shared" si="452"/>
        <v>68100.600000000006</v>
      </c>
      <c r="S296" s="2">
        <f t="shared" si="452"/>
        <v>136204.6</v>
      </c>
    </row>
    <row r="297" spans="1:19" s="13" customFormat="1" x14ac:dyDescent="0.25">
      <c r="A297" s="362"/>
      <c r="B297" s="362" t="s">
        <v>157</v>
      </c>
      <c r="C297" s="362"/>
      <c r="D297" s="76">
        <v>53</v>
      </c>
      <c r="E297" s="219">
        <v>0</v>
      </c>
      <c r="F297" s="63">
        <v>853</v>
      </c>
      <c r="G297" s="18"/>
      <c r="H297" s="18"/>
      <c r="I297" s="18" t="s">
        <v>624</v>
      </c>
      <c r="J297" s="1" t="s">
        <v>158</v>
      </c>
      <c r="K297" s="2"/>
      <c r="L297" s="92"/>
      <c r="M297" s="2">
        <f t="shared" si="446"/>
        <v>0</v>
      </c>
      <c r="N297" s="92">
        <f>'6 Вед15'!M333</f>
        <v>68104</v>
      </c>
      <c r="O297" s="2">
        <f t="shared" si="440"/>
        <v>68104</v>
      </c>
      <c r="P297" s="92">
        <f>'6 Вед15'!O333</f>
        <v>0</v>
      </c>
      <c r="Q297" s="2">
        <f t="shared" ref="Q297" si="453">O297+P297</f>
        <v>68104</v>
      </c>
      <c r="R297" s="92">
        <f>'6 Вед15'!Q333</f>
        <v>68100.600000000006</v>
      </c>
      <c r="S297" s="2">
        <f t="shared" ref="S297" si="454">Q297+R297</f>
        <v>136204.6</v>
      </c>
    </row>
    <row r="298" spans="1:19" s="13" customFormat="1" ht="48" customHeight="1" x14ac:dyDescent="0.25">
      <c r="A298" s="509" t="s">
        <v>670</v>
      </c>
      <c r="B298" s="509"/>
      <c r="C298" s="440"/>
      <c r="D298" s="76">
        <v>53</v>
      </c>
      <c r="E298" s="219">
        <v>0</v>
      </c>
      <c r="F298" s="63">
        <v>853</v>
      </c>
      <c r="G298" s="18"/>
      <c r="H298" s="18"/>
      <c r="I298" s="18" t="s">
        <v>591</v>
      </c>
      <c r="J298" s="1"/>
      <c r="K298" s="2"/>
      <c r="L298" s="92"/>
      <c r="M298" s="2"/>
      <c r="N298" s="92"/>
      <c r="O298" s="2"/>
      <c r="P298" s="92"/>
      <c r="Q298" s="2">
        <f t="shared" si="452"/>
        <v>0</v>
      </c>
      <c r="R298" s="2">
        <f t="shared" si="452"/>
        <v>2478000</v>
      </c>
      <c r="S298" s="2">
        <f t="shared" si="452"/>
        <v>2478000</v>
      </c>
    </row>
    <row r="299" spans="1:19" s="13" customFormat="1" x14ac:dyDescent="0.25">
      <c r="A299" s="440"/>
      <c r="B299" s="443" t="s">
        <v>145</v>
      </c>
      <c r="C299" s="440"/>
      <c r="D299" s="76">
        <v>53</v>
      </c>
      <c r="E299" s="219">
        <v>0</v>
      </c>
      <c r="F299" s="63">
        <v>853</v>
      </c>
      <c r="G299" s="18"/>
      <c r="H299" s="18"/>
      <c r="I299" s="18" t="s">
        <v>591</v>
      </c>
      <c r="J299" s="1" t="s">
        <v>146</v>
      </c>
      <c r="K299" s="2"/>
      <c r="L299" s="92"/>
      <c r="M299" s="2"/>
      <c r="N299" s="92"/>
      <c r="O299" s="2"/>
      <c r="P299" s="92"/>
      <c r="Q299" s="2">
        <f t="shared" si="452"/>
        <v>0</v>
      </c>
      <c r="R299" s="2">
        <f t="shared" si="452"/>
        <v>2478000</v>
      </c>
      <c r="S299" s="2">
        <f t="shared" si="452"/>
        <v>2478000</v>
      </c>
    </row>
    <row r="300" spans="1:19" s="13" customFormat="1" x14ac:dyDescent="0.25">
      <c r="A300" s="440"/>
      <c r="B300" s="440" t="s">
        <v>157</v>
      </c>
      <c r="C300" s="440"/>
      <c r="D300" s="76">
        <v>53</v>
      </c>
      <c r="E300" s="219">
        <v>0</v>
      </c>
      <c r="F300" s="63">
        <v>853</v>
      </c>
      <c r="G300" s="18"/>
      <c r="H300" s="18"/>
      <c r="I300" s="18" t="s">
        <v>591</v>
      </c>
      <c r="J300" s="1" t="s">
        <v>158</v>
      </c>
      <c r="K300" s="2"/>
      <c r="L300" s="92"/>
      <c r="M300" s="2"/>
      <c r="N300" s="92"/>
      <c r="O300" s="2"/>
      <c r="P300" s="92"/>
      <c r="Q300" s="2">
        <f t="shared" ref="Q300" si="455">O300+P300</f>
        <v>0</v>
      </c>
      <c r="R300" s="92">
        <f>'6 Вед15'!Q328</f>
        <v>2478000</v>
      </c>
      <c r="S300" s="2">
        <f t="shared" ref="S300" si="456">Q300+R300</f>
        <v>2478000</v>
      </c>
    </row>
    <row r="301" spans="1:19" s="6" customFormat="1" ht="13.5" customHeight="1" x14ac:dyDescent="0.25">
      <c r="A301" s="538" t="s">
        <v>244</v>
      </c>
      <c r="B301" s="539"/>
      <c r="C301" s="225"/>
      <c r="D301" s="234">
        <v>70</v>
      </c>
      <c r="E301" s="219"/>
      <c r="F301" s="63"/>
      <c r="G301" s="1"/>
      <c r="H301" s="1"/>
      <c r="I301" s="1"/>
      <c r="J301" s="38"/>
      <c r="K301" s="8">
        <f>K302+K311+K315+K326</f>
        <v>2123620</v>
      </c>
      <c r="L301" s="8">
        <f t="shared" ref="L301:O301" si="457">L302+L311+L315+L326</f>
        <v>0</v>
      </c>
      <c r="M301" s="8">
        <f t="shared" si="457"/>
        <v>2123620</v>
      </c>
      <c r="N301" s="8">
        <f t="shared" si="457"/>
        <v>0</v>
      </c>
      <c r="O301" s="8">
        <f t="shared" si="457"/>
        <v>2123620</v>
      </c>
      <c r="P301" s="8">
        <f t="shared" ref="P301:R301" si="458">P302+P311+P315+P326</f>
        <v>25600</v>
      </c>
      <c r="Q301" s="8">
        <f t="shared" ref="Q301:S301" si="459">Q302+Q311+Q315+Q326</f>
        <v>2149220</v>
      </c>
      <c r="R301" s="8">
        <f t="shared" si="458"/>
        <v>0</v>
      </c>
      <c r="S301" s="8">
        <f t="shared" si="459"/>
        <v>2149220</v>
      </c>
    </row>
    <row r="302" spans="1:19" s="6" customFormat="1" ht="13.5" customHeight="1" x14ac:dyDescent="0.25">
      <c r="A302" s="541" t="s">
        <v>15</v>
      </c>
      <c r="B302" s="542"/>
      <c r="C302" s="240"/>
      <c r="D302" s="16">
        <v>70</v>
      </c>
      <c r="E302" s="16">
        <v>0</v>
      </c>
      <c r="F302" s="75">
        <v>851</v>
      </c>
      <c r="G302" s="11"/>
      <c r="H302" s="11"/>
      <c r="I302" s="11"/>
      <c r="J302" s="244"/>
      <c r="K302" s="12">
        <f>K306</f>
        <v>200000</v>
      </c>
      <c r="L302" s="12">
        <f t="shared" ref="L302:N302" si="460">L306</f>
        <v>0</v>
      </c>
      <c r="M302" s="12">
        <f t="shared" si="460"/>
        <v>200000</v>
      </c>
      <c r="N302" s="12">
        <f t="shared" si="460"/>
        <v>0</v>
      </c>
      <c r="O302" s="12">
        <f>O303+O306</f>
        <v>200000</v>
      </c>
      <c r="P302" s="12">
        <f t="shared" ref="P302:Q302" si="461">P303+P306</f>
        <v>25600</v>
      </c>
      <c r="Q302" s="12">
        <f t="shared" si="461"/>
        <v>225600</v>
      </c>
      <c r="R302" s="12">
        <f t="shared" ref="R302:S302" si="462">R303+R306</f>
        <v>0</v>
      </c>
      <c r="S302" s="12">
        <f t="shared" si="462"/>
        <v>225600</v>
      </c>
    </row>
    <row r="303" spans="1:19" s="6" customFormat="1" ht="14.25" customHeight="1" x14ac:dyDescent="0.25">
      <c r="A303" s="513" t="s">
        <v>647</v>
      </c>
      <c r="B303" s="513"/>
      <c r="C303" s="219"/>
      <c r="D303" s="219">
        <v>70</v>
      </c>
      <c r="E303" s="219">
        <v>0</v>
      </c>
      <c r="F303" s="219">
        <v>851</v>
      </c>
      <c r="G303" s="1"/>
      <c r="H303" s="1"/>
      <c r="I303" s="1" t="s">
        <v>654</v>
      </c>
      <c r="J303" s="1"/>
      <c r="K303" s="2"/>
      <c r="L303" s="92"/>
      <c r="M303" s="2"/>
      <c r="N303" s="92"/>
      <c r="O303" s="2">
        <f t="shared" ref="O303:S304" si="463">O304</f>
        <v>0</v>
      </c>
      <c r="P303" s="2">
        <f t="shared" si="463"/>
        <v>25600</v>
      </c>
      <c r="Q303" s="2">
        <f t="shared" si="463"/>
        <v>25600</v>
      </c>
      <c r="R303" s="2">
        <f t="shared" si="463"/>
        <v>0</v>
      </c>
      <c r="S303" s="2">
        <f t="shared" si="463"/>
        <v>25600</v>
      </c>
    </row>
    <row r="304" spans="1:19" s="6" customFormat="1" ht="14.25" customHeight="1" x14ac:dyDescent="0.25">
      <c r="A304" s="15"/>
      <c r="B304" s="421" t="s">
        <v>31</v>
      </c>
      <c r="C304" s="219"/>
      <c r="D304" s="219">
        <v>70</v>
      </c>
      <c r="E304" s="219">
        <v>0</v>
      </c>
      <c r="F304" s="219">
        <v>851</v>
      </c>
      <c r="G304" s="1"/>
      <c r="H304" s="1"/>
      <c r="I304" s="1" t="s">
        <v>654</v>
      </c>
      <c r="J304" s="1" t="s">
        <v>32</v>
      </c>
      <c r="K304" s="2"/>
      <c r="L304" s="92"/>
      <c r="M304" s="2"/>
      <c r="N304" s="92"/>
      <c r="O304" s="2">
        <f t="shared" si="463"/>
        <v>0</v>
      </c>
      <c r="P304" s="2">
        <f t="shared" si="463"/>
        <v>25600</v>
      </c>
      <c r="Q304" s="2">
        <f t="shared" si="463"/>
        <v>25600</v>
      </c>
      <c r="R304" s="2">
        <f t="shared" si="463"/>
        <v>0</v>
      </c>
      <c r="S304" s="2">
        <f t="shared" si="463"/>
        <v>25600</v>
      </c>
    </row>
    <row r="305" spans="1:19" s="6" customFormat="1" ht="14.25" customHeight="1" x14ac:dyDescent="0.25">
      <c r="A305" s="15"/>
      <c r="B305" s="421" t="s">
        <v>649</v>
      </c>
      <c r="C305" s="219"/>
      <c r="D305" s="219">
        <v>70</v>
      </c>
      <c r="E305" s="219">
        <v>0</v>
      </c>
      <c r="F305" s="219">
        <v>851</v>
      </c>
      <c r="G305" s="1"/>
      <c r="H305" s="1"/>
      <c r="I305" s="1" t="s">
        <v>654</v>
      </c>
      <c r="J305" s="1" t="s">
        <v>650</v>
      </c>
      <c r="K305" s="2"/>
      <c r="L305" s="92"/>
      <c r="M305" s="2"/>
      <c r="N305" s="92"/>
      <c r="O305" s="2"/>
      <c r="P305" s="92">
        <f>'6 Вед15'!O31</f>
        <v>25600</v>
      </c>
      <c r="Q305" s="2">
        <f t="shared" ref="Q305" si="464">O305+P305</f>
        <v>25600</v>
      </c>
      <c r="R305" s="92">
        <f>'6 Вед15'!Q31</f>
        <v>0</v>
      </c>
      <c r="S305" s="2">
        <f t="shared" ref="S305" si="465">Q305+R305</f>
        <v>25600</v>
      </c>
    </row>
    <row r="306" spans="1:19" s="6" customFormat="1" x14ac:dyDescent="0.25">
      <c r="A306" s="509" t="s">
        <v>40</v>
      </c>
      <c r="B306" s="509"/>
      <c r="C306" s="225"/>
      <c r="D306" s="219">
        <v>70</v>
      </c>
      <c r="E306" s="219">
        <v>0</v>
      </c>
      <c r="F306" s="219">
        <v>851</v>
      </c>
      <c r="G306" s="1" t="s">
        <v>17</v>
      </c>
      <c r="H306" s="1" t="s">
        <v>38</v>
      </c>
      <c r="I306" s="1" t="s">
        <v>245</v>
      </c>
      <c r="J306" s="1"/>
      <c r="K306" s="2">
        <f>K309</f>
        <v>200000</v>
      </c>
      <c r="L306" s="2">
        <f>L309</f>
        <v>0</v>
      </c>
      <c r="M306" s="2">
        <f>M309</f>
        <v>200000</v>
      </c>
      <c r="N306" s="2">
        <f>N309</f>
        <v>0</v>
      </c>
      <c r="O306" s="2">
        <f>O307+O309</f>
        <v>200000</v>
      </c>
      <c r="P306" s="2">
        <f t="shared" ref="P306:Q306" si="466">P307+P309</f>
        <v>0</v>
      </c>
      <c r="Q306" s="2">
        <f t="shared" si="466"/>
        <v>200000</v>
      </c>
      <c r="R306" s="2">
        <f t="shared" ref="R306:S306" si="467">R307+R309</f>
        <v>0</v>
      </c>
      <c r="S306" s="2">
        <f t="shared" si="467"/>
        <v>200000</v>
      </c>
    </row>
    <row r="307" spans="1:19" s="6" customFormat="1" x14ac:dyDescent="0.25">
      <c r="A307" s="416"/>
      <c r="B307" s="418" t="s">
        <v>99</v>
      </c>
      <c r="C307" s="416"/>
      <c r="D307" s="219">
        <v>70</v>
      </c>
      <c r="E307" s="219">
        <v>0</v>
      </c>
      <c r="F307" s="219">
        <v>851</v>
      </c>
      <c r="G307" s="1" t="s">
        <v>17</v>
      </c>
      <c r="H307" s="1" t="s">
        <v>38</v>
      </c>
      <c r="I307" s="1" t="s">
        <v>245</v>
      </c>
      <c r="J307" s="1" t="s">
        <v>100</v>
      </c>
      <c r="K307" s="2"/>
      <c r="L307" s="2"/>
      <c r="M307" s="2"/>
      <c r="N307" s="2"/>
      <c r="O307" s="2">
        <f t="shared" ref="K307:S309" si="468">O308</f>
        <v>0</v>
      </c>
      <c r="P307" s="2">
        <f t="shared" si="468"/>
        <v>59000</v>
      </c>
      <c r="Q307" s="2">
        <f t="shared" si="468"/>
        <v>59000</v>
      </c>
      <c r="R307" s="2">
        <f t="shared" si="468"/>
        <v>20000</v>
      </c>
      <c r="S307" s="2">
        <f t="shared" si="468"/>
        <v>79000</v>
      </c>
    </row>
    <row r="308" spans="1:19" s="6" customFormat="1" ht="24" x14ac:dyDescent="0.25">
      <c r="A308" s="416"/>
      <c r="B308" s="418" t="s">
        <v>134</v>
      </c>
      <c r="C308" s="416"/>
      <c r="D308" s="219">
        <v>70</v>
      </c>
      <c r="E308" s="219">
        <v>0</v>
      </c>
      <c r="F308" s="219">
        <v>851</v>
      </c>
      <c r="G308" s="1" t="s">
        <v>17</v>
      </c>
      <c r="H308" s="1" t="s">
        <v>38</v>
      </c>
      <c r="I308" s="1" t="s">
        <v>245</v>
      </c>
      <c r="J308" s="1" t="s">
        <v>101</v>
      </c>
      <c r="K308" s="2"/>
      <c r="L308" s="2"/>
      <c r="M308" s="2"/>
      <c r="N308" s="2"/>
      <c r="O308" s="2"/>
      <c r="P308" s="92">
        <f>'6 Вед15'!O184</f>
        <v>59000</v>
      </c>
      <c r="Q308" s="2">
        <f t="shared" ref="Q308" si="469">O308+P308</f>
        <v>59000</v>
      </c>
      <c r="R308" s="92">
        <f>'6 Вед15'!Q184</f>
        <v>20000</v>
      </c>
      <c r="S308" s="2">
        <f t="shared" ref="S308" si="470">Q308+R308</f>
        <v>79000</v>
      </c>
    </row>
    <row r="309" spans="1:19" s="6" customFormat="1" x14ac:dyDescent="0.25">
      <c r="A309" s="15"/>
      <c r="B309" s="225" t="s">
        <v>31</v>
      </c>
      <c r="C309" s="225"/>
      <c r="D309" s="219">
        <v>70</v>
      </c>
      <c r="E309" s="219">
        <v>0</v>
      </c>
      <c r="F309" s="219">
        <v>851</v>
      </c>
      <c r="G309" s="1" t="s">
        <v>17</v>
      </c>
      <c r="H309" s="1" t="s">
        <v>38</v>
      </c>
      <c r="I309" s="1" t="s">
        <v>245</v>
      </c>
      <c r="J309" s="1" t="s">
        <v>32</v>
      </c>
      <c r="K309" s="2">
        <f t="shared" si="468"/>
        <v>200000</v>
      </c>
      <c r="L309" s="2">
        <f t="shared" si="468"/>
        <v>0</v>
      </c>
      <c r="M309" s="2">
        <f t="shared" si="468"/>
        <v>200000</v>
      </c>
      <c r="N309" s="2">
        <f t="shared" si="468"/>
        <v>0</v>
      </c>
      <c r="O309" s="2">
        <f t="shared" si="468"/>
        <v>200000</v>
      </c>
      <c r="P309" s="2">
        <f t="shared" si="468"/>
        <v>-59000</v>
      </c>
      <c r="Q309" s="2">
        <f t="shared" si="468"/>
        <v>141000</v>
      </c>
      <c r="R309" s="2">
        <f t="shared" si="468"/>
        <v>-20000</v>
      </c>
      <c r="S309" s="2">
        <f t="shared" si="468"/>
        <v>121000</v>
      </c>
    </row>
    <row r="310" spans="1:19" s="6" customFormat="1" x14ac:dyDescent="0.25">
      <c r="A310" s="15"/>
      <c r="B310" s="224" t="s">
        <v>41</v>
      </c>
      <c r="C310" s="224"/>
      <c r="D310" s="219">
        <v>70</v>
      </c>
      <c r="E310" s="219">
        <v>0</v>
      </c>
      <c r="F310" s="219">
        <v>851</v>
      </c>
      <c r="G310" s="1" t="s">
        <v>17</v>
      </c>
      <c r="H310" s="1" t="s">
        <v>38</v>
      </c>
      <c r="I310" s="1" t="s">
        <v>245</v>
      </c>
      <c r="J310" s="1" t="s">
        <v>42</v>
      </c>
      <c r="K310" s="2">
        <f>'6 Вед15'!J35</f>
        <v>200000</v>
      </c>
      <c r="L310" s="92">
        <f>'6 Вед15'!K35</f>
        <v>0</v>
      </c>
      <c r="M310" s="2">
        <f t="shared" si="446"/>
        <v>200000</v>
      </c>
      <c r="N310" s="92">
        <f>'6 Вед15'!M35</f>
        <v>0</v>
      </c>
      <c r="O310" s="2">
        <f t="shared" si="440"/>
        <v>200000</v>
      </c>
      <c r="P310" s="92">
        <f>'6 Вед15'!O35</f>
        <v>-59000</v>
      </c>
      <c r="Q310" s="2">
        <f t="shared" ref="Q310:Q314" si="471">O310+P310</f>
        <v>141000</v>
      </c>
      <c r="R310" s="92">
        <f>'6 Вед15'!Q35</f>
        <v>-20000</v>
      </c>
      <c r="S310" s="2">
        <f t="shared" ref="S310:S314" si="472">Q310+R310</f>
        <v>121000</v>
      </c>
    </row>
    <row r="311" spans="1:19" s="6" customFormat="1" ht="12" hidden="1" customHeight="1" x14ac:dyDescent="0.25">
      <c r="A311" s="508" t="s">
        <v>167</v>
      </c>
      <c r="B311" s="508"/>
      <c r="C311" s="224"/>
      <c r="D311" s="16">
        <v>70</v>
      </c>
      <c r="E311" s="16">
        <v>0</v>
      </c>
      <c r="F311" s="75">
        <v>853</v>
      </c>
      <c r="G311" s="16" t="s">
        <v>168</v>
      </c>
      <c r="H311" s="230" t="s">
        <v>151</v>
      </c>
      <c r="I311" s="1"/>
      <c r="J311" s="230" t="s">
        <v>151</v>
      </c>
      <c r="K311" s="12">
        <f t="shared" ref="K311:R313" si="473">K312</f>
        <v>0</v>
      </c>
      <c r="L311" s="210">
        <f t="shared" si="473"/>
        <v>0</v>
      </c>
      <c r="M311" s="2">
        <f t="shared" si="446"/>
        <v>0</v>
      </c>
      <c r="N311" s="210">
        <f t="shared" si="473"/>
        <v>0</v>
      </c>
      <c r="O311" s="2">
        <f t="shared" si="440"/>
        <v>0</v>
      </c>
      <c r="P311" s="210">
        <f t="shared" si="473"/>
        <v>0</v>
      </c>
      <c r="Q311" s="2">
        <f t="shared" si="471"/>
        <v>0</v>
      </c>
      <c r="R311" s="210">
        <f t="shared" si="473"/>
        <v>0</v>
      </c>
      <c r="S311" s="2">
        <f t="shared" si="472"/>
        <v>0</v>
      </c>
    </row>
    <row r="312" spans="1:19" s="6" customFormat="1" hidden="1" x14ac:dyDescent="0.25">
      <c r="A312" s="508" t="s">
        <v>167</v>
      </c>
      <c r="B312" s="508"/>
      <c r="C312" s="224"/>
      <c r="D312" s="16">
        <v>70</v>
      </c>
      <c r="E312" s="16">
        <v>0</v>
      </c>
      <c r="F312" s="75">
        <v>853</v>
      </c>
      <c r="G312" s="16" t="s">
        <v>168</v>
      </c>
      <c r="H312" s="16" t="s">
        <v>168</v>
      </c>
      <c r="I312" s="1" t="s">
        <v>243</v>
      </c>
      <c r="J312" s="230" t="s">
        <v>151</v>
      </c>
      <c r="K312" s="12">
        <f t="shared" si="473"/>
        <v>0</v>
      </c>
      <c r="L312" s="210">
        <f t="shared" si="473"/>
        <v>0</v>
      </c>
      <c r="M312" s="2">
        <f t="shared" si="446"/>
        <v>0</v>
      </c>
      <c r="N312" s="210">
        <f t="shared" si="473"/>
        <v>0</v>
      </c>
      <c r="O312" s="2">
        <f t="shared" si="440"/>
        <v>0</v>
      </c>
      <c r="P312" s="210">
        <f t="shared" si="473"/>
        <v>0</v>
      </c>
      <c r="Q312" s="2">
        <f t="shared" si="471"/>
        <v>0</v>
      </c>
      <c r="R312" s="210">
        <f t="shared" si="473"/>
        <v>0</v>
      </c>
      <c r="S312" s="2">
        <f t="shared" si="472"/>
        <v>0</v>
      </c>
    </row>
    <row r="313" spans="1:19" s="6" customFormat="1" hidden="1" x14ac:dyDescent="0.25">
      <c r="A313" s="15"/>
      <c r="B313" s="225" t="s">
        <v>167</v>
      </c>
      <c r="C313" s="224"/>
      <c r="D313" s="219">
        <v>70</v>
      </c>
      <c r="E313" s="219">
        <v>0</v>
      </c>
      <c r="F313" s="63">
        <v>853</v>
      </c>
      <c r="G313" s="219" t="s">
        <v>168</v>
      </c>
      <c r="H313" s="219" t="s">
        <v>168</v>
      </c>
      <c r="I313" s="1" t="s">
        <v>243</v>
      </c>
      <c r="J313" s="224" t="s">
        <v>151</v>
      </c>
      <c r="K313" s="2">
        <f t="shared" si="473"/>
        <v>0</v>
      </c>
      <c r="L313" s="92">
        <f t="shared" si="473"/>
        <v>0</v>
      </c>
      <c r="M313" s="2">
        <f t="shared" si="446"/>
        <v>0</v>
      </c>
      <c r="N313" s="92">
        <f t="shared" si="473"/>
        <v>0</v>
      </c>
      <c r="O313" s="2">
        <f t="shared" si="440"/>
        <v>0</v>
      </c>
      <c r="P313" s="92">
        <f t="shared" si="473"/>
        <v>0</v>
      </c>
      <c r="Q313" s="2">
        <f t="shared" si="471"/>
        <v>0</v>
      </c>
      <c r="R313" s="92">
        <f t="shared" si="473"/>
        <v>0</v>
      </c>
      <c r="S313" s="2">
        <f t="shared" si="472"/>
        <v>0</v>
      </c>
    </row>
    <row r="314" spans="1:19" s="6" customFormat="1" hidden="1" x14ac:dyDescent="0.25">
      <c r="A314" s="15"/>
      <c r="B314" s="225" t="s">
        <v>167</v>
      </c>
      <c r="C314" s="224"/>
      <c r="D314" s="219">
        <v>70</v>
      </c>
      <c r="E314" s="219">
        <v>0</v>
      </c>
      <c r="F314" s="63">
        <v>853</v>
      </c>
      <c r="G314" s="219" t="s">
        <v>168</v>
      </c>
      <c r="H314" s="219" t="s">
        <v>168</v>
      </c>
      <c r="I314" s="1" t="s">
        <v>243</v>
      </c>
      <c r="J314" s="219" t="s">
        <v>170</v>
      </c>
      <c r="K314" s="2">
        <f>'6 Вед15'!J367</f>
        <v>0</v>
      </c>
      <c r="L314" s="92">
        <f>'6 Вед15'!K367</f>
        <v>0</v>
      </c>
      <c r="M314" s="2">
        <f t="shared" si="446"/>
        <v>0</v>
      </c>
      <c r="N314" s="92">
        <f>'6 Вед15'!M367</f>
        <v>0</v>
      </c>
      <c r="O314" s="2">
        <f t="shared" si="440"/>
        <v>0</v>
      </c>
      <c r="P314" s="92">
        <f>'6 Вед15'!O367</f>
        <v>0</v>
      </c>
      <c r="Q314" s="2">
        <f t="shared" si="471"/>
        <v>0</v>
      </c>
      <c r="R314" s="92">
        <f>'6 Вед15'!Q367</f>
        <v>0</v>
      </c>
      <c r="S314" s="2">
        <f t="shared" si="472"/>
        <v>0</v>
      </c>
    </row>
    <row r="315" spans="1:19" s="13" customFormat="1" ht="13.5" customHeight="1" x14ac:dyDescent="0.25">
      <c r="A315" s="541" t="s">
        <v>162</v>
      </c>
      <c r="B315" s="542"/>
      <c r="C315" s="75"/>
      <c r="D315" s="75">
        <v>70</v>
      </c>
      <c r="E315" s="75">
        <v>0</v>
      </c>
      <c r="F315" s="75">
        <v>854</v>
      </c>
      <c r="G315" s="75"/>
      <c r="H315" s="11"/>
      <c r="I315" s="11"/>
      <c r="J315" s="11"/>
      <c r="K315" s="12">
        <f>K316+K319</f>
        <v>1416920</v>
      </c>
      <c r="L315" s="12">
        <f t="shared" ref="L315:O315" si="474">L316+L319</f>
        <v>0</v>
      </c>
      <c r="M315" s="12">
        <f t="shared" si="474"/>
        <v>1416920</v>
      </c>
      <c r="N315" s="12">
        <f t="shared" si="474"/>
        <v>0</v>
      </c>
      <c r="O315" s="12">
        <f t="shared" si="474"/>
        <v>1416920</v>
      </c>
      <c r="P315" s="12">
        <f t="shared" ref="P315:R315" si="475">P316+P319</f>
        <v>0</v>
      </c>
      <c r="Q315" s="12">
        <f t="shared" ref="Q315:S315" si="476">Q316+Q319</f>
        <v>1416920</v>
      </c>
      <c r="R315" s="12">
        <f t="shared" si="475"/>
        <v>0</v>
      </c>
      <c r="S315" s="12">
        <f t="shared" si="476"/>
        <v>1416920</v>
      </c>
    </row>
    <row r="316" spans="1:19" s="6" customFormat="1" x14ac:dyDescent="0.25">
      <c r="A316" s="509" t="s">
        <v>454</v>
      </c>
      <c r="B316" s="509"/>
      <c r="C316" s="225"/>
      <c r="D316" s="219">
        <v>70</v>
      </c>
      <c r="E316" s="219">
        <v>0</v>
      </c>
      <c r="F316" s="219">
        <v>854</v>
      </c>
      <c r="G316" s="1" t="s">
        <v>22</v>
      </c>
      <c r="H316" s="1" t="s">
        <v>72</v>
      </c>
      <c r="I316" s="1" t="s">
        <v>456</v>
      </c>
      <c r="J316" s="1"/>
      <c r="K316" s="2">
        <f t="shared" ref="K316:S317" si="477">K317</f>
        <v>789500</v>
      </c>
      <c r="L316" s="2">
        <f t="shared" si="477"/>
        <v>0</v>
      </c>
      <c r="M316" s="2">
        <f t="shared" si="477"/>
        <v>789500</v>
      </c>
      <c r="N316" s="2">
        <f t="shared" si="477"/>
        <v>0</v>
      </c>
      <c r="O316" s="2">
        <f t="shared" si="477"/>
        <v>789500</v>
      </c>
      <c r="P316" s="2">
        <f t="shared" si="477"/>
        <v>0</v>
      </c>
      <c r="Q316" s="2">
        <f t="shared" si="477"/>
        <v>789500</v>
      </c>
      <c r="R316" s="2">
        <f t="shared" si="477"/>
        <v>0</v>
      </c>
      <c r="S316" s="2">
        <f t="shared" si="477"/>
        <v>789500</v>
      </c>
    </row>
    <row r="317" spans="1:19" s="6" customFormat="1" ht="36" customHeight="1" x14ac:dyDescent="0.25">
      <c r="A317" s="225"/>
      <c r="B317" s="224" t="s">
        <v>21</v>
      </c>
      <c r="C317" s="225"/>
      <c r="D317" s="219">
        <v>70</v>
      </c>
      <c r="E317" s="219">
        <v>0</v>
      </c>
      <c r="F317" s="219">
        <v>854</v>
      </c>
      <c r="G317" s="1" t="s">
        <v>17</v>
      </c>
      <c r="H317" s="1" t="s">
        <v>72</v>
      </c>
      <c r="I317" s="1" t="s">
        <v>456</v>
      </c>
      <c r="J317" s="1" t="s">
        <v>23</v>
      </c>
      <c r="K317" s="2">
        <f t="shared" si="477"/>
        <v>789500</v>
      </c>
      <c r="L317" s="2">
        <f t="shared" si="477"/>
        <v>0</v>
      </c>
      <c r="M317" s="2">
        <f t="shared" si="477"/>
        <v>789500</v>
      </c>
      <c r="N317" s="2">
        <f t="shared" si="477"/>
        <v>0</v>
      </c>
      <c r="O317" s="2">
        <f t="shared" si="477"/>
        <v>789500</v>
      </c>
      <c r="P317" s="2">
        <f t="shared" si="477"/>
        <v>0</v>
      </c>
      <c r="Q317" s="2">
        <f t="shared" si="477"/>
        <v>789500</v>
      </c>
      <c r="R317" s="2">
        <f t="shared" si="477"/>
        <v>0</v>
      </c>
      <c r="S317" s="2">
        <f t="shared" si="477"/>
        <v>789500</v>
      </c>
    </row>
    <row r="318" spans="1:19" s="6" customFormat="1" ht="15" customHeight="1" x14ac:dyDescent="0.25">
      <c r="A318" s="225"/>
      <c r="B318" s="224" t="s">
        <v>24</v>
      </c>
      <c r="C318" s="225"/>
      <c r="D318" s="219">
        <v>70</v>
      </c>
      <c r="E318" s="219">
        <v>0</v>
      </c>
      <c r="F318" s="219">
        <v>854</v>
      </c>
      <c r="G318" s="1" t="s">
        <v>17</v>
      </c>
      <c r="H318" s="1" t="s">
        <v>72</v>
      </c>
      <c r="I318" s="1" t="s">
        <v>456</v>
      </c>
      <c r="J318" s="1" t="s">
        <v>25</v>
      </c>
      <c r="K318" s="2">
        <f>'6 Вед15'!J373</f>
        <v>789500</v>
      </c>
      <c r="L318" s="92">
        <f>'6 Вед15'!K373</f>
        <v>0</v>
      </c>
      <c r="M318" s="2">
        <f t="shared" si="446"/>
        <v>789500</v>
      </c>
      <c r="N318" s="92">
        <f>'6 Вед15'!M373</f>
        <v>0</v>
      </c>
      <c r="O318" s="2">
        <f t="shared" si="440"/>
        <v>789500</v>
      </c>
      <c r="P318" s="92">
        <f>'6 Вед15'!O373</f>
        <v>0</v>
      </c>
      <c r="Q318" s="2">
        <f t="shared" ref="Q318" si="478">O318+P318</f>
        <v>789500</v>
      </c>
      <c r="R318" s="92">
        <f>'6 Вед15'!Q373</f>
        <v>0</v>
      </c>
      <c r="S318" s="2">
        <f t="shared" ref="S318" si="479">Q318+R318</f>
        <v>789500</v>
      </c>
    </row>
    <row r="319" spans="1:19" s="6" customFormat="1" ht="23.25" customHeight="1" x14ac:dyDescent="0.25">
      <c r="A319" s="509" t="s">
        <v>26</v>
      </c>
      <c r="B319" s="509"/>
      <c r="C319" s="219"/>
      <c r="D319" s="219">
        <v>70</v>
      </c>
      <c r="E319" s="219">
        <v>0</v>
      </c>
      <c r="F319" s="219">
        <v>854</v>
      </c>
      <c r="G319" s="1" t="s">
        <v>22</v>
      </c>
      <c r="H319" s="1" t="s">
        <v>3</v>
      </c>
      <c r="I319" s="1" t="s">
        <v>435</v>
      </c>
      <c r="J319" s="1"/>
      <c r="K319" s="2">
        <f t="shared" ref="K319" si="480">K320+K322+K324</f>
        <v>627420</v>
      </c>
      <c r="L319" s="2">
        <f t="shared" ref="L319:O319" si="481">L320+L322+L324</f>
        <v>0</v>
      </c>
      <c r="M319" s="2">
        <f t="shared" si="481"/>
        <v>627420</v>
      </c>
      <c r="N319" s="2">
        <f t="shared" si="481"/>
        <v>0</v>
      </c>
      <c r="O319" s="2">
        <f t="shared" si="481"/>
        <v>627420</v>
      </c>
      <c r="P319" s="2">
        <f t="shared" ref="P319:Q319" si="482">P320+P322+P324</f>
        <v>0</v>
      </c>
      <c r="Q319" s="2">
        <f t="shared" si="482"/>
        <v>627420</v>
      </c>
      <c r="R319" s="2">
        <f t="shared" ref="R319:S319" si="483">R320+R322+R324</f>
        <v>0</v>
      </c>
      <c r="S319" s="2">
        <f t="shared" si="483"/>
        <v>627420</v>
      </c>
    </row>
    <row r="320" spans="1:19" s="6" customFormat="1" ht="36.75" customHeight="1" x14ac:dyDescent="0.25">
      <c r="A320" s="15"/>
      <c r="B320" s="224" t="s">
        <v>21</v>
      </c>
      <c r="C320" s="219"/>
      <c r="D320" s="219">
        <v>70</v>
      </c>
      <c r="E320" s="219">
        <v>0</v>
      </c>
      <c r="F320" s="219">
        <v>854</v>
      </c>
      <c r="G320" s="1" t="s">
        <v>17</v>
      </c>
      <c r="H320" s="1" t="s">
        <v>3</v>
      </c>
      <c r="I320" s="1" t="s">
        <v>435</v>
      </c>
      <c r="J320" s="1" t="s">
        <v>23</v>
      </c>
      <c r="K320" s="2">
        <f t="shared" ref="K320:S320" si="484">K321</f>
        <v>418200</v>
      </c>
      <c r="L320" s="2">
        <f t="shared" si="484"/>
        <v>0</v>
      </c>
      <c r="M320" s="2">
        <f t="shared" si="484"/>
        <v>418200</v>
      </c>
      <c r="N320" s="2">
        <f t="shared" si="484"/>
        <v>0</v>
      </c>
      <c r="O320" s="2">
        <f t="shared" si="484"/>
        <v>418200</v>
      </c>
      <c r="P320" s="2">
        <f t="shared" si="484"/>
        <v>0</v>
      </c>
      <c r="Q320" s="2">
        <f t="shared" si="484"/>
        <v>418200</v>
      </c>
      <c r="R320" s="2">
        <f t="shared" si="484"/>
        <v>0</v>
      </c>
      <c r="S320" s="2">
        <f t="shared" si="484"/>
        <v>418200</v>
      </c>
    </row>
    <row r="321" spans="1:20" s="6" customFormat="1" ht="13.5" customHeight="1" x14ac:dyDescent="0.25">
      <c r="A321" s="15"/>
      <c r="B321" s="224" t="s">
        <v>24</v>
      </c>
      <c r="C321" s="219"/>
      <c r="D321" s="219">
        <v>70</v>
      </c>
      <c r="E321" s="219">
        <v>0</v>
      </c>
      <c r="F321" s="219">
        <v>854</v>
      </c>
      <c r="G321" s="1" t="s">
        <v>17</v>
      </c>
      <c r="H321" s="1" t="s">
        <v>3</v>
      </c>
      <c r="I321" s="1" t="s">
        <v>435</v>
      </c>
      <c r="J321" s="1" t="s">
        <v>25</v>
      </c>
      <c r="K321" s="2">
        <f>'6 Вед15'!J377</f>
        <v>418200</v>
      </c>
      <c r="L321" s="92">
        <f>'6 Вед15'!K377</f>
        <v>0</v>
      </c>
      <c r="M321" s="2">
        <f t="shared" si="446"/>
        <v>418200</v>
      </c>
      <c r="N321" s="92">
        <f>'6 Вед15'!M377</f>
        <v>0</v>
      </c>
      <c r="O321" s="2">
        <f t="shared" si="440"/>
        <v>418200</v>
      </c>
      <c r="P321" s="92">
        <f>'6 Вед15'!O377</f>
        <v>0</v>
      </c>
      <c r="Q321" s="2">
        <f t="shared" ref="Q321" si="485">O321+P321</f>
        <v>418200</v>
      </c>
      <c r="R321" s="92">
        <f>'6 Вед15'!Q377</f>
        <v>0</v>
      </c>
      <c r="S321" s="2">
        <f t="shared" ref="S321" si="486">Q321+R321</f>
        <v>418200</v>
      </c>
    </row>
    <row r="322" spans="1:20" s="6" customFormat="1" ht="13.5" customHeight="1" x14ac:dyDescent="0.25">
      <c r="A322" s="15"/>
      <c r="B322" s="228" t="s">
        <v>27</v>
      </c>
      <c r="C322" s="219"/>
      <c r="D322" s="219">
        <v>70</v>
      </c>
      <c r="E322" s="219">
        <v>0</v>
      </c>
      <c r="F322" s="219">
        <v>854</v>
      </c>
      <c r="G322" s="1" t="s">
        <v>17</v>
      </c>
      <c r="H322" s="1" t="s">
        <v>3</v>
      </c>
      <c r="I322" s="1" t="s">
        <v>435</v>
      </c>
      <c r="J322" s="1" t="s">
        <v>28</v>
      </c>
      <c r="K322" s="2">
        <f t="shared" ref="K322" si="487">K323</f>
        <v>208700</v>
      </c>
      <c r="L322" s="2">
        <f t="shared" ref="L322" si="488">L323</f>
        <v>0</v>
      </c>
      <c r="M322" s="2">
        <f t="shared" ref="M322" si="489">M323</f>
        <v>208700</v>
      </c>
      <c r="N322" s="2">
        <f t="shared" ref="N322" si="490">N323</f>
        <v>0</v>
      </c>
      <c r="O322" s="2">
        <f t="shared" ref="O322" si="491">O323</f>
        <v>208700</v>
      </c>
      <c r="P322" s="2">
        <f t="shared" ref="P322" si="492">P323</f>
        <v>0</v>
      </c>
      <c r="Q322" s="2">
        <f t="shared" ref="Q322" si="493">Q323</f>
        <v>208700</v>
      </c>
      <c r="R322" s="2">
        <f t="shared" ref="R322" si="494">R323</f>
        <v>0</v>
      </c>
      <c r="S322" s="2">
        <f t="shared" ref="S322" si="495">S323</f>
        <v>208700</v>
      </c>
      <c r="T322" s="2">
        <f t="shared" ref="T322" si="496">T323</f>
        <v>0</v>
      </c>
    </row>
    <row r="323" spans="1:20" s="6" customFormat="1" ht="25.5" customHeight="1" x14ac:dyDescent="0.25">
      <c r="A323" s="15"/>
      <c r="B323" s="228" t="s">
        <v>29</v>
      </c>
      <c r="C323" s="219"/>
      <c r="D323" s="219">
        <v>70</v>
      </c>
      <c r="E323" s="219">
        <v>0</v>
      </c>
      <c r="F323" s="219">
        <v>854</v>
      </c>
      <c r="G323" s="1" t="s">
        <v>17</v>
      </c>
      <c r="H323" s="1" t="s">
        <v>3</v>
      </c>
      <c r="I323" s="1" t="s">
        <v>435</v>
      </c>
      <c r="J323" s="1" t="s">
        <v>30</v>
      </c>
      <c r="K323" s="2">
        <f>'6 Вед15'!J379</f>
        <v>208700</v>
      </c>
      <c r="L323" s="92">
        <f>'6 Вед15'!K379</f>
        <v>0</v>
      </c>
      <c r="M323" s="2">
        <f t="shared" si="446"/>
        <v>208700</v>
      </c>
      <c r="N323" s="92">
        <f>'6 Вед15'!M379</f>
        <v>0</v>
      </c>
      <c r="O323" s="2">
        <f t="shared" si="440"/>
        <v>208700</v>
      </c>
      <c r="P323" s="92">
        <f>'6 Вед15'!O379</f>
        <v>0</v>
      </c>
      <c r="Q323" s="2">
        <f t="shared" ref="Q323" si="497">O323+P323</f>
        <v>208700</v>
      </c>
      <c r="R323" s="92">
        <f>'6 Вед15'!Q379</f>
        <v>0</v>
      </c>
      <c r="S323" s="2">
        <f t="shared" ref="S323" si="498">Q323+R323</f>
        <v>208700</v>
      </c>
    </row>
    <row r="324" spans="1:20" s="6" customFormat="1" ht="13.5" customHeight="1" x14ac:dyDescent="0.25">
      <c r="A324" s="15"/>
      <c r="B324" s="228" t="s">
        <v>31</v>
      </c>
      <c r="C324" s="219"/>
      <c r="D324" s="219">
        <v>70</v>
      </c>
      <c r="E324" s="219">
        <v>0</v>
      </c>
      <c r="F324" s="219">
        <v>854</v>
      </c>
      <c r="G324" s="1" t="s">
        <v>17</v>
      </c>
      <c r="H324" s="1" t="s">
        <v>3</v>
      </c>
      <c r="I324" s="1" t="s">
        <v>435</v>
      </c>
      <c r="J324" s="1" t="s">
        <v>32</v>
      </c>
      <c r="K324" s="2">
        <f t="shared" ref="K324" si="499">K325</f>
        <v>520</v>
      </c>
      <c r="L324" s="2">
        <f t="shared" ref="L324" si="500">L325</f>
        <v>0</v>
      </c>
      <c r="M324" s="2">
        <f t="shared" ref="M324" si="501">M325</f>
        <v>520</v>
      </c>
      <c r="N324" s="2">
        <f t="shared" ref="N324" si="502">N325</f>
        <v>0</v>
      </c>
      <c r="O324" s="2">
        <f t="shared" ref="O324" si="503">O325</f>
        <v>520</v>
      </c>
      <c r="P324" s="2">
        <f t="shared" ref="P324" si="504">P325</f>
        <v>0</v>
      </c>
      <c r="Q324" s="2">
        <f t="shared" ref="Q324" si="505">Q325</f>
        <v>520</v>
      </c>
      <c r="R324" s="2">
        <f t="shared" ref="R324" si="506">R325</f>
        <v>0</v>
      </c>
      <c r="S324" s="2">
        <f t="shared" ref="S324" si="507">S325</f>
        <v>520</v>
      </c>
      <c r="T324" s="2">
        <f t="shared" ref="T324" si="508">T325</f>
        <v>0</v>
      </c>
    </row>
    <row r="325" spans="1:20" s="6" customFormat="1" x14ac:dyDescent="0.25">
      <c r="A325" s="15"/>
      <c r="B325" s="224" t="s">
        <v>466</v>
      </c>
      <c r="C325" s="225"/>
      <c r="D325" s="219">
        <v>70</v>
      </c>
      <c r="E325" s="219">
        <v>0</v>
      </c>
      <c r="F325" s="219">
        <v>854</v>
      </c>
      <c r="G325" s="1" t="s">
        <v>17</v>
      </c>
      <c r="H325" s="1" t="s">
        <v>3</v>
      </c>
      <c r="I325" s="1" t="s">
        <v>435</v>
      </c>
      <c r="J325" s="1" t="s">
        <v>35</v>
      </c>
      <c r="K325" s="2">
        <f>'6 Вед15'!J381</f>
        <v>520</v>
      </c>
      <c r="L325" s="92">
        <f>'6 Вед15'!K381</f>
        <v>0</v>
      </c>
      <c r="M325" s="2">
        <f t="shared" si="446"/>
        <v>520</v>
      </c>
      <c r="N325" s="92">
        <f>'6 Вед15'!M381</f>
        <v>0</v>
      </c>
      <c r="O325" s="2">
        <f t="shared" si="440"/>
        <v>520</v>
      </c>
      <c r="P325" s="92">
        <f>'6 Вед15'!O381</f>
        <v>0</v>
      </c>
      <c r="Q325" s="2">
        <f t="shared" ref="Q325" si="509">O325+P325</f>
        <v>520</v>
      </c>
      <c r="R325" s="92">
        <f>'6 Вед15'!Q381</f>
        <v>0</v>
      </c>
      <c r="S325" s="2">
        <f t="shared" ref="S325" si="510">Q325+R325</f>
        <v>520</v>
      </c>
    </row>
    <row r="326" spans="1:20" s="6" customFormat="1" x14ac:dyDescent="0.25">
      <c r="A326" s="541" t="s">
        <v>575</v>
      </c>
      <c r="B326" s="542"/>
      <c r="C326" s="276"/>
      <c r="D326" s="16">
        <v>70</v>
      </c>
      <c r="E326" s="16">
        <v>0</v>
      </c>
      <c r="F326" s="16">
        <v>857</v>
      </c>
      <c r="G326" s="11"/>
      <c r="H326" s="11"/>
      <c r="I326" s="11"/>
      <c r="J326" s="11"/>
      <c r="K326" s="12">
        <f>K327+K332</f>
        <v>506700</v>
      </c>
      <c r="L326" s="12">
        <f t="shared" ref="L326:O326" si="511">L327+L332</f>
        <v>0</v>
      </c>
      <c r="M326" s="12">
        <f t="shared" si="511"/>
        <v>506700</v>
      </c>
      <c r="N326" s="12">
        <f t="shared" si="511"/>
        <v>0</v>
      </c>
      <c r="O326" s="12">
        <f t="shared" si="511"/>
        <v>506700</v>
      </c>
      <c r="P326" s="12">
        <f t="shared" ref="P326:R326" si="512">P327+P332</f>
        <v>0</v>
      </c>
      <c r="Q326" s="12">
        <f t="shared" ref="Q326:S326" si="513">Q327+Q332</f>
        <v>506700</v>
      </c>
      <c r="R326" s="12">
        <f t="shared" si="512"/>
        <v>0</v>
      </c>
      <c r="S326" s="12">
        <f t="shared" si="513"/>
        <v>506700</v>
      </c>
    </row>
    <row r="327" spans="1:20" s="6" customFormat="1" ht="14.25" customHeight="1" x14ac:dyDescent="0.25">
      <c r="A327" s="509" t="s">
        <v>164</v>
      </c>
      <c r="B327" s="509"/>
      <c r="C327" s="276"/>
      <c r="D327" s="219">
        <v>70</v>
      </c>
      <c r="E327" s="219">
        <v>0</v>
      </c>
      <c r="F327" s="219">
        <v>857</v>
      </c>
      <c r="G327" s="1" t="s">
        <v>17</v>
      </c>
      <c r="H327" s="1" t="s">
        <v>1</v>
      </c>
      <c r="I327" s="1" t="s">
        <v>246</v>
      </c>
      <c r="J327" s="1"/>
      <c r="K327" s="2">
        <f>K328+K330</f>
        <v>488700</v>
      </c>
      <c r="L327" s="2">
        <f t="shared" ref="L327:O327" si="514">L328+L330</f>
        <v>0</v>
      </c>
      <c r="M327" s="2">
        <f t="shared" si="514"/>
        <v>488700</v>
      </c>
      <c r="N327" s="2">
        <f t="shared" si="514"/>
        <v>0</v>
      </c>
      <c r="O327" s="2">
        <f t="shared" si="514"/>
        <v>488700</v>
      </c>
      <c r="P327" s="2">
        <f t="shared" ref="P327:R327" si="515">P328+P330</f>
        <v>0</v>
      </c>
      <c r="Q327" s="2">
        <f t="shared" ref="Q327:S327" si="516">Q328+Q330</f>
        <v>488700</v>
      </c>
      <c r="R327" s="2">
        <f t="shared" si="515"/>
        <v>0</v>
      </c>
      <c r="S327" s="2">
        <f t="shared" si="516"/>
        <v>488700</v>
      </c>
    </row>
    <row r="328" spans="1:20" s="6" customFormat="1" ht="39.75" customHeight="1" x14ac:dyDescent="0.25">
      <c r="A328" s="276"/>
      <c r="B328" s="275" t="s">
        <v>21</v>
      </c>
      <c r="C328" s="276"/>
      <c r="D328" s="219">
        <v>70</v>
      </c>
      <c r="E328" s="219">
        <v>0</v>
      </c>
      <c r="F328" s="219">
        <v>857</v>
      </c>
      <c r="G328" s="1" t="s">
        <v>22</v>
      </c>
      <c r="H328" s="1" t="s">
        <v>1</v>
      </c>
      <c r="I328" s="1" t="s">
        <v>246</v>
      </c>
      <c r="J328" s="1" t="s">
        <v>23</v>
      </c>
      <c r="K328" s="2">
        <f t="shared" ref="K328:S328" si="517">K329</f>
        <v>459000</v>
      </c>
      <c r="L328" s="2">
        <f t="shared" si="517"/>
        <v>0</v>
      </c>
      <c r="M328" s="2">
        <f t="shared" si="517"/>
        <v>459000</v>
      </c>
      <c r="N328" s="2">
        <f t="shared" si="517"/>
        <v>0</v>
      </c>
      <c r="O328" s="2">
        <f t="shared" si="517"/>
        <v>459000</v>
      </c>
      <c r="P328" s="2">
        <f t="shared" si="517"/>
        <v>0</v>
      </c>
      <c r="Q328" s="2">
        <f t="shared" si="517"/>
        <v>459000</v>
      </c>
      <c r="R328" s="2">
        <f t="shared" si="517"/>
        <v>0</v>
      </c>
      <c r="S328" s="2">
        <f t="shared" si="517"/>
        <v>459000</v>
      </c>
    </row>
    <row r="329" spans="1:20" s="6" customFormat="1" ht="15" customHeight="1" x14ac:dyDescent="0.25">
      <c r="A329" s="15"/>
      <c r="B329" s="275" t="s">
        <v>24</v>
      </c>
      <c r="C329" s="275"/>
      <c r="D329" s="219">
        <v>70</v>
      </c>
      <c r="E329" s="219">
        <v>0</v>
      </c>
      <c r="F329" s="219">
        <v>857</v>
      </c>
      <c r="G329" s="1" t="s">
        <v>17</v>
      </c>
      <c r="H329" s="1" t="s">
        <v>1</v>
      </c>
      <c r="I329" s="1" t="s">
        <v>246</v>
      </c>
      <c r="J329" s="1" t="s">
        <v>25</v>
      </c>
      <c r="K329" s="2">
        <f>'6 Вед15'!J387</f>
        <v>459000</v>
      </c>
      <c r="L329" s="2">
        <f>'6 Вед15'!K387</f>
        <v>0</v>
      </c>
      <c r="M329" s="2">
        <f t="shared" si="446"/>
        <v>459000</v>
      </c>
      <c r="N329" s="2">
        <f>'6 Вед15'!M387</f>
        <v>0</v>
      </c>
      <c r="O329" s="2">
        <f t="shared" si="440"/>
        <v>459000</v>
      </c>
      <c r="P329" s="2">
        <f>'6 Вед15'!O387</f>
        <v>0</v>
      </c>
      <c r="Q329" s="2">
        <f t="shared" ref="Q329" si="518">O329+P329</f>
        <v>459000</v>
      </c>
      <c r="R329" s="2">
        <f>'6 Вед15'!Q387</f>
        <v>0</v>
      </c>
      <c r="S329" s="2">
        <f t="shared" ref="S329" si="519">Q329+R329</f>
        <v>459000</v>
      </c>
    </row>
    <row r="330" spans="1:20" s="6" customFormat="1" ht="13.5" customHeight="1" x14ac:dyDescent="0.25">
      <c r="A330" s="15"/>
      <c r="B330" s="286" t="s">
        <v>27</v>
      </c>
      <c r="C330" s="219"/>
      <c r="D330" s="219">
        <v>70</v>
      </c>
      <c r="E330" s="219">
        <v>0</v>
      </c>
      <c r="F330" s="219">
        <v>857</v>
      </c>
      <c r="G330" s="1" t="s">
        <v>17</v>
      </c>
      <c r="H330" s="1" t="s">
        <v>3</v>
      </c>
      <c r="I330" s="1" t="s">
        <v>246</v>
      </c>
      <c r="J330" s="1" t="s">
        <v>28</v>
      </c>
      <c r="K330" s="2">
        <f>K331</f>
        <v>29700</v>
      </c>
      <c r="L330" s="2">
        <f t="shared" ref="L330:O330" si="520">L331</f>
        <v>0</v>
      </c>
      <c r="M330" s="2">
        <f t="shared" si="520"/>
        <v>29700</v>
      </c>
      <c r="N330" s="2">
        <f t="shared" si="520"/>
        <v>0</v>
      </c>
      <c r="O330" s="2">
        <f t="shared" si="520"/>
        <v>29700</v>
      </c>
      <c r="P330" s="2">
        <f t="shared" ref="P330:R330" si="521">P331</f>
        <v>0</v>
      </c>
      <c r="Q330" s="2">
        <f t="shared" ref="Q330:S330" si="522">Q331</f>
        <v>29700</v>
      </c>
      <c r="R330" s="2">
        <f t="shared" si="521"/>
        <v>0</v>
      </c>
      <c r="S330" s="2">
        <f t="shared" si="522"/>
        <v>29700</v>
      </c>
    </row>
    <row r="331" spans="1:20" s="6" customFormat="1" ht="25.5" customHeight="1" x14ac:dyDescent="0.25">
      <c r="A331" s="15"/>
      <c r="B331" s="286" t="s">
        <v>29</v>
      </c>
      <c r="C331" s="219"/>
      <c r="D331" s="219">
        <v>70</v>
      </c>
      <c r="E331" s="219">
        <v>0</v>
      </c>
      <c r="F331" s="219">
        <v>857</v>
      </c>
      <c r="G331" s="1" t="s">
        <v>17</v>
      </c>
      <c r="H331" s="1" t="s">
        <v>3</v>
      </c>
      <c r="I331" s="1" t="s">
        <v>246</v>
      </c>
      <c r="J331" s="1" t="s">
        <v>30</v>
      </c>
      <c r="K331" s="2">
        <f>'6 Вед15'!J389</f>
        <v>29700</v>
      </c>
      <c r="L331" s="2">
        <f>'6 Вед15'!K389</f>
        <v>0</v>
      </c>
      <c r="M331" s="2">
        <f t="shared" si="446"/>
        <v>29700</v>
      </c>
      <c r="N331" s="2">
        <f>'6 Вед15'!M389</f>
        <v>0</v>
      </c>
      <c r="O331" s="2">
        <f t="shared" si="440"/>
        <v>29700</v>
      </c>
      <c r="P331" s="2">
        <f>'6 Вед15'!O389</f>
        <v>0</v>
      </c>
      <c r="Q331" s="2">
        <f t="shared" ref="Q331" si="523">O331+P331</f>
        <v>29700</v>
      </c>
      <c r="R331" s="2">
        <f>'6 Вед15'!Q389</f>
        <v>0</v>
      </c>
      <c r="S331" s="2">
        <f t="shared" ref="S331" si="524">Q331+R331</f>
        <v>29700</v>
      </c>
    </row>
    <row r="332" spans="1:20" s="6" customFormat="1" ht="26.25" customHeight="1" x14ac:dyDescent="0.25">
      <c r="A332" s="509" t="s">
        <v>249</v>
      </c>
      <c r="B332" s="509"/>
      <c r="C332" s="225"/>
      <c r="D332" s="219">
        <v>70</v>
      </c>
      <c r="E332" s="219">
        <v>0</v>
      </c>
      <c r="F332" s="219">
        <v>857</v>
      </c>
      <c r="G332" s="1" t="s">
        <v>22</v>
      </c>
      <c r="H332" s="1" t="s">
        <v>1</v>
      </c>
      <c r="I332" s="1" t="s">
        <v>488</v>
      </c>
      <c r="J332" s="2"/>
      <c r="K332" s="2">
        <f t="shared" ref="K332:S333" si="525">K333</f>
        <v>18000</v>
      </c>
      <c r="L332" s="2">
        <f t="shared" si="525"/>
        <v>0</v>
      </c>
      <c r="M332" s="2">
        <f t="shared" si="525"/>
        <v>18000</v>
      </c>
      <c r="N332" s="2">
        <f t="shared" si="525"/>
        <v>0</v>
      </c>
      <c r="O332" s="2">
        <f t="shared" si="525"/>
        <v>18000</v>
      </c>
      <c r="P332" s="2">
        <f t="shared" si="525"/>
        <v>0</v>
      </c>
      <c r="Q332" s="2">
        <f t="shared" si="525"/>
        <v>18000</v>
      </c>
      <c r="R332" s="2">
        <f t="shared" si="525"/>
        <v>0</v>
      </c>
      <c r="S332" s="2">
        <f t="shared" si="525"/>
        <v>18000</v>
      </c>
    </row>
    <row r="333" spans="1:20" s="6" customFormat="1" ht="14.25" customHeight="1" x14ac:dyDescent="0.25">
      <c r="A333" s="15"/>
      <c r="B333" s="228" t="s">
        <v>27</v>
      </c>
      <c r="C333" s="224"/>
      <c r="D333" s="219">
        <v>70</v>
      </c>
      <c r="E333" s="219">
        <v>0</v>
      </c>
      <c r="F333" s="219">
        <v>857</v>
      </c>
      <c r="G333" s="1" t="s">
        <v>17</v>
      </c>
      <c r="H333" s="1" t="s">
        <v>1</v>
      </c>
      <c r="I333" s="1" t="s">
        <v>488</v>
      </c>
      <c r="J333" s="1" t="s">
        <v>28</v>
      </c>
      <c r="K333" s="2">
        <f t="shared" si="525"/>
        <v>18000</v>
      </c>
      <c r="L333" s="2">
        <f t="shared" si="525"/>
        <v>0</v>
      </c>
      <c r="M333" s="2">
        <f t="shared" si="525"/>
        <v>18000</v>
      </c>
      <c r="N333" s="2">
        <f t="shared" si="525"/>
        <v>0</v>
      </c>
      <c r="O333" s="2">
        <f t="shared" si="525"/>
        <v>18000</v>
      </c>
      <c r="P333" s="2">
        <f t="shared" si="525"/>
        <v>0</v>
      </c>
      <c r="Q333" s="2">
        <f t="shared" si="525"/>
        <v>18000</v>
      </c>
      <c r="R333" s="2">
        <f t="shared" si="525"/>
        <v>0</v>
      </c>
      <c r="S333" s="2">
        <f t="shared" si="525"/>
        <v>18000</v>
      </c>
    </row>
    <row r="334" spans="1:20" s="6" customFormat="1" ht="24" x14ac:dyDescent="0.25">
      <c r="A334" s="15"/>
      <c r="B334" s="228" t="s">
        <v>29</v>
      </c>
      <c r="C334" s="225"/>
      <c r="D334" s="219">
        <v>70</v>
      </c>
      <c r="E334" s="219">
        <v>0</v>
      </c>
      <c r="F334" s="219">
        <v>857</v>
      </c>
      <c r="G334" s="1" t="s">
        <v>17</v>
      </c>
      <c r="H334" s="1" t="s">
        <v>1</v>
      </c>
      <c r="I334" s="1" t="s">
        <v>488</v>
      </c>
      <c r="J334" s="1" t="s">
        <v>30</v>
      </c>
      <c r="K334" s="2">
        <f>'6 Вед15'!J392</f>
        <v>18000</v>
      </c>
      <c r="L334" s="2">
        <f>'6 Вед15'!K392</f>
        <v>0</v>
      </c>
      <c r="M334" s="2">
        <f t="shared" si="446"/>
        <v>18000</v>
      </c>
      <c r="N334" s="2">
        <f>'6 Вед15'!M392</f>
        <v>0</v>
      </c>
      <c r="O334" s="2">
        <f>M334+N334</f>
        <v>18000</v>
      </c>
      <c r="P334" s="2">
        <f>'6 Вед15'!O392</f>
        <v>0</v>
      </c>
      <c r="Q334" s="2">
        <f>O334+P334</f>
        <v>18000</v>
      </c>
      <c r="R334" s="2">
        <f>'6 Вед15'!Q392</f>
        <v>0</v>
      </c>
      <c r="S334" s="2">
        <f>Q334+R334</f>
        <v>18000</v>
      </c>
    </row>
    <row r="335" spans="1:20" s="6" customFormat="1" ht="18" customHeight="1" x14ac:dyDescent="0.25">
      <c r="A335" s="233"/>
      <c r="B335" s="230" t="s">
        <v>166</v>
      </c>
      <c r="C335" s="230"/>
      <c r="D335" s="16"/>
      <c r="E335" s="16"/>
      <c r="F335" s="16"/>
      <c r="G335" s="11"/>
      <c r="H335" s="11"/>
      <c r="I335" s="11"/>
      <c r="J335" s="11"/>
      <c r="K335" s="12">
        <f t="shared" ref="K335:Q335" si="526">K6+K186+K259+K301</f>
        <v>234246433</v>
      </c>
      <c r="L335" s="210">
        <f t="shared" si="526"/>
        <v>8505006</v>
      </c>
      <c r="M335" s="12">
        <f t="shared" si="526"/>
        <v>242751439</v>
      </c>
      <c r="N335" s="210">
        <f t="shared" si="526"/>
        <v>165681</v>
      </c>
      <c r="O335" s="12">
        <f t="shared" si="526"/>
        <v>242917120</v>
      </c>
      <c r="P335" s="210">
        <f t="shared" si="526"/>
        <v>-2522350</v>
      </c>
      <c r="Q335" s="12">
        <f t="shared" si="526"/>
        <v>240394770</v>
      </c>
      <c r="R335" s="210">
        <f t="shared" ref="R335:S335" si="527">R6+R186+R259+R301</f>
        <v>16540201.76</v>
      </c>
      <c r="S335" s="12">
        <f t="shared" si="527"/>
        <v>256934971.75999999</v>
      </c>
    </row>
    <row r="336" spans="1:20" s="431" customFormat="1" ht="14.25" customHeight="1" x14ac:dyDescent="0.25">
      <c r="A336" s="426"/>
      <c r="B336" s="427" t="s">
        <v>665</v>
      </c>
      <c r="C336" s="427"/>
      <c r="D336" s="428"/>
      <c r="E336" s="428"/>
      <c r="F336" s="428"/>
      <c r="G336" s="429"/>
      <c r="H336" s="429"/>
      <c r="I336" s="429"/>
      <c r="J336" s="429"/>
      <c r="K336" s="430">
        <v>234246433</v>
      </c>
      <c r="L336" s="430">
        <v>8505006</v>
      </c>
      <c r="M336" s="430">
        <v>242751439</v>
      </c>
      <c r="N336" s="430">
        <v>165681</v>
      </c>
      <c r="O336" s="430">
        <v>242917120</v>
      </c>
      <c r="P336" s="430">
        <v>-2522350</v>
      </c>
      <c r="Q336" s="430">
        <v>240394770</v>
      </c>
      <c r="R336" s="430"/>
      <c r="S336" s="430"/>
    </row>
    <row r="337" spans="1:19" s="431" customFormat="1" ht="14.25" customHeight="1" x14ac:dyDescent="0.25">
      <c r="A337" s="426"/>
      <c r="B337" s="427"/>
      <c r="C337" s="427"/>
      <c r="D337" s="428"/>
      <c r="E337" s="428"/>
      <c r="F337" s="428"/>
      <c r="G337" s="429"/>
      <c r="H337" s="429"/>
      <c r="I337" s="429"/>
      <c r="J337" s="429"/>
      <c r="K337" s="430">
        <f t="shared" ref="K337" si="528">K335-K336</f>
        <v>0</v>
      </c>
      <c r="L337" s="430">
        <f t="shared" ref="L337" si="529">L335-L336</f>
        <v>0</v>
      </c>
      <c r="M337" s="430">
        <f t="shared" ref="M337" si="530">M335-M336</f>
        <v>0</v>
      </c>
      <c r="N337" s="430">
        <f t="shared" ref="N337" si="531">N335-N336</f>
        <v>0</v>
      </c>
      <c r="O337" s="430">
        <f t="shared" ref="O337:R337" si="532">O335-O336</f>
        <v>0</v>
      </c>
      <c r="P337" s="430">
        <f t="shared" si="532"/>
        <v>0</v>
      </c>
      <c r="Q337" s="430">
        <f t="shared" si="532"/>
        <v>0</v>
      </c>
      <c r="R337" s="430">
        <f t="shared" si="532"/>
        <v>16540201.76</v>
      </c>
      <c r="S337" s="430">
        <f>S335-S336</f>
        <v>256934971.75999999</v>
      </c>
    </row>
    <row r="338" spans="1:19" s="72" customFormat="1" x14ac:dyDescent="0.25">
      <c r="F338" s="191"/>
      <c r="I338" s="191"/>
      <c r="K338" s="192"/>
    </row>
    <row r="339" spans="1:19" s="72" customFormat="1" x14ac:dyDescent="0.25">
      <c r="B339" s="6"/>
      <c r="C339" s="6"/>
      <c r="D339" s="6"/>
      <c r="E339" s="6"/>
      <c r="F339" s="64"/>
      <c r="G339" s="6"/>
      <c r="H339" s="6"/>
      <c r="I339" s="64" t="s">
        <v>445</v>
      </c>
      <c r="J339" s="6"/>
      <c r="K339" s="9">
        <f>'6 Вед15'!J393</f>
        <v>234246433</v>
      </c>
      <c r="L339" s="9">
        <f>'6 Вед15'!K393</f>
        <v>8505006</v>
      </c>
      <c r="M339" s="9">
        <f>'6 Вед15'!L393</f>
        <v>242751439</v>
      </c>
      <c r="N339" s="9">
        <f>'6 Вед15'!M393</f>
        <v>165681</v>
      </c>
      <c r="O339" s="9">
        <f>'6 Вед15'!N393</f>
        <v>242917120</v>
      </c>
      <c r="P339" s="9">
        <f>'6 Вед15'!O393</f>
        <v>-2522350</v>
      </c>
      <c r="Q339" s="9">
        <f>'6 Вед15'!P393</f>
        <v>240394770</v>
      </c>
      <c r="R339" s="9">
        <f>'6 Вед15'!Q393</f>
        <v>16540201.76</v>
      </c>
      <c r="S339" s="9">
        <f>'6 Вед15'!U393</f>
        <v>256934971.75999999</v>
      </c>
    </row>
    <row r="340" spans="1:19" s="72" customFormat="1" x14ac:dyDescent="0.25">
      <c r="B340" s="6"/>
      <c r="C340" s="6"/>
      <c r="D340" s="6"/>
      <c r="E340" s="6"/>
      <c r="F340" s="64"/>
      <c r="G340" s="6"/>
      <c r="H340" s="6"/>
      <c r="I340" s="64"/>
      <c r="J340" s="6"/>
      <c r="K340" s="9">
        <f t="shared" ref="K340:M340" si="533">K335-K339</f>
        <v>0</v>
      </c>
      <c r="L340" s="9">
        <f t="shared" si="533"/>
        <v>0</v>
      </c>
      <c r="M340" s="9">
        <f t="shared" si="533"/>
        <v>0</v>
      </c>
      <c r="N340" s="9">
        <f t="shared" ref="N340:O340" si="534">N335-N339</f>
        <v>0</v>
      </c>
      <c r="O340" s="9">
        <f t="shared" si="534"/>
        <v>0</v>
      </c>
      <c r="P340" s="9">
        <f t="shared" ref="P340:Q340" si="535">P335-P339</f>
        <v>0</v>
      </c>
      <c r="Q340" s="9">
        <f t="shared" si="535"/>
        <v>0</v>
      </c>
      <c r="R340" s="9">
        <f t="shared" ref="R340:S340" si="536">R335-R339</f>
        <v>0</v>
      </c>
      <c r="S340" s="9">
        <f t="shared" si="536"/>
        <v>0</v>
      </c>
    </row>
    <row r="341" spans="1:19" s="72" customFormat="1" x14ac:dyDescent="0.25">
      <c r="B341" s="6"/>
      <c r="C341" s="6"/>
      <c r="D341" s="6"/>
      <c r="E341" s="6"/>
      <c r="F341" s="67"/>
      <c r="G341" s="68"/>
      <c r="H341" s="68"/>
      <c r="I341" s="67"/>
      <c r="J341" s="68"/>
      <c r="K341" s="9"/>
    </row>
    <row r="342" spans="1:19" s="72" customFormat="1" x14ac:dyDescent="0.25">
      <c r="B342" s="6"/>
      <c r="C342" s="6"/>
      <c r="D342" s="6"/>
      <c r="E342" s="6"/>
      <c r="F342" s="67"/>
      <c r="G342" s="68" t="s">
        <v>17</v>
      </c>
      <c r="H342" s="68"/>
      <c r="I342" s="67"/>
      <c r="J342" s="67"/>
      <c r="K342" s="9"/>
    </row>
    <row r="343" spans="1:19" s="72" customFormat="1" x14ac:dyDescent="0.25">
      <c r="B343" s="6"/>
      <c r="C343" s="6"/>
      <c r="D343" s="6"/>
      <c r="E343" s="6"/>
      <c r="F343" s="67"/>
      <c r="G343" s="68" t="s">
        <v>72</v>
      </c>
      <c r="H343" s="68"/>
      <c r="I343" s="67"/>
      <c r="J343" s="67"/>
      <c r="K343" s="9"/>
    </row>
    <row r="344" spans="1:19" s="72" customFormat="1" x14ac:dyDescent="0.25">
      <c r="B344" s="6"/>
      <c r="C344" s="6"/>
      <c r="D344" s="6"/>
      <c r="E344" s="6"/>
      <c r="F344" s="67"/>
      <c r="G344" s="68" t="s">
        <v>3</v>
      </c>
      <c r="H344" s="68"/>
      <c r="I344" s="67"/>
      <c r="J344" s="67"/>
      <c r="K344" s="9"/>
    </row>
    <row r="345" spans="1:19" s="72" customFormat="1" x14ac:dyDescent="0.25">
      <c r="B345" s="6" t="s">
        <v>445</v>
      </c>
      <c r="C345" s="6"/>
      <c r="D345" s="6"/>
      <c r="E345" s="6"/>
      <c r="F345" s="67"/>
      <c r="G345" s="68" t="s">
        <v>6</v>
      </c>
      <c r="H345" s="68"/>
      <c r="I345" s="67"/>
      <c r="J345" s="67"/>
      <c r="K345" s="9">
        <f>'6 Вед15'!J393</f>
        <v>234246433</v>
      </c>
      <c r="L345" s="9">
        <f>'6 Вед15'!K393</f>
        <v>8505006</v>
      </c>
      <c r="M345" s="9">
        <f>'6 Вед15'!L393</f>
        <v>242751439</v>
      </c>
      <c r="N345" s="9">
        <f>'6 Вед15'!M393</f>
        <v>165681</v>
      </c>
      <c r="O345" s="9">
        <f>'6 Вед15'!N393</f>
        <v>242917120</v>
      </c>
      <c r="P345" s="9">
        <f>'6 Вед15'!O393</f>
        <v>-2522350</v>
      </c>
      <c r="Q345" s="9">
        <f>'6 Вед15'!P393</f>
        <v>240394770</v>
      </c>
      <c r="R345" s="9">
        <f>'6 Вед15'!Q393</f>
        <v>16540201.76</v>
      </c>
      <c r="S345" s="9">
        <f>'6 Вед15'!U393</f>
        <v>256934971.75999999</v>
      </c>
    </row>
    <row r="346" spans="1:19" s="72" customFormat="1" x14ac:dyDescent="0.25">
      <c r="B346" s="6" t="s">
        <v>446</v>
      </c>
      <c r="C346" s="6"/>
      <c r="D346" s="6"/>
      <c r="E346" s="6"/>
      <c r="F346" s="67"/>
      <c r="G346" s="68" t="s">
        <v>63</v>
      </c>
      <c r="H346" s="68"/>
      <c r="I346" s="67"/>
      <c r="J346" s="67"/>
      <c r="K346" s="9" t="e">
        <f>#REF!</f>
        <v>#REF!</v>
      </c>
      <c r="L346" s="9" t="e">
        <f>#REF!</f>
        <v>#REF!</v>
      </c>
      <c r="M346" s="9" t="e">
        <f>#REF!</f>
        <v>#REF!</v>
      </c>
      <c r="N346" s="9" t="e">
        <f>#REF!</f>
        <v>#REF!</v>
      </c>
      <c r="O346" s="9" t="e">
        <f>#REF!</f>
        <v>#REF!</v>
      </c>
      <c r="P346" s="9" t="e">
        <f>#REF!</f>
        <v>#REF!</v>
      </c>
      <c r="Q346" s="9" t="e">
        <f>#REF!</f>
        <v>#REF!</v>
      </c>
      <c r="R346" s="9" t="e">
        <f>#REF!</f>
        <v>#REF!</v>
      </c>
      <c r="S346" s="9" t="e">
        <f>#REF!</f>
        <v>#REF!</v>
      </c>
    </row>
    <row r="347" spans="1:19" s="72" customFormat="1" x14ac:dyDescent="0.25">
      <c r="B347" s="6"/>
      <c r="C347" s="6"/>
      <c r="D347" s="6"/>
      <c r="E347" s="6"/>
      <c r="F347" s="67"/>
      <c r="G347" s="68" t="s">
        <v>36</v>
      </c>
      <c r="H347" s="68"/>
      <c r="I347" s="67"/>
      <c r="J347" s="67"/>
      <c r="K347" s="9"/>
      <c r="L347" s="6"/>
      <c r="N347" s="6"/>
      <c r="P347" s="6"/>
      <c r="Q347" s="192">
        <f>Q335-Q301</f>
        <v>238245550</v>
      </c>
      <c r="R347" s="6"/>
      <c r="S347" s="192">
        <f>S335-S301</f>
        <v>254785751.75999999</v>
      </c>
    </row>
    <row r="348" spans="1:19" s="72" customFormat="1" x14ac:dyDescent="0.25">
      <c r="B348" s="6"/>
      <c r="C348" s="6"/>
      <c r="D348" s="6"/>
      <c r="E348" s="6"/>
      <c r="F348" s="67"/>
      <c r="G348" s="68" t="s">
        <v>84</v>
      </c>
      <c r="H348" s="68"/>
      <c r="I348" s="67"/>
      <c r="J348" s="67"/>
      <c r="K348" s="9">
        <f t="shared" ref="K348:Q348" si="537">K335-K345</f>
        <v>0</v>
      </c>
      <c r="L348" s="9">
        <f t="shared" si="537"/>
        <v>0</v>
      </c>
      <c r="M348" s="9">
        <f t="shared" si="537"/>
        <v>0</v>
      </c>
      <c r="N348" s="9">
        <f t="shared" si="537"/>
        <v>0</v>
      </c>
      <c r="O348" s="9">
        <f t="shared" si="537"/>
        <v>0</v>
      </c>
      <c r="P348" s="9">
        <f t="shared" si="537"/>
        <v>0</v>
      </c>
      <c r="Q348" s="9">
        <f t="shared" si="537"/>
        <v>0</v>
      </c>
      <c r="R348" s="9">
        <f t="shared" ref="R348:S348" si="538">R335-R345</f>
        <v>0</v>
      </c>
      <c r="S348" s="9">
        <f t="shared" si="538"/>
        <v>0</v>
      </c>
    </row>
    <row r="349" spans="1:19" s="72" customFormat="1" x14ac:dyDescent="0.25">
      <c r="B349" s="6"/>
      <c r="C349" s="6"/>
      <c r="D349" s="6"/>
      <c r="E349" s="6"/>
      <c r="F349" s="67"/>
      <c r="G349" s="68" t="s">
        <v>0</v>
      </c>
      <c r="H349" s="68"/>
      <c r="I349" s="67"/>
      <c r="J349" s="67"/>
      <c r="K349" s="9" t="e">
        <f>K335-K346</f>
        <v>#REF!</v>
      </c>
      <c r="L349" s="9" t="e">
        <f t="shared" ref="L349:M349" si="539">L335-L346</f>
        <v>#REF!</v>
      </c>
      <c r="M349" s="9" t="e">
        <f t="shared" si="539"/>
        <v>#REF!</v>
      </c>
      <c r="N349" s="9" t="e">
        <f t="shared" ref="N349:O349" si="540">N335-N346</f>
        <v>#REF!</v>
      </c>
      <c r="O349" s="9" t="e">
        <f t="shared" si="540"/>
        <v>#REF!</v>
      </c>
      <c r="P349" s="9" t="e">
        <f t="shared" ref="P349:Q349" si="541">P335-P346</f>
        <v>#REF!</v>
      </c>
      <c r="Q349" s="9" t="e">
        <f t="shared" si="541"/>
        <v>#REF!</v>
      </c>
      <c r="R349" s="9" t="e">
        <f t="shared" ref="R349:S349" si="542">R335-R346</f>
        <v>#REF!</v>
      </c>
      <c r="S349" s="9" t="e">
        <f t="shared" si="542"/>
        <v>#REF!</v>
      </c>
    </row>
    <row r="350" spans="1:19" s="72" customFormat="1" x14ac:dyDescent="0.25">
      <c r="B350" s="6"/>
      <c r="C350" s="6"/>
      <c r="D350" s="6"/>
      <c r="E350" s="6"/>
      <c r="F350" s="67"/>
      <c r="G350" s="68" t="s">
        <v>38</v>
      </c>
      <c r="H350" s="68"/>
      <c r="I350" s="67"/>
      <c r="J350" s="67"/>
      <c r="K350" s="9"/>
      <c r="L350" s="6"/>
      <c r="N350" s="6"/>
      <c r="P350" s="6"/>
      <c r="R350" s="6"/>
    </row>
    <row r="351" spans="1:19" s="72" customFormat="1" x14ac:dyDescent="0.25">
      <c r="B351" s="6"/>
      <c r="C351" s="6"/>
      <c r="D351" s="6"/>
      <c r="E351" s="6"/>
      <c r="F351" s="67"/>
      <c r="G351" s="68" t="s">
        <v>153</v>
      </c>
      <c r="H351" s="68"/>
      <c r="I351" s="67"/>
      <c r="J351" s="68"/>
      <c r="K351" s="9"/>
      <c r="L351" s="6"/>
      <c r="N351" s="6"/>
      <c r="P351" s="6"/>
      <c r="R351" s="6"/>
    </row>
    <row r="352" spans="1:19" s="72" customFormat="1" x14ac:dyDescent="0.25">
      <c r="B352" s="6"/>
      <c r="C352" s="6"/>
      <c r="D352" s="15" t="s">
        <v>612</v>
      </c>
      <c r="E352" s="15"/>
      <c r="F352" s="1"/>
      <c r="G352" s="218"/>
      <c r="H352" s="218"/>
      <c r="I352" s="1" t="s">
        <v>209</v>
      </c>
      <c r="J352" s="218"/>
      <c r="K352" s="2">
        <f t="shared" ref="K352:Q352" si="543">K8</f>
        <v>946200</v>
      </c>
      <c r="L352" s="2">
        <f t="shared" si="543"/>
        <v>0</v>
      </c>
      <c r="M352" s="2">
        <f t="shared" si="543"/>
        <v>946200</v>
      </c>
      <c r="N352" s="2">
        <f t="shared" si="543"/>
        <v>0</v>
      </c>
      <c r="O352" s="2">
        <f t="shared" si="543"/>
        <v>946200</v>
      </c>
      <c r="P352" s="2">
        <f t="shared" si="543"/>
        <v>0</v>
      </c>
      <c r="Q352" s="2">
        <f t="shared" si="543"/>
        <v>946200</v>
      </c>
      <c r="R352" s="2">
        <f t="shared" ref="R352:S352" si="544">R8</f>
        <v>0</v>
      </c>
      <c r="S352" s="2">
        <f t="shared" si="544"/>
        <v>946200</v>
      </c>
    </row>
    <row r="353" spans="2:19" s="72" customFormat="1" x14ac:dyDescent="0.25">
      <c r="B353" s="6"/>
      <c r="C353" s="6"/>
      <c r="D353" s="15" t="s">
        <v>612</v>
      </c>
      <c r="E353" s="15"/>
      <c r="F353" s="1"/>
      <c r="G353" s="218"/>
      <c r="H353" s="218"/>
      <c r="I353" s="1" t="s">
        <v>456</v>
      </c>
      <c r="J353" s="218"/>
      <c r="K353" s="2">
        <f>K316</f>
        <v>789500</v>
      </c>
      <c r="L353" s="2">
        <f t="shared" ref="L353:O353" si="545">L316</f>
        <v>0</v>
      </c>
      <c r="M353" s="2">
        <f t="shared" si="545"/>
        <v>789500</v>
      </c>
      <c r="N353" s="2">
        <f t="shared" si="545"/>
        <v>0</v>
      </c>
      <c r="O353" s="2">
        <f t="shared" si="545"/>
        <v>789500</v>
      </c>
      <c r="P353" s="2">
        <f t="shared" ref="P353:Q353" si="546">P316</f>
        <v>0</v>
      </c>
      <c r="Q353" s="2">
        <f t="shared" si="546"/>
        <v>789500</v>
      </c>
      <c r="R353" s="2">
        <f t="shared" ref="R353:S353" si="547">R316</f>
        <v>0</v>
      </c>
      <c r="S353" s="2">
        <f t="shared" si="547"/>
        <v>789500</v>
      </c>
    </row>
    <row r="354" spans="2:19" s="72" customFormat="1" x14ac:dyDescent="0.25">
      <c r="B354" s="6"/>
      <c r="C354" s="6"/>
      <c r="D354" s="15" t="s">
        <v>612</v>
      </c>
      <c r="E354" s="15"/>
      <c r="F354" s="1"/>
      <c r="G354" s="218"/>
      <c r="H354" s="218"/>
      <c r="I354" s="1" t="s">
        <v>246</v>
      </c>
      <c r="J354" s="218"/>
      <c r="K354" s="2">
        <f>K327</f>
        <v>488700</v>
      </c>
      <c r="L354" s="2">
        <f t="shared" ref="L354:O354" si="548">L327</f>
        <v>0</v>
      </c>
      <c r="M354" s="2">
        <f t="shared" si="548"/>
        <v>488700</v>
      </c>
      <c r="N354" s="2">
        <f t="shared" si="548"/>
        <v>0</v>
      </c>
      <c r="O354" s="2">
        <f t="shared" si="548"/>
        <v>488700</v>
      </c>
      <c r="P354" s="2">
        <f t="shared" ref="P354:Q354" si="549">P327</f>
        <v>0</v>
      </c>
      <c r="Q354" s="2">
        <f t="shared" si="549"/>
        <v>488700</v>
      </c>
      <c r="R354" s="2">
        <f t="shared" ref="R354:S354" si="550">R327</f>
        <v>0</v>
      </c>
      <c r="S354" s="2">
        <f t="shared" si="550"/>
        <v>488700</v>
      </c>
    </row>
    <row r="355" spans="2:19" s="72" customFormat="1" x14ac:dyDescent="0.25">
      <c r="B355" s="6"/>
      <c r="C355" s="6"/>
      <c r="D355" s="15" t="s">
        <v>612</v>
      </c>
      <c r="E355" s="15"/>
      <c r="F355" s="1"/>
      <c r="G355" s="218"/>
      <c r="H355" s="218"/>
      <c r="I355" s="1" t="s">
        <v>435</v>
      </c>
      <c r="J355" s="218"/>
      <c r="K355" s="2">
        <f t="shared" ref="K355:Q355" si="551">K319+K261+K188+K11</f>
        <v>21586900</v>
      </c>
      <c r="L355" s="2">
        <f t="shared" si="551"/>
        <v>0</v>
      </c>
      <c r="M355" s="2">
        <f t="shared" si="551"/>
        <v>21586900</v>
      </c>
      <c r="N355" s="2">
        <f t="shared" si="551"/>
        <v>0</v>
      </c>
      <c r="O355" s="2">
        <f t="shared" si="551"/>
        <v>21586900</v>
      </c>
      <c r="P355" s="2">
        <f t="shared" si="551"/>
        <v>0</v>
      </c>
      <c r="Q355" s="2">
        <f t="shared" si="551"/>
        <v>21586900</v>
      </c>
      <c r="R355" s="2">
        <f t="shared" ref="R355:S355" si="552">R319+R261+R188+R11</f>
        <v>0</v>
      </c>
      <c r="S355" s="2">
        <f t="shared" si="552"/>
        <v>21586900</v>
      </c>
    </row>
    <row r="356" spans="2:19" s="72" customFormat="1" x14ac:dyDescent="0.25">
      <c r="B356" s="6"/>
      <c r="C356" s="6"/>
      <c r="D356" s="15" t="s">
        <v>612</v>
      </c>
      <c r="E356" s="15"/>
      <c r="F356" s="1"/>
      <c r="G356" s="218"/>
      <c r="H356" s="218"/>
      <c r="I356" s="1" t="s">
        <v>654</v>
      </c>
      <c r="J356" s="218"/>
      <c r="K356" s="2">
        <f>K303</f>
        <v>0</v>
      </c>
      <c r="L356" s="2">
        <f t="shared" ref="L356:S356" si="553">L303</f>
        <v>0</v>
      </c>
      <c r="M356" s="2">
        <f t="shared" si="553"/>
        <v>0</v>
      </c>
      <c r="N356" s="2">
        <f t="shared" si="553"/>
        <v>0</v>
      </c>
      <c r="O356" s="2">
        <f t="shared" si="553"/>
        <v>0</v>
      </c>
      <c r="P356" s="2">
        <f t="shared" si="553"/>
        <v>25600</v>
      </c>
      <c r="Q356" s="2">
        <f t="shared" si="553"/>
        <v>25600</v>
      </c>
      <c r="R356" s="2">
        <f t="shared" si="553"/>
        <v>0</v>
      </c>
      <c r="S356" s="2">
        <f t="shared" si="553"/>
        <v>25600</v>
      </c>
    </row>
    <row r="357" spans="2:19" s="72" customFormat="1" x14ac:dyDescent="0.25">
      <c r="B357" s="6"/>
      <c r="C357" s="6"/>
      <c r="D357" s="15" t="s">
        <v>612</v>
      </c>
      <c r="E357" s="15"/>
      <c r="F357" s="1"/>
      <c r="G357" s="218"/>
      <c r="H357" s="218"/>
      <c r="I357" s="1" t="s">
        <v>245</v>
      </c>
      <c r="J357" s="218"/>
      <c r="K357" s="2">
        <f>K306</f>
        <v>200000</v>
      </c>
      <c r="L357" s="2">
        <f t="shared" ref="L357:O357" si="554">L306</f>
        <v>0</v>
      </c>
      <c r="M357" s="2">
        <f t="shared" si="554"/>
        <v>200000</v>
      </c>
      <c r="N357" s="2">
        <f t="shared" si="554"/>
        <v>0</v>
      </c>
      <c r="O357" s="2">
        <f t="shared" si="554"/>
        <v>200000</v>
      </c>
      <c r="P357" s="2">
        <f t="shared" ref="P357:Q357" si="555">P306</f>
        <v>0</v>
      </c>
      <c r="Q357" s="2">
        <f t="shared" si="555"/>
        <v>200000</v>
      </c>
      <c r="R357" s="2">
        <f t="shared" ref="R357:S357" si="556">R306</f>
        <v>0</v>
      </c>
      <c r="S357" s="2">
        <f t="shared" si="556"/>
        <v>200000</v>
      </c>
    </row>
    <row r="358" spans="2:19" s="72" customFormat="1" x14ac:dyDescent="0.25">
      <c r="B358" s="6"/>
      <c r="C358" s="6"/>
      <c r="D358" s="15" t="s">
        <v>613</v>
      </c>
      <c r="E358" s="15"/>
      <c r="F358" s="1"/>
      <c r="G358" s="218"/>
      <c r="H358" s="218"/>
      <c r="I358" s="1" t="s">
        <v>488</v>
      </c>
      <c r="J358" s="218"/>
      <c r="K358" s="2">
        <f>K332</f>
        <v>18000</v>
      </c>
      <c r="L358" s="2">
        <f t="shared" ref="L358:O358" si="557">L332</f>
        <v>0</v>
      </c>
      <c r="M358" s="2">
        <f t="shared" si="557"/>
        <v>18000</v>
      </c>
      <c r="N358" s="2">
        <f t="shared" si="557"/>
        <v>0</v>
      </c>
      <c r="O358" s="2">
        <f t="shared" si="557"/>
        <v>18000</v>
      </c>
      <c r="P358" s="2">
        <f t="shared" ref="P358:Q358" si="558">P332</f>
        <v>0</v>
      </c>
      <c r="Q358" s="2">
        <f t="shared" si="558"/>
        <v>18000</v>
      </c>
      <c r="R358" s="2">
        <f t="shared" ref="R358:S358" si="559">R332</f>
        <v>0</v>
      </c>
      <c r="S358" s="2">
        <f t="shared" si="559"/>
        <v>18000</v>
      </c>
    </row>
    <row r="359" spans="2:19" s="72" customFormat="1" x14ac:dyDescent="0.25">
      <c r="B359" s="6"/>
      <c r="C359" s="6"/>
      <c r="D359" s="15" t="s">
        <v>613</v>
      </c>
      <c r="E359" s="15"/>
      <c r="F359" s="1"/>
      <c r="G359" s="218"/>
      <c r="H359" s="218"/>
      <c r="I359" s="1" t="s">
        <v>484</v>
      </c>
      <c r="J359" s="218"/>
      <c r="K359" s="2">
        <f t="shared" ref="K359:Q359" si="560">K20</f>
        <v>2500</v>
      </c>
      <c r="L359" s="2">
        <f t="shared" si="560"/>
        <v>0</v>
      </c>
      <c r="M359" s="2">
        <f t="shared" si="560"/>
        <v>2500</v>
      </c>
      <c r="N359" s="2">
        <f t="shared" si="560"/>
        <v>0</v>
      </c>
      <c r="O359" s="2">
        <f t="shared" si="560"/>
        <v>2500</v>
      </c>
      <c r="P359" s="2">
        <f t="shared" si="560"/>
        <v>0</v>
      </c>
      <c r="Q359" s="2">
        <f t="shared" si="560"/>
        <v>2500</v>
      </c>
      <c r="R359" s="2">
        <f t="shared" ref="R359:S359" si="561">R20</f>
        <v>0</v>
      </c>
      <c r="S359" s="2">
        <f t="shared" si="561"/>
        <v>2500</v>
      </c>
    </row>
    <row r="360" spans="2:19" s="72" customFormat="1" x14ac:dyDescent="0.25">
      <c r="B360" s="6"/>
      <c r="C360" s="6"/>
      <c r="D360" s="15" t="s">
        <v>612</v>
      </c>
      <c r="E360" s="15"/>
      <c r="F360" s="1"/>
      <c r="G360" s="218"/>
      <c r="H360" s="218"/>
      <c r="I360" s="1" t="s">
        <v>221</v>
      </c>
      <c r="J360" s="218"/>
      <c r="K360" s="2">
        <f t="shared" ref="K360:Q360" si="562">K119</f>
        <v>2580900</v>
      </c>
      <c r="L360" s="2">
        <f t="shared" si="562"/>
        <v>0</v>
      </c>
      <c r="M360" s="2">
        <f t="shared" si="562"/>
        <v>2580900</v>
      </c>
      <c r="N360" s="2">
        <f t="shared" si="562"/>
        <v>0</v>
      </c>
      <c r="O360" s="2">
        <f t="shared" si="562"/>
        <v>2580900</v>
      </c>
      <c r="P360" s="2">
        <f t="shared" si="562"/>
        <v>11130</v>
      </c>
      <c r="Q360" s="2">
        <f t="shared" si="562"/>
        <v>2592030</v>
      </c>
      <c r="R360" s="2">
        <f t="shared" ref="R360:S360" si="563">R119</f>
        <v>-11130</v>
      </c>
      <c r="S360" s="2">
        <f t="shared" si="563"/>
        <v>2580900</v>
      </c>
    </row>
    <row r="361" spans="2:19" s="72" customFormat="1" x14ac:dyDescent="0.25">
      <c r="B361" s="6"/>
      <c r="C361" s="6"/>
      <c r="D361" s="15" t="s">
        <v>612</v>
      </c>
      <c r="E361" s="15"/>
      <c r="F361" s="1"/>
      <c r="G361" s="218"/>
      <c r="H361" s="218"/>
      <c r="I361" s="1" t="s">
        <v>608</v>
      </c>
      <c r="J361" s="218"/>
      <c r="K361" s="2">
        <f t="shared" ref="K361:Q361" si="564">K122</f>
        <v>157900</v>
      </c>
      <c r="L361" s="2">
        <f t="shared" si="564"/>
        <v>0</v>
      </c>
      <c r="M361" s="2">
        <f t="shared" si="564"/>
        <v>157900</v>
      </c>
      <c r="N361" s="2">
        <f t="shared" si="564"/>
        <v>0</v>
      </c>
      <c r="O361" s="2">
        <f t="shared" si="564"/>
        <v>157900</v>
      </c>
      <c r="P361" s="2">
        <f t="shared" si="564"/>
        <v>0</v>
      </c>
      <c r="Q361" s="2">
        <f t="shared" si="564"/>
        <v>157900</v>
      </c>
      <c r="R361" s="2">
        <f t="shared" ref="R361:S361" si="565">R122</f>
        <v>0</v>
      </c>
      <c r="S361" s="2">
        <f t="shared" si="565"/>
        <v>157900</v>
      </c>
    </row>
    <row r="362" spans="2:19" s="72" customFormat="1" x14ac:dyDescent="0.25">
      <c r="B362" s="6"/>
      <c r="C362" s="6"/>
      <c r="D362" s="15" t="s">
        <v>614</v>
      </c>
      <c r="E362" s="15"/>
      <c r="F362" s="1"/>
      <c r="G362" s="218"/>
      <c r="H362" s="218"/>
      <c r="I362" s="1" t="s">
        <v>609</v>
      </c>
      <c r="J362" s="218"/>
      <c r="K362" s="2">
        <f t="shared" ref="K362:Q362" si="566">K125</f>
        <v>8947680</v>
      </c>
      <c r="L362" s="2">
        <f t="shared" si="566"/>
        <v>0</v>
      </c>
      <c r="M362" s="2">
        <f t="shared" si="566"/>
        <v>8947680</v>
      </c>
      <c r="N362" s="2">
        <f t="shared" si="566"/>
        <v>0</v>
      </c>
      <c r="O362" s="2">
        <f t="shared" si="566"/>
        <v>8947680</v>
      </c>
      <c r="P362" s="2">
        <f t="shared" si="566"/>
        <v>20795</v>
      </c>
      <c r="Q362" s="2">
        <f t="shared" si="566"/>
        <v>8968475</v>
      </c>
      <c r="R362" s="2">
        <f t="shared" ref="R362:S362" si="567">R125</f>
        <v>-51675</v>
      </c>
      <c r="S362" s="2">
        <f t="shared" si="567"/>
        <v>8916800</v>
      </c>
    </row>
    <row r="363" spans="2:19" s="72" customFormat="1" x14ac:dyDescent="0.25">
      <c r="B363" s="6"/>
      <c r="C363" s="6"/>
      <c r="D363" s="15" t="s">
        <v>613</v>
      </c>
      <c r="E363" s="15"/>
      <c r="F363" s="1"/>
      <c r="G363" s="218"/>
      <c r="H363" s="218"/>
      <c r="I363" s="1" t="s">
        <v>610</v>
      </c>
      <c r="J363" s="218"/>
      <c r="K363" s="2">
        <f t="shared" ref="K363:Q363" si="568">K128</f>
        <v>2860620</v>
      </c>
      <c r="L363" s="2">
        <f t="shared" si="568"/>
        <v>0</v>
      </c>
      <c r="M363" s="2">
        <f t="shared" si="568"/>
        <v>2860620</v>
      </c>
      <c r="N363" s="2">
        <f t="shared" si="568"/>
        <v>0</v>
      </c>
      <c r="O363" s="2">
        <f t="shared" si="568"/>
        <v>2860620</v>
      </c>
      <c r="P363" s="2">
        <f t="shared" si="568"/>
        <v>-8745</v>
      </c>
      <c r="Q363" s="2">
        <f t="shared" si="568"/>
        <v>2851875</v>
      </c>
      <c r="R363" s="2">
        <f t="shared" ref="R363:S363" si="569">R128</f>
        <v>-35775</v>
      </c>
      <c r="S363" s="2">
        <f t="shared" si="569"/>
        <v>2816100</v>
      </c>
    </row>
    <row r="364" spans="2:19" s="72" customFormat="1" x14ac:dyDescent="0.25">
      <c r="B364" s="6"/>
      <c r="C364" s="6"/>
      <c r="D364" s="15" t="s">
        <v>612</v>
      </c>
      <c r="E364" s="15"/>
      <c r="F364" s="1"/>
      <c r="G364" s="218"/>
      <c r="H364" s="218"/>
      <c r="I364" s="1" t="s">
        <v>231</v>
      </c>
      <c r="J364" s="218"/>
      <c r="K364" s="2">
        <f t="shared" ref="K364:Q364" si="570">K191</f>
        <v>11495900</v>
      </c>
      <c r="L364" s="2">
        <f t="shared" si="570"/>
        <v>0</v>
      </c>
      <c r="M364" s="2">
        <f t="shared" si="570"/>
        <v>11495900</v>
      </c>
      <c r="N364" s="2">
        <f t="shared" si="570"/>
        <v>0</v>
      </c>
      <c r="O364" s="2">
        <f t="shared" si="570"/>
        <v>11495900</v>
      </c>
      <c r="P364" s="2">
        <f t="shared" si="570"/>
        <v>0</v>
      </c>
      <c r="Q364" s="2">
        <f t="shared" si="570"/>
        <v>11495900</v>
      </c>
      <c r="R364" s="2">
        <f t="shared" ref="R364:S364" si="571">R191</f>
        <v>1176182</v>
      </c>
      <c r="S364" s="2">
        <f t="shared" si="571"/>
        <v>12672082</v>
      </c>
    </row>
    <row r="365" spans="2:19" s="72" customFormat="1" x14ac:dyDescent="0.25">
      <c r="B365" s="6"/>
      <c r="C365" s="6"/>
      <c r="D365" s="15" t="s">
        <v>612</v>
      </c>
      <c r="E365" s="15"/>
      <c r="F365" s="1"/>
      <c r="G365" s="218"/>
      <c r="H365" s="218"/>
      <c r="I365" s="1" t="s">
        <v>232</v>
      </c>
      <c r="J365" s="218"/>
      <c r="K365" s="2">
        <f t="shared" ref="K365:Q365" si="572">K194</f>
        <v>13985000</v>
      </c>
      <c r="L365" s="2">
        <f t="shared" si="572"/>
        <v>0</v>
      </c>
      <c r="M365" s="2">
        <f t="shared" si="572"/>
        <v>13985000</v>
      </c>
      <c r="N365" s="2">
        <f t="shared" si="572"/>
        <v>-49248</v>
      </c>
      <c r="O365" s="2">
        <f t="shared" si="572"/>
        <v>13935752</v>
      </c>
      <c r="P365" s="2">
        <f t="shared" si="572"/>
        <v>0</v>
      </c>
      <c r="Q365" s="2">
        <f t="shared" si="572"/>
        <v>13935752</v>
      </c>
      <c r="R365" s="2">
        <f t="shared" ref="R365:S365" si="573">R194</f>
        <v>0</v>
      </c>
      <c r="S365" s="2">
        <f t="shared" si="573"/>
        <v>13935752</v>
      </c>
    </row>
    <row r="366" spans="2:19" s="72" customFormat="1" x14ac:dyDescent="0.25">
      <c r="B366" s="6"/>
      <c r="C366" s="6"/>
      <c r="D366" s="15" t="s">
        <v>612</v>
      </c>
      <c r="E366" s="15"/>
      <c r="F366" s="1"/>
      <c r="G366" s="218"/>
      <c r="H366" s="218"/>
      <c r="I366" s="1" t="s">
        <v>233</v>
      </c>
      <c r="J366" s="218"/>
      <c r="K366" s="2">
        <f t="shared" ref="K366:Q366" si="574">K197</f>
        <v>8331600</v>
      </c>
      <c r="L366" s="2">
        <f t="shared" si="574"/>
        <v>0</v>
      </c>
      <c r="M366" s="2">
        <f t="shared" si="574"/>
        <v>8331600</v>
      </c>
      <c r="N366" s="2">
        <f t="shared" si="574"/>
        <v>0</v>
      </c>
      <c r="O366" s="2">
        <f t="shared" si="574"/>
        <v>8331600</v>
      </c>
      <c r="P366" s="2">
        <f t="shared" si="574"/>
        <v>0</v>
      </c>
      <c r="Q366" s="2">
        <f t="shared" si="574"/>
        <v>8331600</v>
      </c>
      <c r="R366" s="2">
        <f t="shared" ref="R366:S366" si="575">R197</f>
        <v>-329104</v>
      </c>
      <c r="S366" s="2">
        <f t="shared" si="575"/>
        <v>8002496</v>
      </c>
    </row>
    <row r="367" spans="2:19" s="72" customFormat="1" x14ac:dyDescent="0.25">
      <c r="B367" s="6"/>
      <c r="C367" s="6"/>
      <c r="D367" s="15" t="s">
        <v>612</v>
      </c>
      <c r="E367" s="15"/>
      <c r="F367" s="1"/>
      <c r="G367" s="218"/>
      <c r="H367" s="218"/>
      <c r="I367" s="1" t="s">
        <v>236</v>
      </c>
      <c r="J367" s="218"/>
      <c r="K367" s="2">
        <f t="shared" ref="K367:Q367" si="576">K200</f>
        <v>9831800</v>
      </c>
      <c r="L367" s="2">
        <f t="shared" si="576"/>
        <v>0</v>
      </c>
      <c r="M367" s="2">
        <f t="shared" si="576"/>
        <v>9831800</v>
      </c>
      <c r="N367" s="2">
        <f t="shared" si="576"/>
        <v>57314</v>
      </c>
      <c r="O367" s="2">
        <f t="shared" si="576"/>
        <v>9889114</v>
      </c>
      <c r="P367" s="2">
        <f t="shared" si="576"/>
        <v>0</v>
      </c>
      <c r="Q367" s="2">
        <f t="shared" si="576"/>
        <v>9889114</v>
      </c>
      <c r="R367" s="2">
        <f t="shared" ref="R367:S367" si="577">R200</f>
        <v>384100</v>
      </c>
      <c r="S367" s="2">
        <f t="shared" si="577"/>
        <v>10273214</v>
      </c>
    </row>
    <row r="368" spans="2:19" s="72" customFormat="1" x14ac:dyDescent="0.25">
      <c r="B368" s="6"/>
      <c r="C368" s="6"/>
      <c r="D368" s="15" t="s">
        <v>590</v>
      </c>
      <c r="E368" s="15"/>
      <c r="F368" s="1"/>
      <c r="G368" s="218"/>
      <c r="H368" s="218"/>
      <c r="I368" s="1" t="s">
        <v>595</v>
      </c>
      <c r="J368" s="218"/>
      <c r="K368" s="2">
        <f t="shared" ref="K368:Q368" si="578">K23</f>
        <v>0</v>
      </c>
      <c r="L368" s="2">
        <f t="shared" si="578"/>
        <v>4802500</v>
      </c>
      <c r="M368" s="2">
        <f t="shared" si="578"/>
        <v>4802500</v>
      </c>
      <c r="N368" s="2">
        <f t="shared" si="578"/>
        <v>0</v>
      </c>
      <c r="O368" s="2">
        <f t="shared" si="578"/>
        <v>4802500</v>
      </c>
      <c r="P368" s="2">
        <f t="shared" si="578"/>
        <v>-4017500</v>
      </c>
      <c r="Q368" s="2">
        <f t="shared" si="578"/>
        <v>785000</v>
      </c>
      <c r="R368" s="2">
        <f t="shared" ref="R368:S368" si="579">R23</f>
        <v>11500000</v>
      </c>
      <c r="S368" s="2">
        <f t="shared" si="579"/>
        <v>12285000</v>
      </c>
    </row>
    <row r="369" spans="2:19" s="72" customFormat="1" x14ac:dyDescent="0.25">
      <c r="B369" s="6"/>
      <c r="C369" s="6"/>
      <c r="D369" s="15" t="s">
        <v>612</v>
      </c>
      <c r="E369" s="15"/>
      <c r="F369" s="1"/>
      <c r="G369" s="218"/>
      <c r="H369" s="218"/>
      <c r="I369" s="1" t="s">
        <v>224</v>
      </c>
      <c r="J369" s="218"/>
      <c r="K369" s="2">
        <f t="shared" ref="K369:Q369" si="580">K149</f>
        <v>15000</v>
      </c>
      <c r="L369" s="2">
        <f t="shared" si="580"/>
        <v>0</v>
      </c>
      <c r="M369" s="2">
        <f t="shared" si="580"/>
        <v>15000</v>
      </c>
      <c r="N369" s="2">
        <f t="shared" si="580"/>
        <v>0</v>
      </c>
      <c r="O369" s="2">
        <f t="shared" si="580"/>
        <v>15000</v>
      </c>
      <c r="P369" s="2">
        <f t="shared" si="580"/>
        <v>0</v>
      </c>
      <c r="Q369" s="2">
        <f t="shared" si="580"/>
        <v>15000</v>
      </c>
      <c r="R369" s="2">
        <f t="shared" ref="R369:S369" si="581">R149</f>
        <v>0</v>
      </c>
      <c r="S369" s="2">
        <f t="shared" si="581"/>
        <v>15000</v>
      </c>
    </row>
    <row r="370" spans="2:19" s="72" customFormat="1" x14ac:dyDescent="0.25">
      <c r="B370" s="6"/>
      <c r="C370" s="6"/>
      <c r="D370" s="15" t="s">
        <v>612</v>
      </c>
      <c r="E370" s="15"/>
      <c r="F370" s="1"/>
      <c r="G370" s="218"/>
      <c r="H370" s="218"/>
      <c r="I370" s="1" t="s">
        <v>622</v>
      </c>
      <c r="J370" s="218"/>
      <c r="K370" s="2">
        <f t="shared" ref="K370:Q370" si="582">K26</f>
        <v>0</v>
      </c>
      <c r="L370" s="2">
        <f t="shared" si="582"/>
        <v>0</v>
      </c>
      <c r="M370" s="2">
        <f t="shared" si="582"/>
        <v>0</v>
      </c>
      <c r="N370" s="2">
        <f t="shared" si="582"/>
        <v>700000</v>
      </c>
      <c r="O370" s="2">
        <f t="shared" si="582"/>
        <v>700000</v>
      </c>
      <c r="P370" s="2">
        <f t="shared" si="582"/>
        <v>0</v>
      </c>
      <c r="Q370" s="2">
        <f t="shared" si="582"/>
        <v>700000</v>
      </c>
      <c r="R370" s="2">
        <f t="shared" ref="R370:S370" si="583">R26</f>
        <v>0</v>
      </c>
      <c r="S370" s="2">
        <f t="shared" si="583"/>
        <v>700000</v>
      </c>
    </row>
    <row r="371" spans="2:19" s="72" customFormat="1" x14ac:dyDescent="0.25">
      <c r="B371" s="6"/>
      <c r="C371" s="6"/>
      <c r="D371" s="15" t="s">
        <v>612</v>
      </c>
      <c r="E371" s="15"/>
      <c r="F371" s="1"/>
      <c r="G371" s="218"/>
      <c r="H371" s="218"/>
      <c r="I371" s="18" t="s">
        <v>215</v>
      </c>
      <c r="J371" s="218"/>
      <c r="K371" s="2">
        <f t="shared" ref="K371:Q371" si="584">K29</f>
        <v>1332400</v>
      </c>
      <c r="L371" s="2">
        <f t="shared" si="584"/>
        <v>10900</v>
      </c>
      <c r="M371" s="2">
        <f t="shared" si="584"/>
        <v>1343300</v>
      </c>
      <c r="N371" s="2">
        <f t="shared" si="584"/>
        <v>0</v>
      </c>
      <c r="O371" s="2">
        <f t="shared" si="584"/>
        <v>1343300</v>
      </c>
      <c r="P371" s="2">
        <f t="shared" si="584"/>
        <v>0</v>
      </c>
      <c r="Q371" s="2">
        <f t="shared" si="584"/>
        <v>1343300</v>
      </c>
      <c r="R371" s="2">
        <f t="shared" ref="R371:S371" si="585">R29</f>
        <v>0</v>
      </c>
      <c r="S371" s="2">
        <f t="shared" si="585"/>
        <v>1343300</v>
      </c>
    </row>
    <row r="372" spans="2:19" s="72" customFormat="1" x14ac:dyDescent="0.25">
      <c r="B372" s="6"/>
      <c r="C372" s="6"/>
      <c r="D372" s="15" t="s">
        <v>590</v>
      </c>
      <c r="E372" s="15"/>
      <c r="F372" s="1"/>
      <c r="G372" s="218"/>
      <c r="H372" s="218"/>
      <c r="I372" s="1" t="s">
        <v>210</v>
      </c>
      <c r="J372" s="218"/>
      <c r="K372" s="2">
        <f t="shared" ref="K372:Q372" si="586">K34+K210+K269</f>
        <v>851700</v>
      </c>
      <c r="L372" s="2">
        <f t="shared" si="586"/>
        <v>0</v>
      </c>
      <c r="M372" s="2">
        <f t="shared" si="586"/>
        <v>851700</v>
      </c>
      <c r="N372" s="2">
        <f t="shared" si="586"/>
        <v>-59619</v>
      </c>
      <c r="O372" s="2">
        <f t="shared" si="586"/>
        <v>792081</v>
      </c>
      <c r="P372" s="2">
        <f t="shared" si="586"/>
        <v>0</v>
      </c>
      <c r="Q372" s="2">
        <f t="shared" si="586"/>
        <v>792081</v>
      </c>
      <c r="R372" s="2">
        <f t="shared" ref="R372:S372" si="587">R34+R210+R269</f>
        <v>0</v>
      </c>
      <c r="S372" s="2">
        <f t="shared" si="587"/>
        <v>792081</v>
      </c>
    </row>
    <row r="373" spans="2:19" s="72" customFormat="1" x14ac:dyDescent="0.25">
      <c r="B373" s="6"/>
      <c r="C373" s="6"/>
      <c r="D373" s="15" t="s">
        <v>590</v>
      </c>
      <c r="E373" s="15"/>
      <c r="F373" s="1"/>
      <c r="G373" s="1"/>
      <c r="H373" s="1"/>
      <c r="I373" s="1" t="s">
        <v>487</v>
      </c>
      <c r="J373" s="218"/>
      <c r="K373" s="2">
        <f t="shared" ref="K373:Q373" si="588">K39</f>
        <v>11140</v>
      </c>
      <c r="L373" s="2">
        <f t="shared" si="588"/>
        <v>0</v>
      </c>
      <c r="M373" s="2">
        <f t="shared" si="588"/>
        <v>11140</v>
      </c>
      <c r="N373" s="2">
        <f t="shared" si="588"/>
        <v>0</v>
      </c>
      <c r="O373" s="2">
        <f t="shared" si="588"/>
        <v>11140</v>
      </c>
      <c r="P373" s="2">
        <f t="shared" si="588"/>
        <v>0</v>
      </c>
      <c r="Q373" s="2">
        <f t="shared" si="588"/>
        <v>11140</v>
      </c>
      <c r="R373" s="2">
        <f t="shared" ref="R373:S373" si="589">R39</f>
        <v>0</v>
      </c>
      <c r="S373" s="2">
        <f t="shared" si="589"/>
        <v>11140</v>
      </c>
    </row>
    <row r="374" spans="2:19" s="72" customFormat="1" x14ac:dyDescent="0.25">
      <c r="B374" s="6"/>
      <c r="C374" s="6"/>
      <c r="D374" s="15" t="s">
        <v>590</v>
      </c>
      <c r="E374" s="15"/>
      <c r="F374" s="1"/>
      <c r="G374" s="1"/>
      <c r="H374" s="1"/>
      <c r="I374" s="1" t="s">
        <v>220</v>
      </c>
      <c r="J374" s="218"/>
      <c r="K374" s="2">
        <f t="shared" ref="K374:Q374" si="590">K132+K272</f>
        <v>104940</v>
      </c>
      <c r="L374" s="2">
        <f t="shared" si="590"/>
        <v>0</v>
      </c>
      <c r="M374" s="2">
        <f t="shared" si="590"/>
        <v>104940</v>
      </c>
      <c r="N374" s="2">
        <f t="shared" si="590"/>
        <v>0</v>
      </c>
      <c r="O374" s="2">
        <f t="shared" si="590"/>
        <v>104940</v>
      </c>
      <c r="P374" s="2">
        <f t="shared" si="590"/>
        <v>-11130</v>
      </c>
      <c r="Q374" s="2">
        <f t="shared" si="590"/>
        <v>93810</v>
      </c>
      <c r="R374" s="2">
        <f t="shared" ref="R374:S374" si="591">R132+R272</f>
        <v>98580</v>
      </c>
      <c r="S374" s="2">
        <f t="shared" si="591"/>
        <v>192390</v>
      </c>
    </row>
    <row r="375" spans="2:19" s="72" customFormat="1" x14ac:dyDescent="0.25">
      <c r="B375" s="6"/>
      <c r="C375" s="6"/>
      <c r="D375" s="15" t="s">
        <v>590</v>
      </c>
      <c r="E375" s="15"/>
      <c r="F375" s="1"/>
      <c r="G375" s="1"/>
      <c r="H375" s="1"/>
      <c r="I375" s="1" t="s">
        <v>234</v>
      </c>
      <c r="J375" s="218"/>
      <c r="K375" s="2">
        <f t="shared" ref="K375:Q375" si="592">K215</f>
        <v>66777336</v>
      </c>
      <c r="L375" s="2">
        <f t="shared" si="592"/>
        <v>0</v>
      </c>
      <c r="M375" s="2">
        <f t="shared" si="592"/>
        <v>66777336</v>
      </c>
      <c r="N375" s="2">
        <f t="shared" si="592"/>
        <v>0</v>
      </c>
      <c r="O375" s="2">
        <f t="shared" si="592"/>
        <v>66777336</v>
      </c>
      <c r="P375" s="2">
        <f t="shared" si="592"/>
        <v>0</v>
      </c>
      <c r="Q375" s="2">
        <f t="shared" si="592"/>
        <v>66777336</v>
      </c>
      <c r="R375" s="2">
        <f t="shared" ref="R375:S375" si="593">R215</f>
        <v>0</v>
      </c>
      <c r="S375" s="2">
        <f t="shared" si="593"/>
        <v>66777336</v>
      </c>
    </row>
    <row r="376" spans="2:19" s="72" customFormat="1" x14ac:dyDescent="0.25">
      <c r="B376" s="6"/>
      <c r="C376" s="6"/>
      <c r="D376" s="15" t="s">
        <v>590</v>
      </c>
      <c r="E376" s="15"/>
      <c r="F376" s="1"/>
      <c r="G376" s="1"/>
      <c r="H376" s="1"/>
      <c r="I376" s="1" t="s">
        <v>229</v>
      </c>
      <c r="J376" s="218"/>
      <c r="K376" s="2">
        <f t="shared" ref="K376:Q376" si="594">K218</f>
        <v>21495027</v>
      </c>
      <c r="L376" s="2">
        <f t="shared" si="594"/>
        <v>0</v>
      </c>
      <c r="M376" s="2">
        <f t="shared" si="594"/>
        <v>21495027</v>
      </c>
      <c r="N376" s="2">
        <f t="shared" si="594"/>
        <v>0</v>
      </c>
      <c r="O376" s="2">
        <f t="shared" si="594"/>
        <v>21495027</v>
      </c>
      <c r="P376" s="2">
        <f t="shared" si="594"/>
        <v>0</v>
      </c>
      <c r="Q376" s="2">
        <f t="shared" si="594"/>
        <v>21495027</v>
      </c>
      <c r="R376" s="2">
        <f t="shared" ref="R376:S376" si="595">R218</f>
        <v>0</v>
      </c>
      <c r="S376" s="2">
        <f t="shared" si="595"/>
        <v>21495027</v>
      </c>
    </row>
    <row r="377" spans="2:19" s="72" customFormat="1" x14ac:dyDescent="0.25">
      <c r="B377" s="6"/>
      <c r="C377" s="6"/>
      <c r="D377" s="15" t="s">
        <v>590</v>
      </c>
      <c r="E377" s="15"/>
      <c r="F377" s="1"/>
      <c r="G377" s="1"/>
      <c r="H377" s="1"/>
      <c r="I377" s="1" t="s">
        <v>604</v>
      </c>
      <c r="J377" s="218"/>
      <c r="K377" s="2">
        <f t="shared" ref="K377:Q377" si="596">K221</f>
        <v>0</v>
      </c>
      <c r="L377" s="2">
        <f t="shared" si="596"/>
        <v>0</v>
      </c>
      <c r="M377" s="2">
        <f t="shared" si="596"/>
        <v>0</v>
      </c>
      <c r="N377" s="2">
        <f t="shared" si="596"/>
        <v>808050</v>
      </c>
      <c r="O377" s="2">
        <f t="shared" si="596"/>
        <v>808050</v>
      </c>
      <c r="P377" s="2">
        <f t="shared" si="596"/>
        <v>0</v>
      </c>
      <c r="Q377" s="2">
        <f t="shared" si="596"/>
        <v>808050</v>
      </c>
      <c r="R377" s="2">
        <f t="shared" ref="R377:S377" si="597">R221</f>
        <v>0</v>
      </c>
      <c r="S377" s="2">
        <f t="shared" si="597"/>
        <v>808050</v>
      </c>
    </row>
    <row r="378" spans="2:19" s="72" customFormat="1" x14ac:dyDescent="0.25">
      <c r="B378" s="6"/>
      <c r="C378" s="6"/>
      <c r="D378" s="15" t="s">
        <v>590</v>
      </c>
      <c r="E378" s="15"/>
      <c r="F378" s="1"/>
      <c r="G378" s="1"/>
      <c r="H378" s="1"/>
      <c r="I378" s="1" t="s">
        <v>230</v>
      </c>
      <c r="J378" s="218"/>
      <c r="K378" s="2">
        <f t="shared" ref="K378:Q378" si="598">K224</f>
        <v>4690260</v>
      </c>
      <c r="L378" s="2">
        <f t="shared" si="598"/>
        <v>0</v>
      </c>
      <c r="M378" s="2">
        <f t="shared" si="598"/>
        <v>4690260</v>
      </c>
      <c r="N378" s="2">
        <f t="shared" si="598"/>
        <v>0</v>
      </c>
      <c r="O378" s="2">
        <f t="shared" si="598"/>
        <v>4690260</v>
      </c>
      <c r="P378" s="2">
        <f t="shared" si="598"/>
        <v>0</v>
      </c>
      <c r="Q378" s="2">
        <f t="shared" si="598"/>
        <v>4690260</v>
      </c>
      <c r="R378" s="2">
        <f t="shared" ref="R378:S378" si="599">R224</f>
        <v>0</v>
      </c>
      <c r="S378" s="2">
        <f t="shared" si="599"/>
        <v>4690260</v>
      </c>
    </row>
    <row r="379" spans="2:19" s="72" customFormat="1" x14ac:dyDescent="0.25">
      <c r="B379" s="6"/>
      <c r="C379" s="6"/>
      <c r="D379" s="15" t="s">
        <v>590</v>
      </c>
      <c r="E379" s="15"/>
      <c r="F379" s="1"/>
      <c r="G379" s="1"/>
      <c r="H379" s="1"/>
      <c r="I379" s="1" t="s">
        <v>239</v>
      </c>
      <c r="J379" s="218"/>
      <c r="K379" s="2">
        <f t="shared" ref="K379:Q379" si="600">K229</f>
        <v>836736</v>
      </c>
      <c r="L379" s="2">
        <f t="shared" si="600"/>
        <v>0</v>
      </c>
      <c r="M379" s="2">
        <f t="shared" si="600"/>
        <v>836736</v>
      </c>
      <c r="N379" s="2">
        <f t="shared" si="600"/>
        <v>249959</v>
      </c>
      <c r="O379" s="2">
        <f t="shared" si="600"/>
        <v>1086695</v>
      </c>
      <c r="P379" s="2">
        <f t="shared" si="600"/>
        <v>0</v>
      </c>
      <c r="Q379" s="2">
        <f t="shared" si="600"/>
        <v>1086695</v>
      </c>
      <c r="R379" s="2">
        <f t="shared" ref="R379:S379" si="601">R229</f>
        <v>0</v>
      </c>
      <c r="S379" s="2">
        <f t="shared" si="601"/>
        <v>1086695</v>
      </c>
    </row>
    <row r="380" spans="2:19" s="72" customFormat="1" x14ac:dyDescent="0.25">
      <c r="B380" s="6"/>
      <c r="C380" s="6"/>
      <c r="D380" s="15" t="s">
        <v>590</v>
      </c>
      <c r="E380" s="15"/>
      <c r="F380" s="1"/>
      <c r="G380" s="1"/>
      <c r="H380" s="1"/>
      <c r="I380" s="1" t="s">
        <v>655</v>
      </c>
      <c r="J380" s="218"/>
      <c r="K380" s="2"/>
      <c r="L380" s="2"/>
      <c r="M380" s="2"/>
      <c r="N380" s="2"/>
      <c r="O380" s="2">
        <f>O232</f>
        <v>0</v>
      </c>
      <c r="P380" s="2">
        <f t="shared" ref="P380:Q380" si="602">P232</f>
        <v>247500</v>
      </c>
      <c r="Q380" s="2">
        <f t="shared" si="602"/>
        <v>247500</v>
      </c>
      <c r="R380" s="2">
        <f t="shared" ref="R380:S380" si="603">R232</f>
        <v>0</v>
      </c>
      <c r="S380" s="2">
        <f t="shared" si="603"/>
        <v>247500</v>
      </c>
    </row>
    <row r="381" spans="2:19" s="72" customFormat="1" x14ac:dyDescent="0.25">
      <c r="B381" s="6"/>
      <c r="C381" s="6"/>
      <c r="D381" s="15" t="s">
        <v>590</v>
      </c>
      <c r="E381" s="15"/>
      <c r="F381" s="1"/>
      <c r="G381" s="1"/>
      <c r="H381" s="1"/>
      <c r="I381" s="1" t="s">
        <v>241</v>
      </c>
      <c r="J381" s="218"/>
      <c r="K381" s="2">
        <f t="shared" ref="K381:Q381" si="604">K280</f>
        <v>8607000</v>
      </c>
      <c r="L381" s="2">
        <f t="shared" si="604"/>
        <v>0</v>
      </c>
      <c r="M381" s="2">
        <f t="shared" si="604"/>
        <v>8607000</v>
      </c>
      <c r="N381" s="2">
        <f t="shared" si="604"/>
        <v>-860700</v>
      </c>
      <c r="O381" s="2">
        <f t="shared" si="604"/>
        <v>7746300</v>
      </c>
      <c r="P381" s="2">
        <f t="shared" si="604"/>
        <v>0</v>
      </c>
      <c r="Q381" s="2">
        <f t="shared" si="604"/>
        <v>7746300</v>
      </c>
      <c r="R381" s="2">
        <f t="shared" ref="R381:S381" si="605">R280</f>
        <v>0</v>
      </c>
      <c r="S381" s="2">
        <f t="shared" si="605"/>
        <v>7746300</v>
      </c>
    </row>
    <row r="382" spans="2:19" s="72" customFormat="1" x14ac:dyDescent="0.25">
      <c r="B382" s="6"/>
      <c r="C382" s="6"/>
      <c r="D382" s="15" t="s">
        <v>590</v>
      </c>
      <c r="E382" s="15"/>
      <c r="F382" s="1"/>
      <c r="G382" s="1"/>
      <c r="H382" s="1"/>
      <c r="I382" s="1" t="s">
        <v>242</v>
      </c>
      <c r="J382" s="218"/>
      <c r="K382" s="2">
        <f t="shared" ref="K382:Q382" si="606">K276</f>
        <v>5882000</v>
      </c>
      <c r="L382" s="2">
        <f t="shared" si="606"/>
        <v>0</v>
      </c>
      <c r="M382" s="2">
        <f t="shared" si="606"/>
        <v>5882000</v>
      </c>
      <c r="N382" s="2">
        <f t="shared" si="606"/>
        <v>0</v>
      </c>
      <c r="O382" s="2">
        <f t="shared" si="606"/>
        <v>5882000</v>
      </c>
      <c r="P382" s="2">
        <f t="shared" si="606"/>
        <v>0</v>
      </c>
      <c r="Q382" s="2">
        <f t="shared" si="606"/>
        <v>5882000</v>
      </c>
      <c r="R382" s="2">
        <f t="shared" ref="R382:S382" si="607">R276</f>
        <v>0</v>
      </c>
      <c r="S382" s="2">
        <f t="shared" si="607"/>
        <v>5882000</v>
      </c>
    </row>
    <row r="383" spans="2:19" s="72" customFormat="1" x14ac:dyDescent="0.25">
      <c r="B383" s="6" t="s">
        <v>678</v>
      </c>
      <c r="C383" s="6"/>
      <c r="D383" s="15" t="s">
        <v>612</v>
      </c>
      <c r="E383" s="15"/>
      <c r="F383" s="1"/>
      <c r="G383" s="1"/>
      <c r="H383" s="1"/>
      <c r="I383" s="1" t="s">
        <v>629</v>
      </c>
      <c r="J383" s="218"/>
      <c r="K383" s="2">
        <f>K285</f>
        <v>0</v>
      </c>
      <c r="L383" s="2">
        <f t="shared" ref="L383:O383" si="608">L285</f>
        <v>0</v>
      </c>
      <c r="M383" s="2">
        <f t="shared" si="608"/>
        <v>0</v>
      </c>
      <c r="N383" s="2">
        <f t="shared" si="608"/>
        <v>200000</v>
      </c>
      <c r="O383" s="2">
        <f t="shared" si="608"/>
        <v>200000</v>
      </c>
      <c r="P383" s="2">
        <f t="shared" ref="P383:Q383" si="609">P285</f>
        <v>0</v>
      </c>
      <c r="Q383" s="2">
        <f t="shared" si="609"/>
        <v>200000</v>
      </c>
      <c r="R383" s="2">
        <f t="shared" ref="R383:S383" si="610">R285</f>
        <v>0</v>
      </c>
      <c r="S383" s="2">
        <f t="shared" si="610"/>
        <v>200000</v>
      </c>
    </row>
    <row r="384" spans="2:19" s="72" customFormat="1" x14ac:dyDescent="0.25">
      <c r="B384" s="6"/>
      <c r="C384" s="6"/>
      <c r="D384" s="15" t="s">
        <v>590</v>
      </c>
      <c r="E384" s="15"/>
      <c r="F384" s="1"/>
      <c r="G384" s="1"/>
      <c r="H384" s="1"/>
      <c r="I384" s="1" t="s">
        <v>684</v>
      </c>
      <c r="J384" s="218"/>
      <c r="K384" s="2"/>
      <c r="L384" s="2"/>
      <c r="M384" s="2"/>
      <c r="N384" s="2"/>
      <c r="O384" s="2"/>
      <c r="P384" s="2"/>
      <c r="Q384" s="2">
        <f>Q175</f>
        <v>0</v>
      </c>
      <c r="R384" s="2">
        <f t="shared" ref="R384:S384" si="611">R175</f>
        <v>2136420</v>
      </c>
      <c r="S384" s="2">
        <f t="shared" si="611"/>
        <v>2136420</v>
      </c>
    </row>
    <row r="385" spans="2:19" s="72" customFormat="1" x14ac:dyDescent="0.25">
      <c r="B385" s="6"/>
      <c r="C385" s="6"/>
      <c r="D385" s="15" t="s">
        <v>612</v>
      </c>
      <c r="E385" s="15"/>
      <c r="F385" s="1"/>
      <c r="G385" s="1"/>
      <c r="H385" s="1"/>
      <c r="I385" s="1" t="s">
        <v>225</v>
      </c>
      <c r="J385" s="218"/>
      <c r="K385" s="2">
        <f t="shared" ref="K385:Q385" si="612">K162</f>
        <v>2587000</v>
      </c>
      <c r="L385" s="2">
        <f t="shared" si="612"/>
        <v>0</v>
      </c>
      <c r="M385" s="2">
        <f t="shared" si="612"/>
        <v>2587000</v>
      </c>
      <c r="N385" s="2">
        <f t="shared" si="612"/>
        <v>115000</v>
      </c>
      <c r="O385" s="2">
        <f t="shared" si="612"/>
        <v>2702000</v>
      </c>
      <c r="P385" s="2">
        <f t="shared" si="612"/>
        <v>0</v>
      </c>
      <c r="Q385" s="2">
        <f t="shared" si="612"/>
        <v>2702000</v>
      </c>
      <c r="R385" s="2">
        <f t="shared" ref="R385:S385" si="613">R162</f>
        <v>14484</v>
      </c>
      <c r="S385" s="2">
        <f t="shared" si="613"/>
        <v>2716484</v>
      </c>
    </row>
    <row r="386" spans="2:19" s="72" customFormat="1" x14ac:dyDescent="0.25">
      <c r="B386" s="6"/>
      <c r="C386" s="6"/>
      <c r="D386" s="15" t="s">
        <v>590</v>
      </c>
      <c r="E386" s="15"/>
      <c r="F386" s="1"/>
      <c r="G386" s="1"/>
      <c r="H386" s="1"/>
      <c r="I386" s="1" t="s">
        <v>237</v>
      </c>
      <c r="J386" s="218"/>
      <c r="K386" s="2">
        <f t="shared" ref="K386:Q386" si="614">K238</f>
        <v>7634300</v>
      </c>
      <c r="L386" s="2">
        <f t="shared" si="614"/>
        <v>0</v>
      </c>
      <c r="M386" s="2">
        <f t="shared" si="614"/>
        <v>7634300</v>
      </c>
      <c r="N386" s="2">
        <f t="shared" si="614"/>
        <v>-46060</v>
      </c>
      <c r="O386" s="2">
        <f t="shared" si="614"/>
        <v>7588240</v>
      </c>
      <c r="P386" s="2">
        <f t="shared" si="614"/>
        <v>0</v>
      </c>
      <c r="Q386" s="2">
        <f t="shared" si="614"/>
        <v>7588240</v>
      </c>
      <c r="R386" s="2">
        <f t="shared" ref="R386:S386" si="615">R238</f>
        <v>0</v>
      </c>
      <c r="S386" s="2">
        <f t="shared" si="615"/>
        <v>7588240</v>
      </c>
    </row>
    <row r="387" spans="2:19" s="72" customFormat="1" x14ac:dyDescent="0.25">
      <c r="B387" s="6"/>
      <c r="C387" s="6"/>
      <c r="D387" s="15" t="s">
        <v>590</v>
      </c>
      <c r="E387" s="15"/>
      <c r="F387" s="1"/>
      <c r="G387" s="1"/>
      <c r="H387" s="1"/>
      <c r="I387" s="1" t="s">
        <v>238</v>
      </c>
      <c r="J387" s="218"/>
      <c r="K387" s="2">
        <f t="shared" ref="K387:Q387" si="616">K236</f>
        <v>93000</v>
      </c>
      <c r="L387" s="2">
        <f t="shared" si="616"/>
        <v>0</v>
      </c>
      <c r="M387" s="2">
        <f t="shared" si="616"/>
        <v>93000</v>
      </c>
      <c r="N387" s="2">
        <f t="shared" si="616"/>
        <v>0</v>
      </c>
      <c r="O387" s="2">
        <f t="shared" si="616"/>
        <v>93000</v>
      </c>
      <c r="P387" s="2">
        <f t="shared" si="616"/>
        <v>0</v>
      </c>
      <c r="Q387" s="2">
        <f t="shared" si="616"/>
        <v>93000</v>
      </c>
      <c r="R387" s="2">
        <f t="shared" ref="R387:S387" si="617">R236</f>
        <v>79000</v>
      </c>
      <c r="S387" s="2">
        <f t="shared" si="617"/>
        <v>172000</v>
      </c>
    </row>
    <row r="388" spans="2:19" s="72" customFormat="1" x14ac:dyDescent="0.25">
      <c r="B388" s="6"/>
      <c r="C388" s="6"/>
      <c r="D388" s="15" t="s">
        <v>612</v>
      </c>
      <c r="E388" s="15"/>
      <c r="F388" s="1"/>
      <c r="G388" s="1"/>
      <c r="H388" s="1"/>
      <c r="I388" s="1" t="s">
        <v>213</v>
      </c>
      <c r="J388" s="218"/>
      <c r="K388" s="2">
        <f t="shared" ref="K388:Q388" si="618">K42</f>
        <v>450000</v>
      </c>
      <c r="L388" s="2">
        <f t="shared" si="618"/>
        <v>0</v>
      </c>
      <c r="M388" s="2">
        <f t="shared" si="618"/>
        <v>450000</v>
      </c>
      <c r="N388" s="2">
        <f t="shared" si="618"/>
        <v>0</v>
      </c>
      <c r="O388" s="2">
        <f t="shared" si="618"/>
        <v>450000</v>
      </c>
      <c r="P388" s="2">
        <f t="shared" si="618"/>
        <v>0</v>
      </c>
      <c r="Q388" s="2">
        <f t="shared" si="618"/>
        <v>450000</v>
      </c>
      <c r="R388" s="2">
        <f t="shared" ref="R388:S388" si="619">R42</f>
        <v>0</v>
      </c>
      <c r="S388" s="2">
        <f t="shared" si="619"/>
        <v>450000</v>
      </c>
    </row>
    <row r="389" spans="2:19" s="72" customFormat="1" x14ac:dyDescent="0.25">
      <c r="D389" s="15" t="s">
        <v>612</v>
      </c>
      <c r="E389" s="337"/>
      <c r="F389" s="338"/>
      <c r="G389" s="338"/>
      <c r="H389" s="338"/>
      <c r="I389" s="1" t="s">
        <v>214</v>
      </c>
      <c r="J389" s="339"/>
      <c r="K389" s="2">
        <f t="shared" ref="K389:Q389" si="620">K45</f>
        <v>1575000</v>
      </c>
      <c r="L389" s="2">
        <f t="shared" si="620"/>
        <v>0</v>
      </c>
      <c r="M389" s="2">
        <f t="shared" si="620"/>
        <v>1575000</v>
      </c>
      <c r="N389" s="2">
        <f t="shared" si="620"/>
        <v>0</v>
      </c>
      <c r="O389" s="2">
        <f t="shared" si="620"/>
        <v>1575000</v>
      </c>
      <c r="P389" s="2">
        <f t="shared" si="620"/>
        <v>0</v>
      </c>
      <c r="Q389" s="2">
        <f t="shared" si="620"/>
        <v>1575000</v>
      </c>
      <c r="R389" s="2">
        <f t="shared" ref="R389:S389" si="621">R45</f>
        <v>0</v>
      </c>
      <c r="S389" s="2">
        <f t="shared" si="621"/>
        <v>1575000</v>
      </c>
    </row>
    <row r="390" spans="2:19" s="72" customFormat="1" x14ac:dyDescent="0.25">
      <c r="D390" s="15" t="s">
        <v>612</v>
      </c>
      <c r="E390" s="337"/>
      <c r="F390" s="338"/>
      <c r="G390" s="338"/>
      <c r="H390" s="338"/>
      <c r="I390" s="1" t="s">
        <v>228</v>
      </c>
      <c r="J390" s="339"/>
      <c r="K390" s="2">
        <f t="shared" ref="K390:Q390" si="622">K154</f>
        <v>260000</v>
      </c>
      <c r="L390" s="2">
        <f t="shared" si="622"/>
        <v>0</v>
      </c>
      <c r="M390" s="2">
        <f t="shared" si="622"/>
        <v>260000</v>
      </c>
      <c r="N390" s="2">
        <f t="shared" si="622"/>
        <v>0</v>
      </c>
      <c r="O390" s="2">
        <f t="shared" si="622"/>
        <v>260000</v>
      </c>
      <c r="P390" s="2">
        <f t="shared" si="622"/>
        <v>0</v>
      </c>
      <c r="Q390" s="2">
        <f t="shared" si="622"/>
        <v>260000</v>
      </c>
      <c r="R390" s="2">
        <f t="shared" ref="R390:S390" si="623">R154</f>
        <v>0</v>
      </c>
      <c r="S390" s="2">
        <f t="shared" si="623"/>
        <v>260000</v>
      </c>
    </row>
    <row r="391" spans="2:19" s="72" customFormat="1" x14ac:dyDescent="0.25">
      <c r="D391" s="15" t="s">
        <v>614</v>
      </c>
      <c r="E391" s="337"/>
      <c r="F391" s="338"/>
      <c r="G391" s="338"/>
      <c r="H391" s="338"/>
      <c r="I391" s="1" t="s">
        <v>486</v>
      </c>
      <c r="J391" s="339"/>
      <c r="K391" s="2">
        <f t="shared" ref="K391:Q391" si="624">K157</f>
        <v>284000</v>
      </c>
      <c r="L391" s="2">
        <f t="shared" si="624"/>
        <v>0</v>
      </c>
      <c r="M391" s="2">
        <f t="shared" si="624"/>
        <v>284000</v>
      </c>
      <c r="N391" s="2">
        <f t="shared" si="624"/>
        <v>0</v>
      </c>
      <c r="O391" s="2">
        <f t="shared" si="624"/>
        <v>284000</v>
      </c>
      <c r="P391" s="2">
        <f t="shared" si="624"/>
        <v>0</v>
      </c>
      <c r="Q391" s="2">
        <f t="shared" si="624"/>
        <v>284000</v>
      </c>
      <c r="R391" s="2">
        <f t="shared" ref="R391:S391" si="625">R157</f>
        <v>0</v>
      </c>
      <c r="S391" s="2">
        <f t="shared" si="625"/>
        <v>284000</v>
      </c>
    </row>
    <row r="392" spans="2:19" x14ac:dyDescent="0.25">
      <c r="D392" s="71" t="s">
        <v>590</v>
      </c>
      <c r="E392" s="71"/>
      <c r="F392" s="70"/>
      <c r="G392" s="70"/>
      <c r="H392" s="70"/>
      <c r="I392" s="18" t="s">
        <v>217</v>
      </c>
      <c r="J392" s="340"/>
      <c r="K392" s="2">
        <f t="shared" ref="K392:Q392" si="626">K48</f>
        <v>173500</v>
      </c>
      <c r="L392" s="2">
        <f t="shared" si="626"/>
        <v>0</v>
      </c>
      <c r="M392" s="2">
        <f t="shared" si="626"/>
        <v>173500</v>
      </c>
      <c r="N392" s="2">
        <f t="shared" si="626"/>
        <v>-12145</v>
      </c>
      <c r="O392" s="2">
        <f t="shared" si="626"/>
        <v>161355</v>
      </c>
      <c r="P392" s="2">
        <f t="shared" si="626"/>
        <v>0</v>
      </c>
      <c r="Q392" s="2">
        <f t="shared" si="626"/>
        <v>161355</v>
      </c>
      <c r="R392" s="2">
        <f t="shared" ref="R392:S392" si="627">R48</f>
        <v>0</v>
      </c>
      <c r="S392" s="2">
        <f t="shared" si="627"/>
        <v>161355</v>
      </c>
    </row>
    <row r="393" spans="2:19" x14ac:dyDescent="0.25">
      <c r="D393" s="71" t="s">
        <v>612</v>
      </c>
      <c r="E393" s="71"/>
      <c r="F393" s="70"/>
      <c r="G393" s="70"/>
      <c r="H393" s="70"/>
      <c r="I393" s="18" t="s">
        <v>443</v>
      </c>
      <c r="J393" s="340"/>
      <c r="K393" s="2">
        <f t="shared" ref="K393:Q393" si="628">K53</f>
        <v>1572000</v>
      </c>
      <c r="L393" s="2">
        <f t="shared" si="628"/>
        <v>763089</v>
      </c>
      <c r="M393" s="2">
        <f t="shared" si="628"/>
        <v>2335089</v>
      </c>
      <c r="N393" s="2">
        <f t="shared" si="628"/>
        <v>0</v>
      </c>
      <c r="O393" s="2">
        <f t="shared" si="628"/>
        <v>2335089</v>
      </c>
      <c r="P393" s="2">
        <f t="shared" si="628"/>
        <v>0</v>
      </c>
      <c r="Q393" s="2">
        <f t="shared" si="628"/>
        <v>2335089</v>
      </c>
      <c r="R393" s="2">
        <f t="shared" ref="R393:S393" si="629">R53</f>
        <v>0</v>
      </c>
      <c r="S393" s="2">
        <f t="shared" si="629"/>
        <v>2335089</v>
      </c>
    </row>
    <row r="394" spans="2:19" x14ac:dyDescent="0.25">
      <c r="D394" s="71" t="s">
        <v>612</v>
      </c>
      <c r="E394" s="71"/>
      <c r="F394" s="69"/>
      <c r="G394" s="69"/>
      <c r="H394" s="69"/>
      <c r="I394" s="69">
        <v>1891</v>
      </c>
      <c r="J394" s="71"/>
      <c r="K394" s="2">
        <f t="shared" ref="K394:Q394" si="630">K183</f>
        <v>100000</v>
      </c>
      <c r="L394" s="2">
        <f t="shared" si="630"/>
        <v>0</v>
      </c>
      <c r="M394" s="2">
        <f t="shared" si="630"/>
        <v>100000</v>
      </c>
      <c r="N394" s="2">
        <f t="shared" si="630"/>
        <v>0</v>
      </c>
      <c r="O394" s="2">
        <f t="shared" si="630"/>
        <v>100000</v>
      </c>
      <c r="P394" s="2">
        <f t="shared" si="630"/>
        <v>0</v>
      </c>
      <c r="Q394" s="2">
        <f t="shared" si="630"/>
        <v>100000</v>
      </c>
      <c r="R394" s="2">
        <f t="shared" ref="R394:S394" si="631">R183</f>
        <v>0</v>
      </c>
      <c r="S394" s="2">
        <f t="shared" si="631"/>
        <v>100000</v>
      </c>
    </row>
    <row r="395" spans="2:19" x14ac:dyDescent="0.25">
      <c r="D395" s="71" t="s">
        <v>612</v>
      </c>
      <c r="E395" s="71"/>
      <c r="F395" s="69"/>
      <c r="G395" s="69"/>
      <c r="H395" s="69"/>
      <c r="I395" s="1" t="s">
        <v>211</v>
      </c>
      <c r="J395" s="71"/>
      <c r="K395" s="65">
        <f t="shared" ref="K395:Q395" si="632">K58</f>
        <v>2000000</v>
      </c>
      <c r="L395" s="65">
        <f t="shared" si="632"/>
        <v>39999</v>
      </c>
      <c r="M395" s="65">
        <f t="shared" si="632"/>
        <v>2039999</v>
      </c>
      <c r="N395" s="65">
        <f t="shared" si="632"/>
        <v>0</v>
      </c>
      <c r="O395" s="65">
        <f t="shared" si="632"/>
        <v>2039999</v>
      </c>
      <c r="P395" s="65">
        <f t="shared" si="632"/>
        <v>0</v>
      </c>
      <c r="Q395" s="65">
        <f t="shared" si="632"/>
        <v>2039999</v>
      </c>
      <c r="R395" s="65">
        <f t="shared" ref="R395:S395" si="633">R58</f>
        <v>243839</v>
      </c>
      <c r="S395" s="65">
        <f t="shared" si="633"/>
        <v>2283838</v>
      </c>
    </row>
    <row r="396" spans="2:19" x14ac:dyDescent="0.25">
      <c r="D396" s="71" t="s">
        <v>612</v>
      </c>
      <c r="E396" s="71"/>
      <c r="F396" s="69"/>
      <c r="G396" s="71"/>
      <c r="H396" s="71"/>
      <c r="I396" s="18" t="s">
        <v>212</v>
      </c>
      <c r="J396" s="71"/>
      <c r="K396" s="65">
        <f t="shared" ref="K396:Q396" si="634">K61</f>
        <v>300000</v>
      </c>
      <c r="L396" s="65">
        <f t="shared" si="634"/>
        <v>0</v>
      </c>
      <c r="M396" s="65">
        <f t="shared" si="634"/>
        <v>300000</v>
      </c>
      <c r="N396" s="65">
        <f t="shared" si="634"/>
        <v>0</v>
      </c>
      <c r="O396" s="65">
        <f t="shared" si="634"/>
        <v>300000</v>
      </c>
      <c r="P396" s="65">
        <f t="shared" si="634"/>
        <v>0</v>
      </c>
      <c r="Q396" s="65">
        <f t="shared" si="634"/>
        <v>300000</v>
      </c>
      <c r="R396" s="65">
        <f t="shared" ref="R396:S396" si="635">R61</f>
        <v>-258323</v>
      </c>
      <c r="S396" s="65">
        <f t="shared" si="635"/>
        <v>41677</v>
      </c>
    </row>
    <row r="397" spans="2:19" x14ac:dyDescent="0.25">
      <c r="D397" s="71" t="s">
        <v>612</v>
      </c>
      <c r="E397" s="71"/>
      <c r="F397" s="69"/>
      <c r="G397" s="71"/>
      <c r="H397" s="71"/>
      <c r="I397" s="18" t="s">
        <v>219</v>
      </c>
      <c r="J397" s="71"/>
      <c r="K397" s="65">
        <f t="shared" ref="K397:P397" si="636">K64+K247</f>
        <v>9324000</v>
      </c>
      <c r="L397" s="65">
        <f t="shared" si="636"/>
        <v>154200</v>
      </c>
      <c r="M397" s="65">
        <f t="shared" si="636"/>
        <v>9478200</v>
      </c>
      <c r="N397" s="65">
        <f t="shared" si="636"/>
        <v>-891470</v>
      </c>
      <c r="O397" s="65">
        <f t="shared" si="636"/>
        <v>8586730</v>
      </c>
      <c r="P397" s="65">
        <f t="shared" si="636"/>
        <v>0</v>
      </c>
      <c r="Q397" s="65">
        <f>Q64+Q247</f>
        <v>8586730</v>
      </c>
      <c r="R397" s="65">
        <f t="shared" ref="R397:S397" si="637">R64+R247</f>
        <v>86571</v>
      </c>
      <c r="S397" s="65">
        <f t="shared" si="637"/>
        <v>8673301</v>
      </c>
    </row>
    <row r="398" spans="2:19" x14ac:dyDescent="0.25">
      <c r="D398" s="71" t="s">
        <v>612</v>
      </c>
      <c r="E398" s="71"/>
      <c r="F398" s="69"/>
      <c r="G398" s="71"/>
      <c r="H398" s="71"/>
      <c r="I398" s="18" t="s">
        <v>222</v>
      </c>
      <c r="J398" s="71"/>
      <c r="K398" s="65">
        <f t="shared" ref="K398:Q398" si="638">K135</f>
        <v>100000</v>
      </c>
      <c r="L398" s="65">
        <f t="shared" si="638"/>
        <v>0</v>
      </c>
      <c r="M398" s="65">
        <f t="shared" si="638"/>
        <v>100000</v>
      </c>
      <c r="N398" s="65">
        <f t="shared" si="638"/>
        <v>0</v>
      </c>
      <c r="O398" s="65">
        <f t="shared" si="638"/>
        <v>100000</v>
      </c>
      <c r="P398" s="65">
        <f t="shared" si="638"/>
        <v>0</v>
      </c>
      <c r="Q398" s="65">
        <f t="shared" si="638"/>
        <v>100000</v>
      </c>
      <c r="R398" s="65">
        <f t="shared" ref="R398:S398" si="639">R135</f>
        <v>0</v>
      </c>
      <c r="S398" s="65">
        <f t="shared" si="639"/>
        <v>100000</v>
      </c>
    </row>
    <row r="399" spans="2:19" x14ac:dyDescent="0.25">
      <c r="D399" s="71" t="s">
        <v>612</v>
      </c>
      <c r="E399" s="71"/>
      <c r="F399" s="69"/>
      <c r="G399" s="71"/>
      <c r="H399" s="71"/>
      <c r="I399" s="18" t="s">
        <v>223</v>
      </c>
      <c r="J399" s="71"/>
      <c r="K399" s="65">
        <f t="shared" ref="K399:Q399" si="640">K138</f>
        <v>200000</v>
      </c>
      <c r="L399" s="65">
        <f t="shared" si="640"/>
        <v>605000</v>
      </c>
      <c r="M399" s="65">
        <f t="shared" si="640"/>
        <v>805000</v>
      </c>
      <c r="N399" s="65">
        <f t="shared" si="640"/>
        <v>0</v>
      </c>
      <c r="O399" s="65">
        <f t="shared" si="640"/>
        <v>805000</v>
      </c>
      <c r="P399" s="65">
        <f t="shared" si="640"/>
        <v>10000</v>
      </c>
      <c r="Q399" s="65">
        <f t="shared" si="640"/>
        <v>815000</v>
      </c>
      <c r="R399" s="65">
        <f t="shared" ref="R399:S399" si="641">R138</f>
        <v>0</v>
      </c>
      <c r="S399" s="65">
        <f t="shared" si="641"/>
        <v>815000</v>
      </c>
    </row>
    <row r="400" spans="2:19" x14ac:dyDescent="0.25">
      <c r="D400" s="71" t="s">
        <v>612</v>
      </c>
      <c r="E400" s="71"/>
      <c r="F400" s="69"/>
      <c r="G400" s="71"/>
      <c r="H400" s="71"/>
      <c r="I400" s="18" t="s">
        <v>216</v>
      </c>
      <c r="J400" s="71"/>
      <c r="K400" s="65">
        <f t="shared" ref="K400:Q400" si="642">K112</f>
        <v>55000</v>
      </c>
      <c r="L400" s="65">
        <f t="shared" si="642"/>
        <v>0</v>
      </c>
      <c r="M400" s="65">
        <f t="shared" si="642"/>
        <v>55000</v>
      </c>
      <c r="N400" s="65">
        <f t="shared" si="642"/>
        <v>0</v>
      </c>
      <c r="O400" s="65">
        <f t="shared" si="642"/>
        <v>55000</v>
      </c>
      <c r="P400" s="65">
        <f t="shared" si="642"/>
        <v>0</v>
      </c>
      <c r="Q400" s="65">
        <f t="shared" si="642"/>
        <v>55000</v>
      </c>
      <c r="R400" s="65">
        <f t="shared" ref="R400:S400" si="643">R112</f>
        <v>0</v>
      </c>
      <c r="S400" s="65">
        <f t="shared" si="643"/>
        <v>55000</v>
      </c>
    </row>
    <row r="401" spans="2:19" x14ac:dyDescent="0.25">
      <c r="D401" s="71" t="s">
        <v>612</v>
      </c>
      <c r="E401" s="71"/>
      <c r="F401" s="69"/>
      <c r="G401" s="71"/>
      <c r="H401" s="71"/>
      <c r="I401" s="18" t="s">
        <v>588</v>
      </c>
      <c r="J401" s="71"/>
      <c r="K401" s="65">
        <f t="shared" ref="K401:Q401" si="644">K114</f>
        <v>0</v>
      </c>
      <c r="L401" s="65">
        <f t="shared" si="644"/>
        <v>1300000</v>
      </c>
      <c r="M401" s="65">
        <f t="shared" si="644"/>
        <v>1300000</v>
      </c>
      <c r="N401" s="65">
        <f t="shared" si="644"/>
        <v>0</v>
      </c>
      <c r="O401" s="65">
        <f t="shared" si="644"/>
        <v>1300000</v>
      </c>
      <c r="P401" s="65">
        <f t="shared" si="644"/>
        <v>0</v>
      </c>
      <c r="Q401" s="65">
        <f t="shared" si="644"/>
        <v>1300000</v>
      </c>
      <c r="R401" s="65">
        <f t="shared" ref="R401:S401" si="645">R114</f>
        <v>0</v>
      </c>
      <c r="S401" s="65">
        <f t="shared" si="645"/>
        <v>1300000</v>
      </c>
    </row>
    <row r="402" spans="2:19" x14ac:dyDescent="0.25">
      <c r="D402" s="71" t="s">
        <v>612</v>
      </c>
      <c r="E402" s="71"/>
      <c r="F402" s="69"/>
      <c r="G402" s="71"/>
      <c r="H402" s="71"/>
      <c r="I402" s="18" t="s">
        <v>218</v>
      </c>
      <c r="J402" s="71"/>
      <c r="K402" s="65">
        <f t="shared" ref="K402:Q402" si="646">K69</f>
        <v>700000</v>
      </c>
      <c r="L402" s="65">
        <f t="shared" si="646"/>
        <v>10570</v>
      </c>
      <c r="M402" s="65">
        <f t="shared" si="646"/>
        <v>710570</v>
      </c>
      <c r="N402" s="65">
        <f t="shared" si="646"/>
        <v>0</v>
      </c>
      <c r="O402" s="65">
        <f t="shared" si="646"/>
        <v>710570</v>
      </c>
      <c r="P402" s="65">
        <f t="shared" si="646"/>
        <v>0</v>
      </c>
      <c r="Q402" s="65">
        <f t="shared" si="646"/>
        <v>710570</v>
      </c>
      <c r="R402" s="65">
        <f t="shared" ref="R402:S402" si="647">R69</f>
        <v>0</v>
      </c>
      <c r="S402" s="65">
        <f t="shared" si="647"/>
        <v>710570</v>
      </c>
    </row>
    <row r="403" spans="2:19" x14ac:dyDescent="0.25">
      <c r="D403" s="71" t="s">
        <v>612</v>
      </c>
      <c r="E403" s="71"/>
      <c r="F403" s="69"/>
      <c r="G403" s="71"/>
      <c r="H403" s="71"/>
      <c r="I403" s="18" t="s">
        <v>584</v>
      </c>
      <c r="J403" s="71"/>
      <c r="K403" s="65">
        <f t="shared" ref="K403:Q403" si="648">K72</f>
        <v>0</v>
      </c>
      <c r="L403" s="65">
        <f t="shared" si="648"/>
        <v>15000</v>
      </c>
      <c r="M403" s="65">
        <f t="shared" si="648"/>
        <v>15000</v>
      </c>
      <c r="N403" s="65">
        <f t="shared" si="648"/>
        <v>0</v>
      </c>
      <c r="O403" s="65">
        <f t="shared" si="648"/>
        <v>15000</v>
      </c>
      <c r="P403" s="65">
        <f t="shared" si="648"/>
        <v>0</v>
      </c>
      <c r="Q403" s="65">
        <f t="shared" si="648"/>
        <v>15000</v>
      </c>
      <c r="R403" s="65">
        <f t="shared" ref="R403:S403" si="649">R72</f>
        <v>0</v>
      </c>
      <c r="S403" s="65">
        <f t="shared" si="649"/>
        <v>15000</v>
      </c>
    </row>
    <row r="404" spans="2:19" x14ac:dyDescent="0.25">
      <c r="D404" s="71" t="s">
        <v>612</v>
      </c>
      <c r="E404" s="71"/>
      <c r="F404" s="69"/>
      <c r="G404" s="71"/>
      <c r="H404" s="71"/>
      <c r="I404" s="18" t="s">
        <v>227</v>
      </c>
      <c r="J404" s="71"/>
      <c r="K404" s="65">
        <f t="shared" ref="K404:Q404" si="650">K165</f>
        <v>270000</v>
      </c>
      <c r="L404" s="65">
        <f t="shared" si="650"/>
        <v>0</v>
      </c>
      <c r="M404" s="65">
        <f t="shared" si="650"/>
        <v>270000</v>
      </c>
      <c r="N404" s="65">
        <f t="shared" si="650"/>
        <v>0</v>
      </c>
      <c r="O404" s="65">
        <f t="shared" si="650"/>
        <v>270000</v>
      </c>
      <c r="P404" s="65">
        <f t="shared" si="650"/>
        <v>0</v>
      </c>
      <c r="Q404" s="65">
        <f t="shared" si="650"/>
        <v>270000</v>
      </c>
      <c r="R404" s="65">
        <f t="shared" ref="R404:S404" si="651">R165</f>
        <v>0</v>
      </c>
      <c r="S404" s="65">
        <f t="shared" si="651"/>
        <v>270000</v>
      </c>
    </row>
    <row r="405" spans="2:19" x14ac:dyDescent="0.25">
      <c r="D405" s="71" t="s">
        <v>612</v>
      </c>
      <c r="E405" s="71"/>
      <c r="F405" s="69"/>
      <c r="G405" s="71"/>
      <c r="H405" s="71"/>
      <c r="I405" s="18" t="s">
        <v>601</v>
      </c>
      <c r="J405" s="71"/>
      <c r="K405" s="65">
        <f t="shared" ref="K405:Q405" si="652">K75</f>
        <v>0</v>
      </c>
      <c r="L405" s="65">
        <f t="shared" si="652"/>
        <v>632468</v>
      </c>
      <c r="M405" s="65">
        <f t="shared" si="652"/>
        <v>632468</v>
      </c>
      <c r="N405" s="65">
        <f t="shared" si="652"/>
        <v>0</v>
      </c>
      <c r="O405" s="65">
        <f t="shared" si="652"/>
        <v>632468</v>
      </c>
      <c r="P405" s="65">
        <f t="shared" si="652"/>
        <v>0</v>
      </c>
      <c r="Q405" s="65">
        <f t="shared" si="652"/>
        <v>632468</v>
      </c>
      <c r="R405" s="65">
        <f t="shared" ref="R405:S405" si="653">R75</f>
        <v>-632468</v>
      </c>
      <c r="S405" s="65">
        <f t="shared" si="653"/>
        <v>0</v>
      </c>
    </row>
    <row r="406" spans="2:19" x14ac:dyDescent="0.25">
      <c r="D406" s="71" t="s">
        <v>612</v>
      </c>
      <c r="E406" s="71"/>
      <c r="F406" s="69"/>
      <c r="G406" s="71"/>
      <c r="H406" s="71"/>
      <c r="I406" s="69">
        <v>2224</v>
      </c>
      <c r="J406" s="71"/>
      <c r="K406" s="65">
        <f t="shared" ref="K406:Q406" si="654">K250</f>
        <v>1038500</v>
      </c>
      <c r="L406" s="65">
        <f t="shared" si="654"/>
        <v>171280</v>
      </c>
      <c r="M406" s="65">
        <f t="shared" si="654"/>
        <v>1209780</v>
      </c>
      <c r="N406" s="65">
        <f t="shared" si="654"/>
        <v>0</v>
      </c>
      <c r="O406" s="65">
        <f t="shared" si="654"/>
        <v>1209780</v>
      </c>
      <c r="P406" s="65">
        <f t="shared" si="654"/>
        <v>0</v>
      </c>
      <c r="Q406" s="65">
        <f t="shared" si="654"/>
        <v>1209780</v>
      </c>
      <c r="R406" s="65">
        <f t="shared" ref="R406:S406" si="655">R250</f>
        <v>242533</v>
      </c>
      <c r="S406" s="65">
        <f t="shared" si="655"/>
        <v>1452313</v>
      </c>
    </row>
    <row r="407" spans="2:19" x14ac:dyDescent="0.25">
      <c r="D407" s="71" t="s">
        <v>612</v>
      </c>
      <c r="E407" s="71"/>
      <c r="F407" s="69"/>
      <c r="G407" s="71"/>
      <c r="H407" s="71"/>
      <c r="I407" s="18" t="s">
        <v>611</v>
      </c>
      <c r="J407" s="71"/>
      <c r="K407" s="65">
        <f t="shared" ref="K407:Q407" si="656">K178</f>
        <v>582660</v>
      </c>
      <c r="L407" s="65">
        <f t="shared" si="656"/>
        <v>0</v>
      </c>
      <c r="M407" s="65">
        <f t="shared" si="656"/>
        <v>582660</v>
      </c>
      <c r="N407" s="65">
        <f t="shared" si="656"/>
        <v>0</v>
      </c>
      <c r="O407" s="65">
        <f t="shared" si="656"/>
        <v>582660</v>
      </c>
      <c r="P407" s="65">
        <f t="shared" si="656"/>
        <v>0</v>
      </c>
      <c r="Q407" s="65">
        <f t="shared" si="656"/>
        <v>582660</v>
      </c>
      <c r="R407" s="65">
        <f t="shared" ref="R407:S407" si="657">R178</f>
        <v>0</v>
      </c>
      <c r="S407" s="65">
        <f t="shared" si="657"/>
        <v>582660</v>
      </c>
    </row>
    <row r="408" spans="2:19" x14ac:dyDescent="0.25">
      <c r="D408" s="71" t="s">
        <v>612</v>
      </c>
      <c r="E408" s="71"/>
      <c r="F408" s="69"/>
      <c r="G408" s="71"/>
      <c r="H408" s="71"/>
      <c r="I408" s="18" t="s">
        <v>625</v>
      </c>
      <c r="J408" s="71"/>
      <c r="K408" s="65">
        <f>K289</f>
        <v>0</v>
      </c>
      <c r="L408" s="65">
        <f t="shared" ref="L408:O408" si="658">L289</f>
        <v>0</v>
      </c>
      <c r="M408" s="65">
        <f t="shared" si="658"/>
        <v>0</v>
      </c>
      <c r="N408" s="65">
        <f t="shared" si="658"/>
        <v>300</v>
      </c>
      <c r="O408" s="65">
        <f t="shared" si="658"/>
        <v>300</v>
      </c>
      <c r="P408" s="65">
        <f t="shared" ref="P408:Q408" si="659">P289</f>
        <v>0</v>
      </c>
      <c r="Q408" s="65">
        <f t="shared" si="659"/>
        <v>300</v>
      </c>
      <c r="R408" s="65">
        <f t="shared" ref="R408:S408" si="660">R289</f>
        <v>206263</v>
      </c>
      <c r="S408" s="65">
        <f t="shared" si="660"/>
        <v>206563</v>
      </c>
    </row>
    <row r="409" spans="2:19" x14ac:dyDescent="0.25">
      <c r="D409" s="71" t="s">
        <v>612</v>
      </c>
      <c r="E409" s="71"/>
      <c r="F409" s="69"/>
      <c r="G409" s="71"/>
      <c r="H409" s="71"/>
      <c r="I409" s="69">
        <v>2231</v>
      </c>
      <c r="J409" s="71"/>
      <c r="K409" s="65">
        <f t="shared" ref="K409:Q409" si="661">K253</f>
        <v>122200</v>
      </c>
      <c r="L409" s="65">
        <f t="shared" si="661"/>
        <v>0</v>
      </c>
      <c r="M409" s="65">
        <f t="shared" si="661"/>
        <v>122200</v>
      </c>
      <c r="N409" s="65">
        <f t="shared" si="661"/>
        <v>0</v>
      </c>
      <c r="O409" s="65">
        <f t="shared" si="661"/>
        <v>122200</v>
      </c>
      <c r="P409" s="65">
        <f t="shared" si="661"/>
        <v>0</v>
      </c>
      <c r="Q409" s="65">
        <f t="shared" si="661"/>
        <v>122200</v>
      </c>
      <c r="R409" s="65">
        <f t="shared" ref="R409:S409" si="662">R253</f>
        <v>0</v>
      </c>
      <c r="S409" s="65">
        <f t="shared" si="662"/>
        <v>122200</v>
      </c>
    </row>
    <row r="410" spans="2:19" x14ac:dyDescent="0.25">
      <c r="D410" s="71" t="s">
        <v>615</v>
      </c>
      <c r="E410" s="71"/>
      <c r="F410" s="69"/>
      <c r="G410" s="71"/>
      <c r="H410" s="71"/>
      <c r="I410" s="69">
        <v>5082</v>
      </c>
      <c r="J410" s="71"/>
      <c r="K410" s="65">
        <f t="shared" ref="K410:Q410" si="663">K170</f>
        <v>8011575</v>
      </c>
      <c r="L410" s="65">
        <f t="shared" si="663"/>
        <v>0</v>
      </c>
      <c r="M410" s="65">
        <f t="shared" si="663"/>
        <v>8011575</v>
      </c>
      <c r="N410" s="65">
        <f t="shared" si="663"/>
        <v>0</v>
      </c>
      <c r="O410" s="65">
        <f t="shared" si="663"/>
        <v>8011575</v>
      </c>
      <c r="P410" s="65">
        <f t="shared" si="663"/>
        <v>0</v>
      </c>
      <c r="Q410" s="65">
        <f t="shared" si="663"/>
        <v>8011575</v>
      </c>
      <c r="R410" s="65">
        <f t="shared" ref="R410:S410" si="664">R170</f>
        <v>0</v>
      </c>
      <c r="S410" s="65">
        <f t="shared" si="664"/>
        <v>8011575</v>
      </c>
    </row>
    <row r="411" spans="2:19" x14ac:dyDescent="0.25">
      <c r="D411" s="71" t="s">
        <v>615</v>
      </c>
      <c r="E411" s="71"/>
      <c r="F411" s="69"/>
      <c r="G411" s="71"/>
      <c r="H411" s="71"/>
      <c r="I411" s="69">
        <v>5018</v>
      </c>
      <c r="J411" s="71"/>
      <c r="K411" s="65"/>
      <c r="L411" s="65"/>
      <c r="M411" s="65"/>
      <c r="N411" s="65"/>
      <c r="O411" s="65"/>
      <c r="P411" s="65"/>
      <c r="Q411" s="65">
        <f>Q81</f>
        <v>0</v>
      </c>
      <c r="R411" s="65">
        <f t="shared" ref="R411:S411" si="665">R81</f>
        <v>969400</v>
      </c>
      <c r="S411" s="65">
        <f t="shared" si="665"/>
        <v>969400</v>
      </c>
    </row>
    <row r="412" spans="2:19" x14ac:dyDescent="0.25">
      <c r="B412" s="66" t="s">
        <v>679</v>
      </c>
      <c r="D412" s="71" t="s">
        <v>615</v>
      </c>
      <c r="E412" s="71"/>
      <c r="F412" s="69"/>
      <c r="G412" s="71"/>
      <c r="H412" s="71"/>
      <c r="I412" s="219">
        <v>5118</v>
      </c>
      <c r="J412" s="71"/>
      <c r="K412" s="65">
        <f t="shared" ref="K412:Q412" si="666">K84+K292</f>
        <v>1229519</v>
      </c>
      <c r="L412" s="65">
        <f t="shared" si="666"/>
        <v>0</v>
      </c>
      <c r="M412" s="65">
        <f t="shared" si="666"/>
        <v>1229519</v>
      </c>
      <c r="N412" s="65">
        <f t="shared" si="666"/>
        <v>-113804</v>
      </c>
      <c r="O412" s="65">
        <f t="shared" si="666"/>
        <v>1115715</v>
      </c>
      <c r="P412" s="65">
        <f t="shared" si="666"/>
        <v>0</v>
      </c>
      <c r="Q412" s="451">
        <f t="shared" si="666"/>
        <v>1115715</v>
      </c>
      <c r="R412" s="451">
        <f t="shared" ref="R412:S412" si="667">R84+R292</f>
        <v>0</v>
      </c>
      <c r="S412" s="451">
        <f t="shared" si="667"/>
        <v>1115715</v>
      </c>
    </row>
    <row r="413" spans="2:19" x14ac:dyDescent="0.25">
      <c r="D413" s="71" t="s">
        <v>615</v>
      </c>
      <c r="E413" s="71"/>
      <c r="F413" s="69"/>
      <c r="G413" s="71"/>
      <c r="H413" s="71"/>
      <c r="I413" s="219">
        <v>5146</v>
      </c>
      <c r="J413" s="71"/>
      <c r="K413" s="65"/>
      <c r="L413" s="65"/>
      <c r="M413" s="65"/>
      <c r="N413" s="65"/>
      <c r="O413" s="65"/>
      <c r="P413" s="65"/>
      <c r="Q413" s="65">
        <f>Q144</f>
        <v>0</v>
      </c>
      <c r="R413" s="65">
        <f t="shared" ref="R413:S413" si="668">R144</f>
        <v>261321.25</v>
      </c>
      <c r="S413" s="65">
        <f t="shared" si="668"/>
        <v>261321.25</v>
      </c>
    </row>
    <row r="414" spans="2:19" ht="12.75" customHeight="1" x14ac:dyDescent="0.25">
      <c r="D414" s="71" t="s">
        <v>615</v>
      </c>
      <c r="E414" s="71"/>
      <c r="F414" s="69"/>
      <c r="G414" s="71"/>
      <c r="H414" s="71"/>
      <c r="I414" s="69">
        <v>5260</v>
      </c>
      <c r="J414" s="71"/>
      <c r="K414" s="65">
        <f t="shared" ref="K414:Q414" si="669">K256</f>
        <v>158000</v>
      </c>
      <c r="L414" s="65">
        <f t="shared" si="669"/>
        <v>0</v>
      </c>
      <c r="M414" s="65">
        <f t="shared" si="669"/>
        <v>158000</v>
      </c>
      <c r="N414" s="65">
        <f t="shared" si="669"/>
        <v>0</v>
      </c>
      <c r="O414" s="65">
        <f t="shared" si="669"/>
        <v>158000</v>
      </c>
      <c r="P414" s="65">
        <f t="shared" si="669"/>
        <v>0</v>
      </c>
      <c r="Q414" s="65">
        <f t="shared" si="669"/>
        <v>158000</v>
      </c>
      <c r="R414" s="65">
        <f t="shared" ref="R414:S414" si="670">R256</f>
        <v>-34322.089999999997</v>
      </c>
      <c r="S414" s="65">
        <f t="shared" si="670"/>
        <v>123677.91</v>
      </c>
    </row>
    <row r="415" spans="2:19" ht="12.75" customHeight="1" x14ac:dyDescent="0.25">
      <c r="D415" s="71" t="s">
        <v>590</v>
      </c>
      <c r="E415" s="71"/>
      <c r="F415" s="69"/>
      <c r="G415" s="71"/>
      <c r="H415" s="71"/>
      <c r="I415" s="69">
        <v>5392</v>
      </c>
      <c r="J415" s="71"/>
      <c r="K415" s="65">
        <f>K92</f>
        <v>0</v>
      </c>
      <c r="L415" s="65">
        <f t="shared" ref="L415:O415" si="671">L92</f>
        <v>0</v>
      </c>
      <c r="M415" s="65">
        <f t="shared" si="671"/>
        <v>0</v>
      </c>
      <c r="N415" s="65">
        <f t="shared" si="671"/>
        <v>0</v>
      </c>
      <c r="O415" s="65">
        <f t="shared" si="671"/>
        <v>0</v>
      </c>
      <c r="P415" s="65">
        <f t="shared" ref="P415:Q415" si="672">P92</f>
        <v>1200000</v>
      </c>
      <c r="Q415" s="65">
        <f t="shared" si="672"/>
        <v>1200000</v>
      </c>
      <c r="R415" s="65">
        <f t="shared" ref="R415:S415" si="673">R92</f>
        <v>0</v>
      </c>
      <c r="S415" s="65">
        <f t="shared" si="673"/>
        <v>1200000</v>
      </c>
    </row>
    <row r="416" spans="2:19" x14ac:dyDescent="0.25">
      <c r="D416" s="71" t="s">
        <v>612</v>
      </c>
      <c r="E416" s="71"/>
      <c r="F416" s="69"/>
      <c r="G416" s="71"/>
      <c r="H416" s="71"/>
      <c r="I416" s="18" t="s">
        <v>459</v>
      </c>
      <c r="J416" s="71"/>
      <c r="K416" s="65">
        <f t="shared" ref="K416:Q416" si="674">K97</f>
        <v>41440</v>
      </c>
      <c r="L416" s="65">
        <f t="shared" si="674"/>
        <v>0</v>
      </c>
      <c r="M416" s="65">
        <f t="shared" si="674"/>
        <v>41440</v>
      </c>
      <c r="N416" s="65">
        <f t="shared" si="674"/>
        <v>0</v>
      </c>
      <c r="O416" s="65">
        <f t="shared" si="674"/>
        <v>41440</v>
      </c>
      <c r="P416" s="65">
        <f t="shared" si="674"/>
        <v>0</v>
      </c>
      <c r="Q416" s="65">
        <f t="shared" si="674"/>
        <v>41440</v>
      </c>
      <c r="R416" s="65">
        <f t="shared" ref="R416:S416" si="675">R97</f>
        <v>0</v>
      </c>
      <c r="S416" s="65">
        <f t="shared" si="675"/>
        <v>41440</v>
      </c>
    </row>
    <row r="417" spans="2:19" x14ac:dyDescent="0.25">
      <c r="D417" s="71" t="s">
        <v>612</v>
      </c>
      <c r="E417" s="71"/>
      <c r="F417" s="69"/>
      <c r="G417" s="71"/>
      <c r="H417" s="71"/>
      <c r="I417" s="18" t="s">
        <v>624</v>
      </c>
      <c r="J417" s="71"/>
      <c r="K417" s="65">
        <f>K295</f>
        <v>0</v>
      </c>
      <c r="L417" s="65">
        <f t="shared" ref="L417:O417" si="676">L295</f>
        <v>0</v>
      </c>
      <c r="M417" s="65">
        <f t="shared" si="676"/>
        <v>0</v>
      </c>
      <c r="N417" s="65">
        <f t="shared" si="676"/>
        <v>68104</v>
      </c>
      <c r="O417" s="65">
        <f t="shared" si="676"/>
        <v>68104</v>
      </c>
      <c r="P417" s="65">
        <f t="shared" ref="P417:Q417" si="677">P295</f>
        <v>0</v>
      </c>
      <c r="Q417" s="65">
        <f t="shared" si="677"/>
        <v>68104</v>
      </c>
      <c r="R417" s="65">
        <f t="shared" ref="R417:S417" si="678">R295</f>
        <v>68100.600000000006</v>
      </c>
      <c r="S417" s="65">
        <f t="shared" si="678"/>
        <v>136204.6</v>
      </c>
    </row>
    <row r="418" spans="2:19" x14ac:dyDescent="0.25">
      <c r="D418" s="71" t="s">
        <v>612</v>
      </c>
      <c r="E418" s="71"/>
      <c r="F418" s="69"/>
      <c r="G418" s="71"/>
      <c r="H418" s="71"/>
      <c r="I418" s="18" t="s">
        <v>674</v>
      </c>
      <c r="J418" s="71"/>
      <c r="K418" s="65"/>
      <c r="L418" s="65"/>
      <c r="M418" s="65"/>
      <c r="N418" s="65"/>
      <c r="O418" s="65"/>
      <c r="P418" s="65"/>
      <c r="Q418" s="65">
        <f>Q100</f>
        <v>0</v>
      </c>
      <c r="R418" s="65">
        <f t="shared" ref="R418:S418" si="679">R100</f>
        <v>80000</v>
      </c>
      <c r="S418" s="65">
        <f t="shared" si="679"/>
        <v>80000</v>
      </c>
    </row>
    <row r="419" spans="2:19" x14ac:dyDescent="0.25">
      <c r="D419" s="71" t="s">
        <v>612</v>
      </c>
      <c r="E419" s="71"/>
      <c r="F419" s="69"/>
      <c r="G419" s="71"/>
      <c r="H419" s="71"/>
      <c r="I419" s="1" t="s">
        <v>485</v>
      </c>
      <c r="J419" s="71"/>
      <c r="K419" s="65">
        <f t="shared" ref="K419:Q419" si="680">K103</f>
        <v>2558000</v>
      </c>
      <c r="L419" s="65">
        <f t="shared" si="680"/>
        <v>0</v>
      </c>
      <c r="M419" s="65">
        <f t="shared" si="680"/>
        <v>2558000</v>
      </c>
      <c r="N419" s="65">
        <f t="shared" si="680"/>
        <v>0</v>
      </c>
      <c r="O419" s="65">
        <f t="shared" si="680"/>
        <v>2558000</v>
      </c>
      <c r="P419" s="65">
        <f t="shared" si="680"/>
        <v>0</v>
      </c>
      <c r="Q419" s="65">
        <f t="shared" si="680"/>
        <v>2558000</v>
      </c>
      <c r="R419" s="65">
        <f t="shared" ref="R419:S419" si="681">R103</f>
        <v>-2558000</v>
      </c>
      <c r="S419" s="65">
        <f t="shared" si="681"/>
        <v>0</v>
      </c>
    </row>
    <row r="420" spans="2:19" x14ac:dyDescent="0.25">
      <c r="D420" s="71" t="s">
        <v>612</v>
      </c>
      <c r="E420" s="71"/>
      <c r="F420" s="69"/>
      <c r="G420" s="71"/>
      <c r="H420" s="71"/>
      <c r="I420" s="1" t="s">
        <v>591</v>
      </c>
      <c r="J420" s="71"/>
      <c r="K420" s="65"/>
      <c r="L420" s="65"/>
      <c r="M420" s="65"/>
      <c r="N420" s="65"/>
      <c r="O420" s="65"/>
      <c r="P420" s="65"/>
      <c r="Q420" s="65">
        <f>Q298</f>
        <v>0</v>
      </c>
      <c r="R420" s="65">
        <f t="shared" ref="R420:S420" si="682">R298</f>
        <v>2478000</v>
      </c>
      <c r="S420" s="65">
        <f t="shared" si="682"/>
        <v>2478000</v>
      </c>
    </row>
    <row r="421" spans="2:19" x14ac:dyDescent="0.25">
      <c r="D421" s="71" t="s">
        <v>616</v>
      </c>
      <c r="E421" s="71"/>
      <c r="F421" s="69"/>
      <c r="G421" s="71"/>
      <c r="H421" s="71"/>
      <c r="I421" s="18"/>
      <c r="J421" s="71"/>
      <c r="K421" s="65">
        <f t="shared" ref="K421:P421" si="683">SUM(K352:K419)</f>
        <v>234246433</v>
      </c>
      <c r="L421" s="65">
        <f t="shared" si="683"/>
        <v>8505006</v>
      </c>
      <c r="M421" s="65">
        <f t="shared" si="683"/>
        <v>242751439</v>
      </c>
      <c r="N421" s="65">
        <f t="shared" si="683"/>
        <v>165681</v>
      </c>
      <c r="O421" s="65">
        <f t="shared" si="683"/>
        <v>242917120</v>
      </c>
      <c r="P421" s="65">
        <f t="shared" si="683"/>
        <v>-2522350</v>
      </c>
      <c r="Q421" s="65">
        <f>SUM(Q352:Q420)</f>
        <v>240394770</v>
      </c>
      <c r="R421" s="65">
        <f t="shared" ref="R421:S421" si="684">SUM(R352:R420)</f>
        <v>16113996.76</v>
      </c>
      <c r="S421" s="65">
        <f t="shared" si="684"/>
        <v>256508766.75999999</v>
      </c>
    </row>
    <row r="422" spans="2:19" x14ac:dyDescent="0.25">
      <c r="D422" s="71"/>
      <c r="E422" s="71"/>
      <c r="F422" s="69"/>
      <c r="G422" s="71"/>
      <c r="H422" s="71"/>
      <c r="I422" s="18"/>
      <c r="J422" s="71"/>
      <c r="K422" s="65">
        <f>K421-K435</f>
        <v>0</v>
      </c>
      <c r="L422" s="65">
        <f t="shared" ref="L422:N422" si="685">L421-L435</f>
        <v>0</v>
      </c>
      <c r="M422" s="65">
        <f t="shared" si="685"/>
        <v>0</v>
      </c>
      <c r="N422" s="65">
        <f t="shared" si="685"/>
        <v>0</v>
      </c>
      <c r="O422" s="65">
        <f>O421-O435</f>
        <v>0</v>
      </c>
      <c r="P422" s="65">
        <f t="shared" ref="P422" si="686">P421-P435</f>
        <v>0</v>
      </c>
      <c r="Q422" s="65">
        <f>Q421-Q435</f>
        <v>0</v>
      </c>
      <c r="R422" s="65">
        <f t="shared" ref="R422:S422" si="687">R421-R435</f>
        <v>-426205</v>
      </c>
      <c r="S422" s="65">
        <f t="shared" si="687"/>
        <v>-426205</v>
      </c>
    </row>
    <row r="423" spans="2:19" x14ac:dyDescent="0.25">
      <c r="D423" s="71" t="s">
        <v>612</v>
      </c>
      <c r="E423" s="71"/>
      <c r="F423" s="69"/>
      <c r="G423" s="71"/>
      <c r="H423" s="71"/>
      <c r="I423" s="18"/>
      <c r="J423" s="71"/>
      <c r="K423" s="65">
        <f t="shared" ref="K423:R423" si="688">K352+K353+K354+K355+K356+K357+K360+K361+K364+K365+K366+K367+K369+K370+K371+K383+K385+K388+K389+K390+K393+K394+K395+K396+K397+K398+K399+K400+K401+K402+K403+K404+K405+K406+K407+K408+K409+K416+K417+K418+K419+K420</f>
        <v>95577600</v>
      </c>
      <c r="L423" s="65">
        <f t="shared" si="688"/>
        <v>3702506</v>
      </c>
      <c r="M423" s="65">
        <f t="shared" si="688"/>
        <v>99280106</v>
      </c>
      <c r="N423" s="65">
        <f t="shared" si="688"/>
        <v>200000</v>
      </c>
      <c r="O423" s="65">
        <f t="shared" si="688"/>
        <v>99480106</v>
      </c>
      <c r="P423" s="65">
        <f t="shared" si="688"/>
        <v>46730</v>
      </c>
      <c r="Q423" s="65">
        <f t="shared" si="688"/>
        <v>99526836</v>
      </c>
      <c r="R423" s="65">
        <f t="shared" si="688"/>
        <v>1191047.6000000001</v>
      </c>
      <c r="S423" s="65">
        <f>S352+S353+S354+S355+S356+S357+S360+S361+S364+S365+S366+S367+S369+S370+S371+S383+S385+S388+S389+S390+S393+S394+S395+S396+S397+S398+S399+S400+S401+S402+S403+S404+S405+S406+S407+S408+S409+S416+S417+S418+S419+S420</f>
        <v>100717883.59999999</v>
      </c>
    </row>
    <row r="424" spans="2:19" x14ac:dyDescent="0.25">
      <c r="D424" s="71" t="s">
        <v>590</v>
      </c>
      <c r="E424" s="71"/>
      <c r="F424" s="69"/>
      <c r="G424" s="71"/>
      <c r="H424" s="71"/>
      <c r="I424" s="18"/>
      <c r="J424" s="71"/>
      <c r="K424" s="65">
        <f t="shared" ref="K424:R424" si="689">K368+K372+K373+K374+K375+K376+K377+K378+K379+K380+K381+K382+K384+K386+K387+K392+K415</f>
        <v>117156939</v>
      </c>
      <c r="L424" s="65">
        <f t="shared" si="689"/>
        <v>4802500</v>
      </c>
      <c r="M424" s="65">
        <f t="shared" si="689"/>
        <v>121959439</v>
      </c>
      <c r="N424" s="65">
        <f t="shared" si="689"/>
        <v>79485</v>
      </c>
      <c r="O424" s="65">
        <f t="shared" si="689"/>
        <v>122038924</v>
      </c>
      <c r="P424" s="65">
        <f t="shared" si="689"/>
        <v>-2581130</v>
      </c>
      <c r="Q424" s="65">
        <f t="shared" si="689"/>
        <v>119457794</v>
      </c>
      <c r="R424" s="65">
        <f t="shared" si="689"/>
        <v>13814000</v>
      </c>
      <c r="S424" s="65">
        <f>S368+S372+S373+S374+S375+S376+S377+S378+S379+S380+S381+S382+S384+S386+S387+S392+S415</f>
        <v>133271794</v>
      </c>
    </row>
    <row r="425" spans="2:19" x14ac:dyDescent="0.25">
      <c r="B425" s="66" t="s">
        <v>677</v>
      </c>
      <c r="D425" s="71" t="s">
        <v>615</v>
      </c>
      <c r="E425" s="71"/>
      <c r="F425" s="69"/>
      <c r="G425" s="71"/>
      <c r="H425" s="71"/>
      <c r="I425" s="18"/>
      <c r="J425" s="71"/>
      <c r="K425" s="65">
        <f>K410+K411+K413+K414+K292</f>
        <v>8970192</v>
      </c>
      <c r="L425" s="65">
        <f t="shared" ref="L425:S425" si="690">L410+L411+L413+L414+L292</f>
        <v>0</v>
      </c>
      <c r="M425" s="65">
        <f t="shared" si="690"/>
        <v>8970192</v>
      </c>
      <c r="N425" s="65">
        <f t="shared" si="690"/>
        <v>-74105</v>
      </c>
      <c r="O425" s="65">
        <f t="shared" si="690"/>
        <v>8896087</v>
      </c>
      <c r="P425" s="65">
        <f t="shared" si="690"/>
        <v>0</v>
      </c>
      <c r="Q425" s="65">
        <f t="shared" si="690"/>
        <v>8896087</v>
      </c>
      <c r="R425" s="65">
        <f t="shared" si="690"/>
        <v>1196399.1599999999</v>
      </c>
      <c r="S425" s="65">
        <f t="shared" si="690"/>
        <v>10092486.16</v>
      </c>
    </row>
    <row r="426" spans="2:19" x14ac:dyDescent="0.25">
      <c r="D426" s="71" t="s">
        <v>614</v>
      </c>
      <c r="E426" s="71"/>
      <c r="F426" s="69"/>
      <c r="G426" s="71"/>
      <c r="H426" s="71"/>
      <c r="I426" s="18"/>
      <c r="J426" s="71"/>
      <c r="K426" s="65">
        <f>K358+K359+K362+K363+K391+K84</f>
        <v>12541702</v>
      </c>
      <c r="L426" s="65">
        <f t="shared" ref="L426:S426" si="691">L358+L359+L362+L363+L391+L84</f>
        <v>0</v>
      </c>
      <c r="M426" s="65">
        <f t="shared" si="691"/>
        <v>12541702</v>
      </c>
      <c r="N426" s="65">
        <f t="shared" si="691"/>
        <v>-39699</v>
      </c>
      <c r="O426" s="65">
        <f t="shared" si="691"/>
        <v>12502003</v>
      </c>
      <c r="P426" s="65">
        <f t="shared" si="691"/>
        <v>12050</v>
      </c>
      <c r="Q426" s="65">
        <f t="shared" si="691"/>
        <v>12514053</v>
      </c>
      <c r="R426" s="65">
        <f t="shared" si="691"/>
        <v>-87450</v>
      </c>
      <c r="S426" s="65">
        <f t="shared" si="691"/>
        <v>12426603</v>
      </c>
    </row>
    <row r="427" spans="2:19" x14ac:dyDescent="0.25">
      <c r="G427" s="66"/>
      <c r="H427" s="66"/>
      <c r="I427" s="335"/>
      <c r="K427" s="193">
        <f t="shared" ref="K427:N427" si="692">K421-K423-K424-K425-K426</f>
        <v>0</v>
      </c>
      <c r="L427" s="193">
        <f t="shared" si="692"/>
        <v>0</v>
      </c>
      <c r="M427" s="193">
        <f t="shared" si="692"/>
        <v>0</v>
      </c>
      <c r="N427" s="193">
        <f t="shared" si="692"/>
        <v>0</v>
      </c>
      <c r="O427" s="193">
        <f>O421-O423-O424-O425-O426</f>
        <v>0</v>
      </c>
      <c r="P427" s="193">
        <f t="shared" ref="P427:S427" si="693">P421-P423-P424-P425-P426</f>
        <v>0</v>
      </c>
      <c r="Q427" s="193">
        <f t="shared" si="693"/>
        <v>0</v>
      </c>
      <c r="R427" s="193">
        <f t="shared" si="693"/>
        <v>2.3283064365386963E-10</v>
      </c>
      <c r="S427" s="193">
        <f t="shared" si="693"/>
        <v>0</v>
      </c>
    </row>
    <row r="428" spans="2:19" x14ac:dyDescent="0.25">
      <c r="G428" s="66"/>
      <c r="H428" s="66"/>
      <c r="I428" s="335"/>
      <c r="K428" s="193"/>
      <c r="L428" s="193"/>
      <c r="M428" s="193"/>
      <c r="N428" s="193"/>
      <c r="O428" s="193"/>
      <c r="P428" s="193"/>
      <c r="Q428" s="193"/>
      <c r="R428" s="193"/>
      <c r="S428" s="193"/>
    </row>
    <row r="429" spans="2:19" x14ac:dyDescent="0.25">
      <c r="B429" s="66" t="s">
        <v>680</v>
      </c>
      <c r="G429" s="66"/>
      <c r="H429" s="66"/>
      <c r="I429" s="335"/>
      <c r="K429" s="193" t="e">
        <f>#REF!+#REF!</f>
        <v>#REF!</v>
      </c>
      <c r="L429" s="193" t="e">
        <f>#REF!+#REF!</f>
        <v>#REF!</v>
      </c>
      <c r="M429" s="193" t="e">
        <f>#REF!+#REF!</f>
        <v>#REF!</v>
      </c>
      <c r="N429" s="193" t="e">
        <f>#REF!+#REF!</f>
        <v>#REF!</v>
      </c>
      <c r="O429" s="193" t="e">
        <f>#REF!+#REF!</f>
        <v>#REF!</v>
      </c>
      <c r="P429" s="193" t="e">
        <f>#REF!+#REF!</f>
        <v>#REF!</v>
      </c>
      <c r="Q429" s="193" t="e">
        <f>#REF!+#REF!+#REF!</f>
        <v>#REF!</v>
      </c>
      <c r="R429" s="193" t="e">
        <f>#REF!+#REF!</f>
        <v>#REF!</v>
      </c>
      <c r="S429" s="193" t="e">
        <f>#REF!+#REF!</f>
        <v>#REF!</v>
      </c>
    </row>
    <row r="430" spans="2:19" x14ac:dyDescent="0.25">
      <c r="B430" s="66" t="s">
        <v>573</v>
      </c>
      <c r="G430" s="66"/>
      <c r="H430" s="66"/>
      <c r="I430" s="335"/>
      <c r="K430" s="193"/>
      <c r="L430" s="193"/>
      <c r="M430" s="193"/>
      <c r="N430" s="193"/>
      <c r="O430" s="193"/>
      <c r="P430" s="193"/>
      <c r="Q430" s="193" t="e">
        <f>#REF!+#REF!</f>
        <v>#REF!</v>
      </c>
      <c r="R430" s="193" t="e">
        <f>#REF!+#REF!</f>
        <v>#REF!</v>
      </c>
      <c r="S430" s="193" t="e">
        <f>#REF!+#REF!</f>
        <v>#REF!</v>
      </c>
    </row>
    <row r="431" spans="2:19" x14ac:dyDescent="0.25">
      <c r="G431" s="66"/>
      <c r="H431" s="66"/>
      <c r="I431" s="335"/>
      <c r="K431" s="193"/>
      <c r="L431" s="193"/>
      <c r="M431" s="193"/>
      <c r="N431" s="193"/>
      <c r="O431" s="193"/>
      <c r="P431" s="193"/>
      <c r="Q431" s="193"/>
      <c r="R431" s="193"/>
      <c r="S431" s="193"/>
    </row>
    <row r="432" spans="2:19" x14ac:dyDescent="0.25">
      <c r="B432" s="66" t="s">
        <v>681</v>
      </c>
      <c r="G432" s="66"/>
      <c r="H432" s="66"/>
      <c r="I432" s="335"/>
      <c r="K432" s="193" t="e">
        <f t="shared" ref="K432:N432" si="694">K429-K424</f>
        <v>#REF!</v>
      </c>
      <c r="L432" s="193" t="e">
        <f t="shared" si="694"/>
        <v>#REF!</v>
      </c>
      <c r="M432" s="193" t="e">
        <f t="shared" si="694"/>
        <v>#REF!</v>
      </c>
      <c r="N432" s="193" t="e">
        <f t="shared" si="694"/>
        <v>#REF!</v>
      </c>
      <c r="O432" s="193" t="e">
        <f>O429-O424</f>
        <v>#REF!</v>
      </c>
      <c r="P432" s="193" t="e">
        <f t="shared" ref="P432" si="695">P429-P424</f>
        <v>#REF!</v>
      </c>
      <c r="Q432" s="193" t="e">
        <f>Q429-Q424-Q425</f>
        <v>#REF!</v>
      </c>
      <c r="R432" s="193" t="e">
        <f t="shared" ref="R432:S432" si="696">R429-R424-R425</f>
        <v>#REF!</v>
      </c>
      <c r="S432" s="193" t="e">
        <f t="shared" si="696"/>
        <v>#REF!</v>
      </c>
    </row>
    <row r="433" spans="2:19" x14ac:dyDescent="0.25">
      <c r="G433" s="66"/>
      <c r="H433" s="66"/>
      <c r="I433" s="335"/>
      <c r="K433" s="193"/>
      <c r="L433" s="193"/>
      <c r="M433" s="193"/>
      <c r="N433" s="193"/>
      <c r="O433" s="193"/>
      <c r="P433" s="193"/>
      <c r="Q433" s="193"/>
      <c r="R433" s="193"/>
      <c r="S433" s="193"/>
    </row>
    <row r="434" spans="2:19" x14ac:dyDescent="0.25">
      <c r="G434" s="66"/>
      <c r="H434" s="66"/>
      <c r="I434" s="335"/>
      <c r="K434" s="193"/>
      <c r="L434" s="193"/>
      <c r="M434" s="193"/>
      <c r="N434" s="193"/>
      <c r="O434" s="193"/>
      <c r="P434" s="193"/>
      <c r="Q434" s="193"/>
      <c r="R434" s="193"/>
      <c r="S434" s="193"/>
    </row>
    <row r="435" spans="2:19" x14ac:dyDescent="0.25">
      <c r="G435" s="66"/>
      <c r="H435" s="66"/>
      <c r="I435" s="66"/>
      <c r="K435" s="193">
        <f>'6 Вед15'!J393</f>
        <v>234246433</v>
      </c>
      <c r="L435" s="193">
        <f>'6 Вед15'!K393</f>
        <v>8505006</v>
      </c>
      <c r="M435" s="193">
        <f>'6 Вед15'!L393</f>
        <v>242751439</v>
      </c>
      <c r="N435" s="193">
        <f>'6 Вед15'!M393</f>
        <v>165681</v>
      </c>
      <c r="O435" s="193">
        <f>'6 Вед15'!N393</f>
        <v>242917120</v>
      </c>
      <c r="P435" s="193">
        <f>'6 Вед15'!O393</f>
        <v>-2522350</v>
      </c>
      <c r="Q435" s="193">
        <f>'6 Вед15'!P393</f>
        <v>240394770</v>
      </c>
      <c r="R435" s="193">
        <f>'6 Вед15'!Q393</f>
        <v>16540201.76</v>
      </c>
      <c r="S435" s="193">
        <f>'6 Вед15'!U393</f>
        <v>256934971.75999999</v>
      </c>
    </row>
    <row r="436" spans="2:19" x14ac:dyDescent="0.25">
      <c r="G436" s="66"/>
      <c r="H436" s="66"/>
      <c r="I436" s="66"/>
      <c r="K436" s="193"/>
      <c r="L436" s="193"/>
      <c r="M436" s="193"/>
      <c r="N436" s="193"/>
      <c r="O436" s="193"/>
      <c r="P436" s="193"/>
      <c r="Q436" s="193"/>
      <c r="R436" s="193"/>
      <c r="S436" s="193"/>
    </row>
    <row r="437" spans="2:19" x14ac:dyDescent="0.25">
      <c r="G437" s="66"/>
      <c r="H437" s="66"/>
      <c r="I437" s="66"/>
      <c r="K437" s="193">
        <f t="shared" ref="K437:Q437" si="697">K335-K435</f>
        <v>0</v>
      </c>
      <c r="L437" s="193">
        <f t="shared" si="697"/>
        <v>0</v>
      </c>
      <c r="M437" s="193">
        <f t="shared" si="697"/>
        <v>0</v>
      </c>
      <c r="N437" s="193">
        <f t="shared" si="697"/>
        <v>0</v>
      </c>
      <c r="O437" s="193">
        <f t="shared" si="697"/>
        <v>0</v>
      </c>
      <c r="P437" s="193">
        <f t="shared" si="697"/>
        <v>0</v>
      </c>
      <c r="Q437" s="193">
        <f t="shared" si="697"/>
        <v>0</v>
      </c>
      <c r="R437" s="193">
        <f t="shared" ref="R437:S437" si="698">R335-R435</f>
        <v>0</v>
      </c>
      <c r="S437" s="193">
        <f t="shared" si="698"/>
        <v>0</v>
      </c>
    </row>
    <row r="438" spans="2:19" x14ac:dyDescent="0.25">
      <c r="G438" s="66"/>
      <c r="H438" s="66"/>
      <c r="I438" s="66"/>
      <c r="K438" s="193" t="e">
        <f>#REF!</f>
        <v>#REF!</v>
      </c>
      <c r="L438" s="193" t="e">
        <f>#REF!</f>
        <v>#REF!</v>
      </c>
      <c r="M438" s="193" t="e">
        <f>#REF!</f>
        <v>#REF!</v>
      </c>
      <c r="N438" s="193" t="e">
        <f>#REF!</f>
        <v>#REF!</v>
      </c>
      <c r="O438" s="193" t="e">
        <f>#REF!</f>
        <v>#REF!</v>
      </c>
      <c r="P438" s="193" t="e">
        <f>#REF!</f>
        <v>#REF!</v>
      </c>
      <c r="Q438" s="193" t="e">
        <f>#REF!</f>
        <v>#REF!</v>
      </c>
      <c r="R438" s="193" t="e">
        <f>#REF!</f>
        <v>#REF!</v>
      </c>
      <c r="S438" s="193" t="e">
        <f>#REF!</f>
        <v>#REF!</v>
      </c>
    </row>
    <row r="439" spans="2:19" x14ac:dyDescent="0.25">
      <c r="G439" s="66"/>
      <c r="H439" s="66"/>
      <c r="I439" s="66"/>
      <c r="K439" s="193" t="e">
        <f t="shared" ref="K439:Q439" si="699">K335-K438</f>
        <v>#REF!</v>
      </c>
      <c r="L439" s="193" t="e">
        <f t="shared" si="699"/>
        <v>#REF!</v>
      </c>
      <c r="M439" s="193" t="e">
        <f t="shared" si="699"/>
        <v>#REF!</v>
      </c>
      <c r="N439" s="193" t="e">
        <f t="shared" si="699"/>
        <v>#REF!</v>
      </c>
      <c r="O439" s="193" t="e">
        <f t="shared" si="699"/>
        <v>#REF!</v>
      </c>
      <c r="P439" s="193" t="e">
        <f t="shared" si="699"/>
        <v>#REF!</v>
      </c>
      <c r="Q439" s="193" t="e">
        <f t="shared" si="699"/>
        <v>#REF!</v>
      </c>
      <c r="R439" s="193" t="e">
        <f t="shared" ref="R439:S439" si="700">R335-R438</f>
        <v>#REF!</v>
      </c>
      <c r="S439" s="193" t="e">
        <f t="shared" si="700"/>
        <v>#REF!</v>
      </c>
    </row>
    <row r="440" spans="2:19" x14ac:dyDescent="0.25">
      <c r="G440" s="66"/>
      <c r="H440" s="66"/>
      <c r="I440" s="66"/>
      <c r="K440" s="193" t="e">
        <f>#REF!</f>
        <v>#REF!</v>
      </c>
      <c r="L440" s="193" t="e">
        <f>#REF!</f>
        <v>#REF!</v>
      </c>
      <c r="M440" s="193" t="e">
        <f>#REF!</f>
        <v>#REF!</v>
      </c>
      <c r="N440" s="193" t="e">
        <f>#REF!</f>
        <v>#REF!</v>
      </c>
      <c r="O440" s="193" t="e">
        <f>#REF!</f>
        <v>#REF!</v>
      </c>
      <c r="P440" s="193" t="e">
        <f>#REF!</f>
        <v>#REF!</v>
      </c>
      <c r="Q440" s="193" t="e">
        <f>#REF!</f>
        <v>#REF!</v>
      </c>
      <c r="R440" s="193" t="e">
        <f>#REF!</f>
        <v>#REF!</v>
      </c>
      <c r="S440" s="193" t="e">
        <f>#REF!</f>
        <v>#REF!</v>
      </c>
    </row>
    <row r="441" spans="2:19" x14ac:dyDescent="0.25">
      <c r="G441" s="66"/>
      <c r="H441" s="66"/>
      <c r="I441" s="66"/>
      <c r="K441" s="193" t="e">
        <f t="shared" ref="K441:Q441" si="701">K335-K440</f>
        <v>#REF!</v>
      </c>
      <c r="L441" s="193" t="e">
        <f t="shared" si="701"/>
        <v>#REF!</v>
      </c>
      <c r="M441" s="193" t="e">
        <f t="shared" si="701"/>
        <v>#REF!</v>
      </c>
      <c r="N441" s="193" t="e">
        <f t="shared" si="701"/>
        <v>#REF!</v>
      </c>
      <c r="O441" s="193" t="e">
        <f t="shared" si="701"/>
        <v>#REF!</v>
      </c>
      <c r="P441" s="193" t="e">
        <f t="shared" si="701"/>
        <v>#REF!</v>
      </c>
      <c r="Q441" s="193" t="e">
        <f t="shared" si="701"/>
        <v>#REF!</v>
      </c>
      <c r="R441" s="193" t="e">
        <f t="shared" ref="R441:S441" si="702">R335-R440</f>
        <v>#REF!</v>
      </c>
      <c r="S441" s="193" t="e">
        <f t="shared" si="702"/>
        <v>#REF!</v>
      </c>
    </row>
    <row r="442" spans="2:19" x14ac:dyDescent="0.25">
      <c r="G442" s="66"/>
      <c r="H442" s="66"/>
      <c r="I442" s="66"/>
      <c r="K442" s="193" t="e">
        <f>'12 Ист.15'!G15</f>
        <v>#REF!</v>
      </c>
      <c r="L442" s="193" t="e">
        <f>'12 Ист.15'!H15</f>
        <v>#REF!</v>
      </c>
      <c r="M442" s="193" t="e">
        <f>'12 Ист.15'!I15</f>
        <v>#REF!</v>
      </c>
      <c r="N442" s="193" t="e">
        <f>'12 Ист.15'!J15</f>
        <v>#REF!</v>
      </c>
      <c r="O442" s="193" t="e">
        <f>'12 Ист.15'!K15</f>
        <v>#REF!</v>
      </c>
      <c r="P442" s="193">
        <f>'12 Ист.15'!L15</f>
        <v>8461006.599999994</v>
      </c>
      <c r="Q442" s="193" t="e">
        <f>'12 Ист.15'!#REF!</f>
        <v>#REF!</v>
      </c>
      <c r="R442" s="193" t="e">
        <f>'12 Ист.15'!#REF!</f>
        <v>#REF!</v>
      </c>
      <c r="S442" s="193">
        <f>'12 Ист.15'!M15</f>
        <v>0</v>
      </c>
    </row>
    <row r="443" spans="2:19" x14ac:dyDescent="0.25">
      <c r="G443" s="66"/>
      <c r="H443" s="66"/>
      <c r="I443" s="104"/>
      <c r="K443" s="193" t="e">
        <f t="shared" ref="K443:Q443" si="703">K335-K440-K442</f>
        <v>#REF!</v>
      </c>
      <c r="L443" s="193" t="e">
        <f t="shared" si="703"/>
        <v>#REF!</v>
      </c>
      <c r="M443" s="193" t="e">
        <f t="shared" si="703"/>
        <v>#REF!</v>
      </c>
      <c r="N443" s="193" t="e">
        <f t="shared" si="703"/>
        <v>#REF!</v>
      </c>
      <c r="O443" s="193" t="e">
        <f t="shared" si="703"/>
        <v>#REF!</v>
      </c>
      <c r="P443" s="193" t="e">
        <f t="shared" si="703"/>
        <v>#REF!</v>
      </c>
      <c r="Q443" s="193" t="e">
        <f t="shared" si="703"/>
        <v>#REF!</v>
      </c>
      <c r="R443" s="193" t="e">
        <f t="shared" ref="R443:S443" si="704">R335-R440-R442</f>
        <v>#REF!</v>
      </c>
      <c r="S443" s="193" t="e">
        <f t="shared" si="704"/>
        <v>#REF!</v>
      </c>
    </row>
    <row r="444" spans="2:19" x14ac:dyDescent="0.25">
      <c r="G444" s="66"/>
      <c r="H444" s="66"/>
      <c r="I444" s="334"/>
      <c r="K444" s="193"/>
    </row>
    <row r="445" spans="2:19" x14ac:dyDescent="0.25">
      <c r="F445" s="66"/>
      <c r="G445" s="66"/>
      <c r="H445" s="66"/>
      <c r="I445" s="335"/>
      <c r="K445" s="193"/>
    </row>
    <row r="446" spans="2:19" x14ac:dyDescent="0.25">
      <c r="F446" s="66"/>
      <c r="G446" s="66"/>
      <c r="H446" s="66"/>
      <c r="I446" s="334"/>
      <c r="K446" s="193"/>
    </row>
    <row r="447" spans="2:19" x14ac:dyDescent="0.25">
      <c r="B447" s="6" t="s">
        <v>448</v>
      </c>
      <c r="F447" s="66"/>
      <c r="G447" s="66"/>
      <c r="H447" s="66"/>
      <c r="I447" s="334"/>
      <c r="K447" s="193" t="e">
        <f>#REF!+#REF!+#REF!+#REF!+#REF!+#REF!</f>
        <v>#REF!</v>
      </c>
    </row>
    <row r="448" spans="2:19" x14ac:dyDescent="0.25">
      <c r="B448" s="6" t="s">
        <v>449</v>
      </c>
      <c r="F448" s="66"/>
      <c r="G448" s="66"/>
      <c r="H448" s="66"/>
      <c r="I448" s="334"/>
      <c r="K448" s="193" t="e">
        <f>#REF!+#REF!+#REF!+#REF!+#REF!+#REF!</f>
        <v>#REF!</v>
      </c>
    </row>
    <row r="449" spans="2:11" x14ac:dyDescent="0.25">
      <c r="F449" s="66"/>
      <c r="G449" s="66"/>
      <c r="H449" s="66"/>
      <c r="I449" s="335"/>
      <c r="K449" s="193"/>
    </row>
    <row r="450" spans="2:11" x14ac:dyDescent="0.25">
      <c r="F450" s="66"/>
      <c r="I450" s="334"/>
      <c r="K450" s="193"/>
    </row>
    <row r="451" spans="2:11" x14ac:dyDescent="0.25">
      <c r="B451" s="66" t="s">
        <v>452</v>
      </c>
      <c r="F451" s="66"/>
      <c r="I451" s="334"/>
      <c r="K451" s="193" t="e">
        <f>#REF!+#REF!+#REF!+#REF!+#REF!+#REF!+#REF!+#REF!+#REF!</f>
        <v>#REF!</v>
      </c>
    </row>
    <row r="452" spans="2:11" x14ac:dyDescent="0.25">
      <c r="F452" s="66"/>
      <c r="I452" s="334"/>
    </row>
    <row r="453" spans="2:11" x14ac:dyDescent="0.25">
      <c r="F453" s="66"/>
      <c r="I453" s="336"/>
    </row>
    <row r="454" spans="2:11" x14ac:dyDescent="0.25">
      <c r="F454" s="66"/>
      <c r="I454" s="334"/>
    </row>
    <row r="455" spans="2:11" x14ac:dyDescent="0.25">
      <c r="F455" s="66"/>
      <c r="I455" s="104"/>
    </row>
    <row r="456" spans="2:11" x14ac:dyDescent="0.25">
      <c r="F456" s="66"/>
      <c r="I456" s="104"/>
    </row>
    <row r="457" spans="2:11" x14ac:dyDescent="0.25">
      <c r="F457" s="66"/>
      <c r="I457" s="104"/>
    </row>
    <row r="458" spans="2:11" x14ac:dyDescent="0.25">
      <c r="F458" s="66"/>
      <c r="G458" s="66"/>
      <c r="H458" s="66"/>
      <c r="I458" s="104"/>
    </row>
    <row r="459" spans="2:11" x14ac:dyDescent="0.25">
      <c r="F459" s="66"/>
      <c r="G459" s="66"/>
      <c r="H459" s="66"/>
      <c r="I459" s="104"/>
    </row>
    <row r="460" spans="2:11" x14ac:dyDescent="0.25">
      <c r="F460" s="66"/>
      <c r="G460" s="66"/>
      <c r="H460" s="66"/>
      <c r="I460" s="66"/>
    </row>
    <row r="461" spans="2:11" x14ac:dyDescent="0.25">
      <c r="F461" s="66"/>
      <c r="G461" s="66"/>
      <c r="H461" s="66"/>
      <c r="I461" s="66"/>
    </row>
    <row r="462" spans="2:11" x14ac:dyDescent="0.25">
      <c r="F462" s="66"/>
      <c r="G462" s="66"/>
      <c r="H462" s="66"/>
      <c r="I462" s="66"/>
    </row>
    <row r="463" spans="2:11" x14ac:dyDescent="0.25">
      <c r="F463" s="66"/>
      <c r="G463" s="66"/>
      <c r="H463" s="66"/>
      <c r="I463" s="66"/>
    </row>
    <row r="464" spans="2:11" x14ac:dyDescent="0.25">
      <c r="F464" s="66"/>
      <c r="I464" s="66"/>
    </row>
    <row r="465" spans="6:9" x14ac:dyDescent="0.25">
      <c r="F465" s="66"/>
      <c r="G465" s="66"/>
      <c r="H465" s="66"/>
      <c r="I465" s="66"/>
    </row>
    <row r="466" spans="6:9" x14ac:dyDescent="0.25">
      <c r="F466" s="66"/>
      <c r="I466" s="66"/>
    </row>
    <row r="467" spans="6:9" x14ac:dyDescent="0.25">
      <c r="F467" s="66"/>
      <c r="I467" s="66"/>
    </row>
    <row r="468" spans="6:9" x14ac:dyDescent="0.25">
      <c r="F468" s="66"/>
      <c r="I468" s="66"/>
    </row>
    <row r="469" spans="6:9" x14ac:dyDescent="0.25">
      <c r="F469" s="66"/>
      <c r="I469" s="66"/>
    </row>
    <row r="470" spans="6:9" x14ac:dyDescent="0.25">
      <c r="F470" s="66"/>
      <c r="I470" s="66"/>
    </row>
    <row r="471" spans="6:9" x14ac:dyDescent="0.25">
      <c r="F471" s="66"/>
      <c r="I471" s="66"/>
    </row>
    <row r="472" spans="6:9" x14ac:dyDescent="0.25">
      <c r="F472" s="66"/>
      <c r="G472" s="66"/>
      <c r="H472" s="66"/>
      <c r="I472" s="66"/>
    </row>
    <row r="473" spans="6:9" x14ac:dyDescent="0.25">
      <c r="F473" s="66"/>
      <c r="I473" s="66"/>
    </row>
    <row r="474" spans="6:9" x14ac:dyDescent="0.25">
      <c r="F474" s="66"/>
      <c r="I474" s="66"/>
    </row>
    <row r="475" spans="6:9" x14ac:dyDescent="0.25">
      <c r="F475" s="66"/>
      <c r="I475" s="66"/>
    </row>
    <row r="476" spans="6:9" x14ac:dyDescent="0.25">
      <c r="F476" s="66"/>
      <c r="I476" s="66"/>
    </row>
    <row r="477" spans="6:9" x14ac:dyDescent="0.25">
      <c r="F477" s="66"/>
      <c r="I477" s="66"/>
    </row>
    <row r="478" spans="6:9" x14ac:dyDescent="0.25">
      <c r="F478" s="66"/>
      <c r="I478" s="66"/>
    </row>
    <row r="479" spans="6:9" x14ac:dyDescent="0.25">
      <c r="F479" s="66"/>
      <c r="I479" s="66"/>
    </row>
    <row r="480" spans="6:9" x14ac:dyDescent="0.25">
      <c r="I480" s="1"/>
    </row>
    <row r="481" spans="6:9" x14ac:dyDescent="0.25">
      <c r="F481" s="66"/>
      <c r="I481" s="1"/>
    </row>
    <row r="482" spans="6:9" x14ac:dyDescent="0.25">
      <c r="F482" s="66"/>
      <c r="I482" s="1"/>
    </row>
    <row r="483" spans="6:9" x14ac:dyDescent="0.25">
      <c r="F483" s="66"/>
      <c r="I483" s="1"/>
    </row>
    <row r="484" spans="6:9" x14ac:dyDescent="0.25">
      <c r="F484" s="66"/>
      <c r="G484" s="66"/>
      <c r="H484" s="66"/>
      <c r="I484" s="66"/>
    </row>
    <row r="485" spans="6:9" x14ac:dyDescent="0.25">
      <c r="F485" s="66"/>
      <c r="G485" s="66"/>
      <c r="H485" s="66"/>
      <c r="I485" s="66"/>
    </row>
    <row r="486" spans="6:9" x14ac:dyDescent="0.25">
      <c r="F486" s="66"/>
      <c r="G486" s="66"/>
      <c r="H486" s="66"/>
      <c r="I486" s="66"/>
    </row>
    <row r="487" spans="6:9" x14ac:dyDescent="0.25">
      <c r="F487" s="66"/>
      <c r="G487" s="66"/>
      <c r="H487" s="66"/>
      <c r="I487" s="66"/>
    </row>
    <row r="488" spans="6:9" x14ac:dyDescent="0.25">
      <c r="F488" s="66"/>
      <c r="G488" s="66"/>
      <c r="H488" s="66"/>
      <c r="I488" s="66"/>
    </row>
  </sheetData>
  <mergeCells count="113">
    <mergeCell ref="A272:B272"/>
    <mergeCell ref="A275:B275"/>
    <mergeCell ref="A238:B238"/>
    <mergeCell ref="A224:B224"/>
    <mergeCell ref="A327:B327"/>
    <mergeCell ref="A326:B326"/>
    <mergeCell ref="A261:B261"/>
    <mergeCell ref="A259:B259"/>
    <mergeCell ref="A269:B269"/>
    <mergeCell ref="A280:B280"/>
    <mergeCell ref="A302:B302"/>
    <mergeCell ref="A301:B301"/>
    <mergeCell ref="A319:B319"/>
    <mergeCell ref="A306:B306"/>
    <mergeCell ref="A315:B315"/>
    <mergeCell ref="A316:B316"/>
    <mergeCell ref="A311:B311"/>
    <mergeCell ref="A312:B312"/>
    <mergeCell ref="A289:B289"/>
    <mergeCell ref="A295:B295"/>
    <mergeCell ref="A285:B285"/>
    <mergeCell ref="A303:B303"/>
    <mergeCell ref="A232:B232"/>
    <mergeCell ref="A332:B332"/>
    <mergeCell ref="A5:B5"/>
    <mergeCell ref="A7:B7"/>
    <mergeCell ref="A8:B8"/>
    <mergeCell ref="A11:B11"/>
    <mergeCell ref="A138:B138"/>
    <mergeCell ref="A103:B103"/>
    <mergeCell ref="A97:B97"/>
    <mergeCell ref="A118:B118"/>
    <mergeCell ref="A117:B117"/>
    <mergeCell ref="A89:B89"/>
    <mergeCell ref="A119:B119"/>
    <mergeCell ref="A135:B135"/>
    <mergeCell ref="A218:B218"/>
    <mergeCell ref="A256:B256"/>
    <mergeCell ref="A247:B247"/>
    <mergeCell ref="A250:B250"/>
    <mergeCell ref="A210:B210"/>
    <mergeCell ref="A253:B253"/>
    <mergeCell ref="A292:B292"/>
    <mergeCell ref="A215:B215"/>
    <mergeCell ref="E1:K1"/>
    <mergeCell ref="A122:B122"/>
    <mergeCell ref="A125:B125"/>
    <mergeCell ref="A128:B128"/>
    <mergeCell ref="A69:B69"/>
    <mergeCell ref="A64:B64"/>
    <mergeCell ref="A109:B109"/>
    <mergeCell ref="A110:B110"/>
    <mergeCell ref="A111:B111"/>
    <mergeCell ref="A72:B72"/>
    <mergeCell ref="A114:B114"/>
    <mergeCell ref="G4:H4"/>
    <mergeCell ref="A23:B23"/>
    <mergeCell ref="A75:B75"/>
    <mergeCell ref="A92:B92"/>
    <mergeCell ref="A3:S3"/>
    <mergeCell ref="E2:S2"/>
    <mergeCell ref="A100:B100"/>
    <mergeCell ref="A81:B81"/>
    <mergeCell ref="A144:B144"/>
    <mergeCell ref="A78:B78"/>
    <mergeCell ref="A235:B235"/>
    <mergeCell ref="A229:B229"/>
    <mergeCell ref="A260:B260"/>
    <mergeCell ref="A188:B188"/>
    <mergeCell ref="A200:B200"/>
    <mergeCell ref="A194:B194"/>
    <mergeCell ref="A154:B154"/>
    <mergeCell ref="A165:B165"/>
    <mergeCell ref="A147:B147"/>
    <mergeCell ref="A221:B221"/>
    <mergeCell ref="A160:B160"/>
    <mergeCell ref="A161:B161"/>
    <mergeCell ref="A157:B157"/>
    <mergeCell ref="A162:B162"/>
    <mergeCell ref="A187:B187"/>
    <mergeCell ref="A178:B178"/>
    <mergeCell ref="A183:B183"/>
    <mergeCell ref="A181:B181"/>
    <mergeCell ref="A182:B182"/>
    <mergeCell ref="A186:B186"/>
    <mergeCell ref="A170:B170"/>
    <mergeCell ref="A173:B173"/>
    <mergeCell ref="A174:B174"/>
    <mergeCell ref="A175:B175"/>
    <mergeCell ref="A298:B298"/>
    <mergeCell ref="A148:B148"/>
    <mergeCell ref="A152:B152"/>
    <mergeCell ref="A106:B106"/>
    <mergeCell ref="A141:B141"/>
    <mergeCell ref="B142:C142"/>
    <mergeCell ref="A153:B153"/>
    <mergeCell ref="A6:B6"/>
    <mergeCell ref="A34:B34"/>
    <mergeCell ref="A42:B42"/>
    <mergeCell ref="A45:B45"/>
    <mergeCell ref="A53:B53"/>
    <mergeCell ref="A58:B58"/>
    <mergeCell ref="A61:B61"/>
    <mergeCell ref="A84:B84"/>
    <mergeCell ref="A29:B29"/>
    <mergeCell ref="A39:B39"/>
    <mergeCell ref="A48:B48"/>
    <mergeCell ref="A20:B20"/>
    <mergeCell ref="A132:B132"/>
    <mergeCell ref="A149:B149"/>
    <mergeCell ref="A191:B191"/>
    <mergeCell ref="A197:B197"/>
    <mergeCell ref="A26:B26"/>
  </mergeCells>
  <printOptions headings="1"/>
  <pageMargins left="0.70866141732283472" right="0.31496062992125984" top="0.19685039370078741" bottom="0.19685039370078741" header="0.31496062992125984" footer="0.31496062992125984"/>
  <pageSetup paperSize="9" scale="7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Q459"/>
  <sheetViews>
    <sheetView zoomScale="90" zoomScaleNormal="90" workbookViewId="0">
      <pane xSplit="10" ySplit="5" topLeftCell="K146" activePane="bottomRight" state="frozen"/>
      <selection pane="topRight" activeCell="K1" sqref="K1"/>
      <selection pane="bottomLeft" activeCell="A6" sqref="A6"/>
      <selection pane="bottomRight" activeCell="Q148" sqref="Q147:Q148"/>
    </sheetView>
  </sheetViews>
  <sheetFormatPr defaultRowHeight="12" x14ac:dyDescent="0.25"/>
  <cols>
    <col min="1" max="1" width="1.7109375" style="6" customWidth="1"/>
    <col min="2" max="2" width="68.85546875" style="6" customWidth="1"/>
    <col min="3" max="4" width="4" style="6" hidden="1" customWidth="1"/>
    <col min="5" max="5" width="4" style="64" customWidth="1"/>
    <col min="6" max="7" width="3.5703125" style="64" customWidth="1"/>
    <col min="8" max="8" width="9.5703125" style="6" customWidth="1"/>
    <col min="9" max="9" width="4" style="6" customWidth="1"/>
    <col min="10" max="10" width="13.42578125" style="9" hidden="1" customWidth="1"/>
    <col min="11" max="12" width="14.28515625" style="6" hidden="1" customWidth="1"/>
    <col min="13" max="13" width="14.28515625" style="6" customWidth="1"/>
    <col min="14" max="14" width="13.42578125" style="6" hidden="1" customWidth="1"/>
    <col min="15" max="15" width="12.7109375" style="6" hidden="1" customWidth="1"/>
    <col min="16" max="16" width="14.28515625" style="6" customWidth="1"/>
    <col min="17" max="17" width="13.140625" style="6" customWidth="1"/>
    <col min="18" max="210" width="9.140625" style="6"/>
    <col min="211" max="211" width="1.42578125" style="6" customWidth="1"/>
    <col min="212" max="212" width="59.5703125" style="6" customWidth="1"/>
    <col min="213" max="213" width="9.140625" style="6" customWidth="1"/>
    <col min="214" max="215" width="3.85546875" style="6" customWidth="1"/>
    <col min="216" max="216" width="10.5703125" style="6" customWidth="1"/>
    <col min="217" max="217" width="3.85546875" style="6" customWidth="1"/>
    <col min="218" max="220" width="14.42578125" style="6" customWidth="1"/>
    <col min="221" max="221" width="4.140625" style="6" customWidth="1"/>
    <col min="222" max="222" width="15" style="6" customWidth="1"/>
    <col min="223" max="224" width="9.140625" style="6" customWidth="1"/>
    <col min="225" max="225" width="11.5703125" style="6" customWidth="1"/>
    <col min="226" max="226" width="18.140625" style="6" customWidth="1"/>
    <col min="227" max="227" width="13.140625" style="6" customWidth="1"/>
    <col min="228" max="228" width="12.28515625" style="6" customWidth="1"/>
    <col min="229" max="466" width="9.140625" style="6"/>
    <col min="467" max="467" width="1.42578125" style="6" customWidth="1"/>
    <col min="468" max="468" width="59.5703125" style="6" customWidth="1"/>
    <col min="469" max="469" width="9.140625" style="6" customWidth="1"/>
    <col min="470" max="471" width="3.85546875" style="6" customWidth="1"/>
    <col min="472" max="472" width="10.5703125" style="6" customWidth="1"/>
    <col min="473" max="473" width="3.85546875" style="6" customWidth="1"/>
    <col min="474" max="476" width="14.42578125" style="6" customWidth="1"/>
    <col min="477" max="477" width="4.140625" style="6" customWidth="1"/>
    <col min="478" max="478" width="15" style="6" customWidth="1"/>
    <col min="479" max="480" width="9.140625" style="6" customWidth="1"/>
    <col min="481" max="481" width="11.5703125" style="6" customWidth="1"/>
    <col min="482" max="482" width="18.140625" style="6" customWidth="1"/>
    <col min="483" max="483" width="13.140625" style="6" customWidth="1"/>
    <col min="484" max="484" width="12.28515625" style="6" customWidth="1"/>
    <col min="485" max="722" width="9.140625" style="6"/>
    <col min="723" max="723" width="1.42578125" style="6" customWidth="1"/>
    <col min="724" max="724" width="59.5703125" style="6" customWidth="1"/>
    <col min="725" max="725" width="9.140625" style="6" customWidth="1"/>
    <col min="726" max="727" width="3.85546875" style="6" customWidth="1"/>
    <col min="728" max="728" width="10.5703125" style="6" customWidth="1"/>
    <col min="729" max="729" width="3.85546875" style="6" customWidth="1"/>
    <col min="730" max="732" width="14.42578125" style="6" customWidth="1"/>
    <col min="733" max="733" width="4.140625" style="6" customWidth="1"/>
    <col min="734" max="734" width="15" style="6" customWidth="1"/>
    <col min="735" max="736" width="9.140625" style="6" customWidth="1"/>
    <col min="737" max="737" width="11.5703125" style="6" customWidth="1"/>
    <col min="738" max="738" width="18.140625" style="6" customWidth="1"/>
    <col min="739" max="739" width="13.140625" style="6" customWidth="1"/>
    <col min="740" max="740" width="12.28515625" style="6" customWidth="1"/>
    <col min="741" max="978" width="9.140625" style="6"/>
    <col min="979" max="979" width="1.42578125" style="6" customWidth="1"/>
    <col min="980" max="980" width="59.5703125" style="6" customWidth="1"/>
    <col min="981" max="981" width="9.140625" style="6" customWidth="1"/>
    <col min="982" max="983" width="3.85546875" style="6" customWidth="1"/>
    <col min="984" max="984" width="10.5703125" style="6" customWidth="1"/>
    <col min="985" max="985" width="3.85546875" style="6" customWidth="1"/>
    <col min="986" max="988" width="14.42578125" style="6" customWidth="1"/>
    <col min="989" max="989" width="4.140625" style="6" customWidth="1"/>
    <col min="990" max="990" width="15" style="6" customWidth="1"/>
    <col min="991" max="992" width="9.140625" style="6" customWidth="1"/>
    <col min="993" max="993" width="11.5703125" style="6" customWidth="1"/>
    <col min="994" max="994" width="18.140625" style="6" customWidth="1"/>
    <col min="995" max="995" width="13.140625" style="6" customWidth="1"/>
    <col min="996" max="996" width="12.28515625" style="6" customWidth="1"/>
    <col min="997" max="1234" width="9.140625" style="6"/>
    <col min="1235" max="1235" width="1.42578125" style="6" customWidth="1"/>
    <col min="1236" max="1236" width="59.5703125" style="6" customWidth="1"/>
    <col min="1237" max="1237" width="9.140625" style="6" customWidth="1"/>
    <col min="1238" max="1239" width="3.85546875" style="6" customWidth="1"/>
    <col min="1240" max="1240" width="10.5703125" style="6" customWidth="1"/>
    <col min="1241" max="1241" width="3.85546875" style="6" customWidth="1"/>
    <col min="1242" max="1244" width="14.42578125" style="6" customWidth="1"/>
    <col min="1245" max="1245" width="4.140625" style="6" customWidth="1"/>
    <col min="1246" max="1246" width="15" style="6" customWidth="1"/>
    <col min="1247" max="1248" width="9.140625" style="6" customWidth="1"/>
    <col min="1249" max="1249" width="11.5703125" style="6" customWidth="1"/>
    <col min="1250" max="1250" width="18.140625" style="6" customWidth="1"/>
    <col min="1251" max="1251" width="13.140625" style="6" customWidth="1"/>
    <col min="1252" max="1252" width="12.28515625" style="6" customWidth="1"/>
    <col min="1253" max="1490" width="9.140625" style="6"/>
    <col min="1491" max="1491" width="1.42578125" style="6" customWidth="1"/>
    <col min="1492" max="1492" width="59.5703125" style="6" customWidth="1"/>
    <col min="1493" max="1493" width="9.140625" style="6" customWidth="1"/>
    <col min="1494" max="1495" width="3.85546875" style="6" customWidth="1"/>
    <col min="1496" max="1496" width="10.5703125" style="6" customWidth="1"/>
    <col min="1497" max="1497" width="3.85546875" style="6" customWidth="1"/>
    <col min="1498" max="1500" width="14.42578125" style="6" customWidth="1"/>
    <col min="1501" max="1501" width="4.140625" style="6" customWidth="1"/>
    <col min="1502" max="1502" width="15" style="6" customWidth="1"/>
    <col min="1503" max="1504" width="9.140625" style="6" customWidth="1"/>
    <col min="1505" max="1505" width="11.5703125" style="6" customWidth="1"/>
    <col min="1506" max="1506" width="18.140625" style="6" customWidth="1"/>
    <col min="1507" max="1507" width="13.140625" style="6" customWidth="1"/>
    <col min="1508" max="1508" width="12.28515625" style="6" customWidth="1"/>
    <col min="1509" max="1746" width="9.140625" style="6"/>
    <col min="1747" max="1747" width="1.42578125" style="6" customWidth="1"/>
    <col min="1748" max="1748" width="59.5703125" style="6" customWidth="1"/>
    <col min="1749" max="1749" width="9.140625" style="6" customWidth="1"/>
    <col min="1750" max="1751" width="3.85546875" style="6" customWidth="1"/>
    <col min="1752" max="1752" width="10.5703125" style="6" customWidth="1"/>
    <col min="1753" max="1753" width="3.85546875" style="6" customWidth="1"/>
    <col min="1754" max="1756" width="14.42578125" style="6" customWidth="1"/>
    <col min="1757" max="1757" width="4.140625" style="6" customWidth="1"/>
    <col min="1758" max="1758" width="15" style="6" customWidth="1"/>
    <col min="1759" max="1760" width="9.140625" style="6" customWidth="1"/>
    <col min="1761" max="1761" width="11.5703125" style="6" customWidth="1"/>
    <col min="1762" max="1762" width="18.140625" style="6" customWidth="1"/>
    <col min="1763" max="1763" width="13.140625" style="6" customWidth="1"/>
    <col min="1764" max="1764" width="12.28515625" style="6" customWidth="1"/>
    <col min="1765" max="2002" width="9.140625" style="6"/>
    <col min="2003" max="2003" width="1.42578125" style="6" customWidth="1"/>
    <col min="2004" max="2004" width="59.5703125" style="6" customWidth="1"/>
    <col min="2005" max="2005" width="9.140625" style="6" customWidth="1"/>
    <col min="2006" max="2007" width="3.85546875" style="6" customWidth="1"/>
    <col min="2008" max="2008" width="10.5703125" style="6" customWidth="1"/>
    <col min="2009" max="2009" width="3.85546875" style="6" customWidth="1"/>
    <col min="2010" max="2012" width="14.42578125" style="6" customWidth="1"/>
    <col min="2013" max="2013" width="4.140625" style="6" customWidth="1"/>
    <col min="2014" max="2014" width="15" style="6" customWidth="1"/>
    <col min="2015" max="2016" width="9.140625" style="6" customWidth="1"/>
    <col min="2017" max="2017" width="11.5703125" style="6" customWidth="1"/>
    <col min="2018" max="2018" width="18.140625" style="6" customWidth="1"/>
    <col min="2019" max="2019" width="13.140625" style="6" customWidth="1"/>
    <col min="2020" max="2020" width="12.28515625" style="6" customWidth="1"/>
    <col min="2021" max="2258" width="9.140625" style="6"/>
    <col min="2259" max="2259" width="1.42578125" style="6" customWidth="1"/>
    <col min="2260" max="2260" width="59.5703125" style="6" customWidth="1"/>
    <col min="2261" max="2261" width="9.140625" style="6" customWidth="1"/>
    <col min="2262" max="2263" width="3.85546875" style="6" customWidth="1"/>
    <col min="2264" max="2264" width="10.5703125" style="6" customWidth="1"/>
    <col min="2265" max="2265" width="3.85546875" style="6" customWidth="1"/>
    <col min="2266" max="2268" width="14.42578125" style="6" customWidth="1"/>
    <col min="2269" max="2269" width="4.140625" style="6" customWidth="1"/>
    <col min="2270" max="2270" width="15" style="6" customWidth="1"/>
    <col min="2271" max="2272" width="9.140625" style="6" customWidth="1"/>
    <col min="2273" max="2273" width="11.5703125" style="6" customWidth="1"/>
    <col min="2274" max="2274" width="18.140625" style="6" customWidth="1"/>
    <col min="2275" max="2275" width="13.140625" style="6" customWidth="1"/>
    <col min="2276" max="2276" width="12.28515625" style="6" customWidth="1"/>
    <col min="2277" max="2514" width="9.140625" style="6"/>
    <col min="2515" max="2515" width="1.42578125" style="6" customWidth="1"/>
    <col min="2516" max="2516" width="59.5703125" style="6" customWidth="1"/>
    <col min="2517" max="2517" width="9.140625" style="6" customWidth="1"/>
    <col min="2518" max="2519" width="3.85546875" style="6" customWidth="1"/>
    <col min="2520" max="2520" width="10.5703125" style="6" customWidth="1"/>
    <col min="2521" max="2521" width="3.85546875" style="6" customWidth="1"/>
    <col min="2522" max="2524" width="14.42578125" style="6" customWidth="1"/>
    <col min="2525" max="2525" width="4.140625" style="6" customWidth="1"/>
    <col min="2526" max="2526" width="15" style="6" customWidth="1"/>
    <col min="2527" max="2528" width="9.140625" style="6" customWidth="1"/>
    <col min="2529" max="2529" width="11.5703125" style="6" customWidth="1"/>
    <col min="2530" max="2530" width="18.140625" style="6" customWidth="1"/>
    <col min="2531" max="2531" width="13.140625" style="6" customWidth="1"/>
    <col min="2532" max="2532" width="12.28515625" style="6" customWidth="1"/>
    <col min="2533" max="2770" width="9.140625" style="6"/>
    <col min="2771" max="2771" width="1.42578125" style="6" customWidth="1"/>
    <col min="2772" max="2772" width="59.5703125" style="6" customWidth="1"/>
    <col min="2773" max="2773" width="9.140625" style="6" customWidth="1"/>
    <col min="2774" max="2775" width="3.85546875" style="6" customWidth="1"/>
    <col min="2776" max="2776" width="10.5703125" style="6" customWidth="1"/>
    <col min="2777" max="2777" width="3.85546875" style="6" customWidth="1"/>
    <col min="2778" max="2780" width="14.42578125" style="6" customWidth="1"/>
    <col min="2781" max="2781" width="4.140625" style="6" customWidth="1"/>
    <col min="2782" max="2782" width="15" style="6" customWidth="1"/>
    <col min="2783" max="2784" width="9.140625" style="6" customWidth="1"/>
    <col min="2785" max="2785" width="11.5703125" style="6" customWidth="1"/>
    <col min="2786" max="2786" width="18.140625" style="6" customWidth="1"/>
    <col min="2787" max="2787" width="13.140625" style="6" customWidth="1"/>
    <col min="2788" max="2788" width="12.28515625" style="6" customWidth="1"/>
    <col min="2789" max="3026" width="9.140625" style="6"/>
    <col min="3027" max="3027" width="1.42578125" style="6" customWidth="1"/>
    <col min="3028" max="3028" width="59.5703125" style="6" customWidth="1"/>
    <col min="3029" max="3029" width="9.140625" style="6" customWidth="1"/>
    <col min="3030" max="3031" width="3.85546875" style="6" customWidth="1"/>
    <col min="3032" max="3032" width="10.5703125" style="6" customWidth="1"/>
    <col min="3033" max="3033" width="3.85546875" style="6" customWidth="1"/>
    <col min="3034" max="3036" width="14.42578125" style="6" customWidth="1"/>
    <col min="3037" max="3037" width="4.140625" style="6" customWidth="1"/>
    <col min="3038" max="3038" width="15" style="6" customWidth="1"/>
    <col min="3039" max="3040" width="9.140625" style="6" customWidth="1"/>
    <col min="3041" max="3041" width="11.5703125" style="6" customWidth="1"/>
    <col min="3042" max="3042" width="18.140625" style="6" customWidth="1"/>
    <col min="3043" max="3043" width="13.140625" style="6" customWidth="1"/>
    <col min="3044" max="3044" width="12.28515625" style="6" customWidth="1"/>
    <col min="3045" max="3282" width="9.140625" style="6"/>
    <col min="3283" max="3283" width="1.42578125" style="6" customWidth="1"/>
    <col min="3284" max="3284" width="59.5703125" style="6" customWidth="1"/>
    <col min="3285" max="3285" width="9.140625" style="6" customWidth="1"/>
    <col min="3286" max="3287" width="3.85546875" style="6" customWidth="1"/>
    <col min="3288" max="3288" width="10.5703125" style="6" customWidth="1"/>
    <col min="3289" max="3289" width="3.85546875" style="6" customWidth="1"/>
    <col min="3290" max="3292" width="14.42578125" style="6" customWidth="1"/>
    <col min="3293" max="3293" width="4.140625" style="6" customWidth="1"/>
    <col min="3294" max="3294" width="15" style="6" customWidth="1"/>
    <col min="3295" max="3296" width="9.140625" style="6" customWidth="1"/>
    <col min="3297" max="3297" width="11.5703125" style="6" customWidth="1"/>
    <col min="3298" max="3298" width="18.140625" style="6" customWidth="1"/>
    <col min="3299" max="3299" width="13.140625" style="6" customWidth="1"/>
    <col min="3300" max="3300" width="12.28515625" style="6" customWidth="1"/>
    <col min="3301" max="3538" width="9.140625" style="6"/>
    <col min="3539" max="3539" width="1.42578125" style="6" customWidth="1"/>
    <col min="3540" max="3540" width="59.5703125" style="6" customWidth="1"/>
    <col min="3541" max="3541" width="9.140625" style="6" customWidth="1"/>
    <col min="3542" max="3543" width="3.85546875" style="6" customWidth="1"/>
    <col min="3544" max="3544" width="10.5703125" style="6" customWidth="1"/>
    <col min="3545" max="3545" width="3.85546875" style="6" customWidth="1"/>
    <col min="3546" max="3548" width="14.42578125" style="6" customWidth="1"/>
    <col min="3549" max="3549" width="4.140625" style="6" customWidth="1"/>
    <col min="3550" max="3550" width="15" style="6" customWidth="1"/>
    <col min="3551" max="3552" width="9.140625" style="6" customWidth="1"/>
    <col min="3553" max="3553" width="11.5703125" style="6" customWidth="1"/>
    <col min="3554" max="3554" width="18.140625" style="6" customWidth="1"/>
    <col min="3555" max="3555" width="13.140625" style="6" customWidth="1"/>
    <col min="3556" max="3556" width="12.28515625" style="6" customWidth="1"/>
    <col min="3557" max="3794" width="9.140625" style="6"/>
    <col min="3795" max="3795" width="1.42578125" style="6" customWidth="1"/>
    <col min="3796" max="3796" width="59.5703125" style="6" customWidth="1"/>
    <col min="3797" max="3797" width="9.140625" style="6" customWidth="1"/>
    <col min="3798" max="3799" width="3.85546875" style="6" customWidth="1"/>
    <col min="3800" max="3800" width="10.5703125" style="6" customWidth="1"/>
    <col min="3801" max="3801" width="3.85546875" style="6" customWidth="1"/>
    <col min="3802" max="3804" width="14.42578125" style="6" customWidth="1"/>
    <col min="3805" max="3805" width="4.140625" style="6" customWidth="1"/>
    <col min="3806" max="3806" width="15" style="6" customWidth="1"/>
    <col min="3807" max="3808" width="9.140625" style="6" customWidth="1"/>
    <col min="3809" max="3809" width="11.5703125" style="6" customWidth="1"/>
    <col min="3810" max="3810" width="18.140625" style="6" customWidth="1"/>
    <col min="3811" max="3811" width="13.140625" style="6" customWidth="1"/>
    <col min="3812" max="3812" width="12.28515625" style="6" customWidth="1"/>
    <col min="3813" max="4050" width="9.140625" style="6"/>
    <col min="4051" max="4051" width="1.42578125" style="6" customWidth="1"/>
    <col min="4052" max="4052" width="59.5703125" style="6" customWidth="1"/>
    <col min="4053" max="4053" width="9.140625" style="6" customWidth="1"/>
    <col min="4054" max="4055" width="3.85546875" style="6" customWidth="1"/>
    <col min="4056" max="4056" width="10.5703125" style="6" customWidth="1"/>
    <col min="4057" max="4057" width="3.85546875" style="6" customWidth="1"/>
    <col min="4058" max="4060" width="14.42578125" style="6" customWidth="1"/>
    <col min="4061" max="4061" width="4.140625" style="6" customWidth="1"/>
    <col min="4062" max="4062" width="15" style="6" customWidth="1"/>
    <col min="4063" max="4064" width="9.140625" style="6" customWidth="1"/>
    <col min="4065" max="4065" width="11.5703125" style="6" customWidth="1"/>
    <col min="4066" max="4066" width="18.140625" style="6" customWidth="1"/>
    <col min="4067" max="4067" width="13.140625" style="6" customWidth="1"/>
    <col min="4068" max="4068" width="12.28515625" style="6" customWidth="1"/>
    <col min="4069" max="4306" width="9.140625" style="6"/>
    <col min="4307" max="4307" width="1.42578125" style="6" customWidth="1"/>
    <col min="4308" max="4308" width="59.5703125" style="6" customWidth="1"/>
    <col min="4309" max="4309" width="9.140625" style="6" customWidth="1"/>
    <col min="4310" max="4311" width="3.85546875" style="6" customWidth="1"/>
    <col min="4312" max="4312" width="10.5703125" style="6" customWidth="1"/>
    <col min="4313" max="4313" width="3.85546875" style="6" customWidth="1"/>
    <col min="4314" max="4316" width="14.42578125" style="6" customWidth="1"/>
    <col min="4317" max="4317" width="4.140625" style="6" customWidth="1"/>
    <col min="4318" max="4318" width="15" style="6" customWidth="1"/>
    <col min="4319" max="4320" width="9.140625" style="6" customWidth="1"/>
    <col min="4321" max="4321" width="11.5703125" style="6" customWidth="1"/>
    <col min="4322" max="4322" width="18.140625" style="6" customWidth="1"/>
    <col min="4323" max="4323" width="13.140625" style="6" customWidth="1"/>
    <col min="4324" max="4324" width="12.28515625" style="6" customWidth="1"/>
    <col min="4325" max="4562" width="9.140625" style="6"/>
    <col min="4563" max="4563" width="1.42578125" style="6" customWidth="1"/>
    <col min="4564" max="4564" width="59.5703125" style="6" customWidth="1"/>
    <col min="4565" max="4565" width="9.140625" style="6" customWidth="1"/>
    <col min="4566" max="4567" width="3.85546875" style="6" customWidth="1"/>
    <col min="4568" max="4568" width="10.5703125" style="6" customWidth="1"/>
    <col min="4569" max="4569" width="3.85546875" style="6" customWidth="1"/>
    <col min="4570" max="4572" width="14.42578125" style="6" customWidth="1"/>
    <col min="4573" max="4573" width="4.140625" style="6" customWidth="1"/>
    <col min="4574" max="4574" width="15" style="6" customWidth="1"/>
    <col min="4575" max="4576" width="9.140625" style="6" customWidth="1"/>
    <col min="4577" max="4577" width="11.5703125" style="6" customWidth="1"/>
    <col min="4578" max="4578" width="18.140625" style="6" customWidth="1"/>
    <col min="4579" max="4579" width="13.140625" style="6" customWidth="1"/>
    <col min="4580" max="4580" width="12.28515625" style="6" customWidth="1"/>
    <col min="4581" max="4818" width="9.140625" style="6"/>
    <col min="4819" max="4819" width="1.42578125" style="6" customWidth="1"/>
    <col min="4820" max="4820" width="59.5703125" style="6" customWidth="1"/>
    <col min="4821" max="4821" width="9.140625" style="6" customWidth="1"/>
    <col min="4822" max="4823" width="3.85546875" style="6" customWidth="1"/>
    <col min="4824" max="4824" width="10.5703125" style="6" customWidth="1"/>
    <col min="4825" max="4825" width="3.85546875" style="6" customWidth="1"/>
    <col min="4826" max="4828" width="14.42578125" style="6" customWidth="1"/>
    <col min="4829" max="4829" width="4.140625" style="6" customWidth="1"/>
    <col min="4830" max="4830" width="15" style="6" customWidth="1"/>
    <col min="4831" max="4832" width="9.140625" style="6" customWidth="1"/>
    <col min="4833" max="4833" width="11.5703125" style="6" customWidth="1"/>
    <col min="4834" max="4834" width="18.140625" style="6" customWidth="1"/>
    <col min="4835" max="4835" width="13.140625" style="6" customWidth="1"/>
    <col min="4836" max="4836" width="12.28515625" style="6" customWidth="1"/>
    <col min="4837" max="5074" width="9.140625" style="6"/>
    <col min="5075" max="5075" width="1.42578125" style="6" customWidth="1"/>
    <col min="5076" max="5076" width="59.5703125" style="6" customWidth="1"/>
    <col min="5077" max="5077" width="9.140625" style="6" customWidth="1"/>
    <col min="5078" max="5079" width="3.85546875" style="6" customWidth="1"/>
    <col min="5080" max="5080" width="10.5703125" style="6" customWidth="1"/>
    <col min="5081" max="5081" width="3.85546875" style="6" customWidth="1"/>
    <col min="5082" max="5084" width="14.42578125" style="6" customWidth="1"/>
    <col min="5085" max="5085" width="4.140625" style="6" customWidth="1"/>
    <col min="5086" max="5086" width="15" style="6" customWidth="1"/>
    <col min="5087" max="5088" width="9.140625" style="6" customWidth="1"/>
    <col min="5089" max="5089" width="11.5703125" style="6" customWidth="1"/>
    <col min="5090" max="5090" width="18.140625" style="6" customWidth="1"/>
    <col min="5091" max="5091" width="13.140625" style="6" customWidth="1"/>
    <col min="5092" max="5092" width="12.28515625" style="6" customWidth="1"/>
    <col min="5093" max="5330" width="9.140625" style="6"/>
    <col min="5331" max="5331" width="1.42578125" style="6" customWidth="1"/>
    <col min="5332" max="5332" width="59.5703125" style="6" customWidth="1"/>
    <col min="5333" max="5333" width="9.140625" style="6" customWidth="1"/>
    <col min="5334" max="5335" width="3.85546875" style="6" customWidth="1"/>
    <col min="5336" max="5336" width="10.5703125" style="6" customWidth="1"/>
    <col min="5337" max="5337" width="3.85546875" style="6" customWidth="1"/>
    <col min="5338" max="5340" width="14.42578125" style="6" customWidth="1"/>
    <col min="5341" max="5341" width="4.140625" style="6" customWidth="1"/>
    <col min="5342" max="5342" width="15" style="6" customWidth="1"/>
    <col min="5343" max="5344" width="9.140625" style="6" customWidth="1"/>
    <col min="5345" max="5345" width="11.5703125" style="6" customWidth="1"/>
    <col min="5346" max="5346" width="18.140625" style="6" customWidth="1"/>
    <col min="5347" max="5347" width="13.140625" style="6" customWidth="1"/>
    <col min="5348" max="5348" width="12.28515625" style="6" customWidth="1"/>
    <col min="5349" max="5586" width="9.140625" style="6"/>
    <col min="5587" max="5587" width="1.42578125" style="6" customWidth="1"/>
    <col min="5588" max="5588" width="59.5703125" style="6" customWidth="1"/>
    <col min="5589" max="5589" width="9.140625" style="6" customWidth="1"/>
    <col min="5590" max="5591" width="3.85546875" style="6" customWidth="1"/>
    <col min="5592" max="5592" width="10.5703125" style="6" customWidth="1"/>
    <col min="5593" max="5593" width="3.85546875" style="6" customWidth="1"/>
    <col min="5594" max="5596" width="14.42578125" style="6" customWidth="1"/>
    <col min="5597" max="5597" width="4.140625" style="6" customWidth="1"/>
    <col min="5598" max="5598" width="15" style="6" customWidth="1"/>
    <col min="5599" max="5600" width="9.140625" style="6" customWidth="1"/>
    <col min="5601" max="5601" width="11.5703125" style="6" customWidth="1"/>
    <col min="5602" max="5602" width="18.140625" style="6" customWidth="1"/>
    <col min="5603" max="5603" width="13.140625" style="6" customWidth="1"/>
    <col min="5604" max="5604" width="12.28515625" style="6" customWidth="1"/>
    <col min="5605" max="5842" width="9.140625" style="6"/>
    <col min="5843" max="5843" width="1.42578125" style="6" customWidth="1"/>
    <col min="5844" max="5844" width="59.5703125" style="6" customWidth="1"/>
    <col min="5845" max="5845" width="9.140625" style="6" customWidth="1"/>
    <col min="5846" max="5847" width="3.85546875" style="6" customWidth="1"/>
    <col min="5848" max="5848" width="10.5703125" style="6" customWidth="1"/>
    <col min="5849" max="5849" width="3.85546875" style="6" customWidth="1"/>
    <col min="5850" max="5852" width="14.42578125" style="6" customWidth="1"/>
    <col min="5853" max="5853" width="4.140625" style="6" customWidth="1"/>
    <col min="5854" max="5854" width="15" style="6" customWidth="1"/>
    <col min="5855" max="5856" width="9.140625" style="6" customWidth="1"/>
    <col min="5857" max="5857" width="11.5703125" style="6" customWidth="1"/>
    <col min="5858" max="5858" width="18.140625" style="6" customWidth="1"/>
    <col min="5859" max="5859" width="13.140625" style="6" customWidth="1"/>
    <col min="5860" max="5860" width="12.28515625" style="6" customWidth="1"/>
    <col min="5861" max="6098" width="9.140625" style="6"/>
    <col min="6099" max="6099" width="1.42578125" style="6" customWidth="1"/>
    <col min="6100" max="6100" width="59.5703125" style="6" customWidth="1"/>
    <col min="6101" max="6101" width="9.140625" style="6" customWidth="1"/>
    <col min="6102" max="6103" width="3.85546875" style="6" customWidth="1"/>
    <col min="6104" max="6104" width="10.5703125" style="6" customWidth="1"/>
    <col min="6105" max="6105" width="3.85546875" style="6" customWidth="1"/>
    <col min="6106" max="6108" width="14.42578125" style="6" customWidth="1"/>
    <col min="6109" max="6109" width="4.140625" style="6" customWidth="1"/>
    <col min="6110" max="6110" width="15" style="6" customWidth="1"/>
    <col min="6111" max="6112" width="9.140625" style="6" customWidth="1"/>
    <col min="6113" max="6113" width="11.5703125" style="6" customWidth="1"/>
    <col min="6114" max="6114" width="18.140625" style="6" customWidth="1"/>
    <col min="6115" max="6115" width="13.140625" style="6" customWidth="1"/>
    <col min="6116" max="6116" width="12.28515625" style="6" customWidth="1"/>
    <col min="6117" max="6354" width="9.140625" style="6"/>
    <col min="6355" max="6355" width="1.42578125" style="6" customWidth="1"/>
    <col min="6356" max="6356" width="59.5703125" style="6" customWidth="1"/>
    <col min="6357" max="6357" width="9.140625" style="6" customWidth="1"/>
    <col min="6358" max="6359" width="3.85546875" style="6" customWidth="1"/>
    <col min="6360" max="6360" width="10.5703125" style="6" customWidth="1"/>
    <col min="6361" max="6361" width="3.85546875" style="6" customWidth="1"/>
    <col min="6362" max="6364" width="14.42578125" style="6" customWidth="1"/>
    <col min="6365" max="6365" width="4.140625" style="6" customWidth="1"/>
    <col min="6366" max="6366" width="15" style="6" customWidth="1"/>
    <col min="6367" max="6368" width="9.140625" style="6" customWidth="1"/>
    <col min="6369" max="6369" width="11.5703125" style="6" customWidth="1"/>
    <col min="6370" max="6370" width="18.140625" style="6" customWidth="1"/>
    <col min="6371" max="6371" width="13.140625" style="6" customWidth="1"/>
    <col min="6372" max="6372" width="12.28515625" style="6" customWidth="1"/>
    <col min="6373" max="6610" width="9.140625" style="6"/>
    <col min="6611" max="6611" width="1.42578125" style="6" customWidth="1"/>
    <col min="6612" max="6612" width="59.5703125" style="6" customWidth="1"/>
    <col min="6613" max="6613" width="9.140625" style="6" customWidth="1"/>
    <col min="6614" max="6615" width="3.85546875" style="6" customWidth="1"/>
    <col min="6616" max="6616" width="10.5703125" style="6" customWidth="1"/>
    <col min="6617" max="6617" width="3.85546875" style="6" customWidth="1"/>
    <col min="6618" max="6620" width="14.42578125" style="6" customWidth="1"/>
    <col min="6621" max="6621" width="4.140625" style="6" customWidth="1"/>
    <col min="6622" max="6622" width="15" style="6" customWidth="1"/>
    <col min="6623" max="6624" width="9.140625" style="6" customWidth="1"/>
    <col min="6625" max="6625" width="11.5703125" style="6" customWidth="1"/>
    <col min="6626" max="6626" width="18.140625" style="6" customWidth="1"/>
    <col min="6627" max="6627" width="13.140625" style="6" customWidth="1"/>
    <col min="6628" max="6628" width="12.28515625" style="6" customWidth="1"/>
    <col min="6629" max="6866" width="9.140625" style="6"/>
    <col min="6867" max="6867" width="1.42578125" style="6" customWidth="1"/>
    <col min="6868" max="6868" width="59.5703125" style="6" customWidth="1"/>
    <col min="6869" max="6869" width="9.140625" style="6" customWidth="1"/>
    <col min="6870" max="6871" width="3.85546875" style="6" customWidth="1"/>
    <col min="6872" max="6872" width="10.5703125" style="6" customWidth="1"/>
    <col min="6873" max="6873" width="3.85546875" style="6" customWidth="1"/>
    <col min="6874" max="6876" width="14.42578125" style="6" customWidth="1"/>
    <col min="6877" max="6877" width="4.140625" style="6" customWidth="1"/>
    <col min="6878" max="6878" width="15" style="6" customWidth="1"/>
    <col min="6879" max="6880" width="9.140625" style="6" customWidth="1"/>
    <col min="6881" max="6881" width="11.5703125" style="6" customWidth="1"/>
    <col min="6882" max="6882" width="18.140625" style="6" customWidth="1"/>
    <col min="6883" max="6883" width="13.140625" style="6" customWidth="1"/>
    <col min="6884" max="6884" width="12.28515625" style="6" customWidth="1"/>
    <col min="6885" max="7122" width="9.140625" style="6"/>
    <col min="7123" max="7123" width="1.42578125" style="6" customWidth="1"/>
    <col min="7124" max="7124" width="59.5703125" style="6" customWidth="1"/>
    <col min="7125" max="7125" width="9.140625" style="6" customWidth="1"/>
    <col min="7126" max="7127" width="3.85546875" style="6" customWidth="1"/>
    <col min="7128" max="7128" width="10.5703125" style="6" customWidth="1"/>
    <col min="7129" max="7129" width="3.85546875" style="6" customWidth="1"/>
    <col min="7130" max="7132" width="14.42578125" style="6" customWidth="1"/>
    <col min="7133" max="7133" width="4.140625" style="6" customWidth="1"/>
    <col min="7134" max="7134" width="15" style="6" customWidth="1"/>
    <col min="7135" max="7136" width="9.140625" style="6" customWidth="1"/>
    <col min="7137" max="7137" width="11.5703125" style="6" customWidth="1"/>
    <col min="7138" max="7138" width="18.140625" style="6" customWidth="1"/>
    <col min="7139" max="7139" width="13.140625" style="6" customWidth="1"/>
    <col min="7140" max="7140" width="12.28515625" style="6" customWidth="1"/>
    <col min="7141" max="7378" width="9.140625" style="6"/>
    <col min="7379" max="7379" width="1.42578125" style="6" customWidth="1"/>
    <col min="7380" max="7380" width="59.5703125" style="6" customWidth="1"/>
    <col min="7381" max="7381" width="9.140625" style="6" customWidth="1"/>
    <col min="7382" max="7383" width="3.85546875" style="6" customWidth="1"/>
    <col min="7384" max="7384" width="10.5703125" style="6" customWidth="1"/>
    <col min="7385" max="7385" width="3.85546875" style="6" customWidth="1"/>
    <col min="7386" max="7388" width="14.42578125" style="6" customWidth="1"/>
    <col min="7389" max="7389" width="4.140625" style="6" customWidth="1"/>
    <col min="7390" max="7390" width="15" style="6" customWidth="1"/>
    <col min="7391" max="7392" width="9.140625" style="6" customWidth="1"/>
    <col min="7393" max="7393" width="11.5703125" style="6" customWidth="1"/>
    <col min="7394" max="7394" width="18.140625" style="6" customWidth="1"/>
    <col min="7395" max="7395" width="13.140625" style="6" customWidth="1"/>
    <col min="7396" max="7396" width="12.28515625" style="6" customWidth="1"/>
    <col min="7397" max="7634" width="9.140625" style="6"/>
    <col min="7635" max="7635" width="1.42578125" style="6" customWidth="1"/>
    <col min="7636" max="7636" width="59.5703125" style="6" customWidth="1"/>
    <col min="7637" max="7637" width="9.140625" style="6" customWidth="1"/>
    <col min="7638" max="7639" width="3.85546875" style="6" customWidth="1"/>
    <col min="7640" max="7640" width="10.5703125" style="6" customWidth="1"/>
    <col min="7641" max="7641" width="3.85546875" style="6" customWidth="1"/>
    <col min="7642" max="7644" width="14.42578125" style="6" customWidth="1"/>
    <col min="7645" max="7645" width="4.140625" style="6" customWidth="1"/>
    <col min="7646" max="7646" width="15" style="6" customWidth="1"/>
    <col min="7647" max="7648" width="9.140625" style="6" customWidth="1"/>
    <col min="7649" max="7649" width="11.5703125" style="6" customWidth="1"/>
    <col min="7650" max="7650" width="18.140625" style="6" customWidth="1"/>
    <col min="7651" max="7651" width="13.140625" style="6" customWidth="1"/>
    <col min="7652" max="7652" width="12.28515625" style="6" customWidth="1"/>
    <col min="7653" max="7890" width="9.140625" style="6"/>
    <col min="7891" max="7891" width="1.42578125" style="6" customWidth="1"/>
    <col min="7892" max="7892" width="59.5703125" style="6" customWidth="1"/>
    <col min="7893" max="7893" width="9.140625" style="6" customWidth="1"/>
    <col min="7894" max="7895" width="3.85546875" style="6" customWidth="1"/>
    <col min="7896" max="7896" width="10.5703125" style="6" customWidth="1"/>
    <col min="7897" max="7897" width="3.85546875" style="6" customWidth="1"/>
    <col min="7898" max="7900" width="14.42578125" style="6" customWidth="1"/>
    <col min="7901" max="7901" width="4.140625" style="6" customWidth="1"/>
    <col min="7902" max="7902" width="15" style="6" customWidth="1"/>
    <col min="7903" max="7904" width="9.140625" style="6" customWidth="1"/>
    <col min="7905" max="7905" width="11.5703125" style="6" customWidth="1"/>
    <col min="7906" max="7906" width="18.140625" style="6" customWidth="1"/>
    <col min="7907" max="7907" width="13.140625" style="6" customWidth="1"/>
    <col min="7908" max="7908" width="12.28515625" style="6" customWidth="1"/>
    <col min="7909" max="8146" width="9.140625" style="6"/>
    <col min="8147" max="8147" width="1.42578125" style="6" customWidth="1"/>
    <col min="8148" max="8148" width="59.5703125" style="6" customWidth="1"/>
    <col min="8149" max="8149" width="9.140625" style="6" customWidth="1"/>
    <col min="8150" max="8151" width="3.85546875" style="6" customWidth="1"/>
    <col min="8152" max="8152" width="10.5703125" style="6" customWidth="1"/>
    <col min="8153" max="8153" width="3.85546875" style="6" customWidth="1"/>
    <col min="8154" max="8156" width="14.42578125" style="6" customWidth="1"/>
    <col min="8157" max="8157" width="4.140625" style="6" customWidth="1"/>
    <col min="8158" max="8158" width="15" style="6" customWidth="1"/>
    <col min="8159" max="8160" width="9.140625" style="6" customWidth="1"/>
    <col min="8161" max="8161" width="11.5703125" style="6" customWidth="1"/>
    <col min="8162" max="8162" width="18.140625" style="6" customWidth="1"/>
    <col min="8163" max="8163" width="13.140625" style="6" customWidth="1"/>
    <col min="8164" max="8164" width="12.28515625" style="6" customWidth="1"/>
    <col min="8165" max="8402" width="9.140625" style="6"/>
    <col min="8403" max="8403" width="1.42578125" style="6" customWidth="1"/>
    <col min="8404" max="8404" width="59.5703125" style="6" customWidth="1"/>
    <col min="8405" max="8405" width="9.140625" style="6" customWidth="1"/>
    <col min="8406" max="8407" width="3.85546875" style="6" customWidth="1"/>
    <col min="8408" max="8408" width="10.5703125" style="6" customWidth="1"/>
    <col min="8409" max="8409" width="3.85546875" style="6" customWidth="1"/>
    <col min="8410" max="8412" width="14.42578125" style="6" customWidth="1"/>
    <col min="8413" max="8413" width="4.140625" style="6" customWidth="1"/>
    <col min="8414" max="8414" width="15" style="6" customWidth="1"/>
    <col min="8415" max="8416" width="9.140625" style="6" customWidth="1"/>
    <col min="8417" max="8417" width="11.5703125" style="6" customWidth="1"/>
    <col min="8418" max="8418" width="18.140625" style="6" customWidth="1"/>
    <col min="8419" max="8419" width="13.140625" style="6" customWidth="1"/>
    <col min="8420" max="8420" width="12.28515625" style="6" customWidth="1"/>
    <col min="8421" max="8658" width="9.140625" style="6"/>
    <col min="8659" max="8659" width="1.42578125" style="6" customWidth="1"/>
    <col min="8660" max="8660" width="59.5703125" style="6" customWidth="1"/>
    <col min="8661" max="8661" width="9.140625" style="6" customWidth="1"/>
    <col min="8662" max="8663" width="3.85546875" style="6" customWidth="1"/>
    <col min="8664" max="8664" width="10.5703125" style="6" customWidth="1"/>
    <col min="8665" max="8665" width="3.85546875" style="6" customWidth="1"/>
    <col min="8666" max="8668" width="14.42578125" style="6" customWidth="1"/>
    <col min="8669" max="8669" width="4.140625" style="6" customWidth="1"/>
    <col min="8670" max="8670" width="15" style="6" customWidth="1"/>
    <col min="8671" max="8672" width="9.140625" style="6" customWidth="1"/>
    <col min="8673" max="8673" width="11.5703125" style="6" customWidth="1"/>
    <col min="8674" max="8674" width="18.140625" style="6" customWidth="1"/>
    <col min="8675" max="8675" width="13.140625" style="6" customWidth="1"/>
    <col min="8676" max="8676" width="12.28515625" style="6" customWidth="1"/>
    <col min="8677" max="8914" width="9.140625" style="6"/>
    <col min="8915" max="8915" width="1.42578125" style="6" customWidth="1"/>
    <col min="8916" max="8916" width="59.5703125" style="6" customWidth="1"/>
    <col min="8917" max="8917" width="9.140625" style="6" customWidth="1"/>
    <col min="8918" max="8919" width="3.85546875" style="6" customWidth="1"/>
    <col min="8920" max="8920" width="10.5703125" style="6" customWidth="1"/>
    <col min="8921" max="8921" width="3.85546875" style="6" customWidth="1"/>
    <col min="8922" max="8924" width="14.42578125" style="6" customWidth="1"/>
    <col min="8925" max="8925" width="4.140625" style="6" customWidth="1"/>
    <col min="8926" max="8926" width="15" style="6" customWidth="1"/>
    <col min="8927" max="8928" width="9.140625" style="6" customWidth="1"/>
    <col min="8929" max="8929" width="11.5703125" style="6" customWidth="1"/>
    <col min="8930" max="8930" width="18.140625" style="6" customWidth="1"/>
    <col min="8931" max="8931" width="13.140625" style="6" customWidth="1"/>
    <col min="8932" max="8932" width="12.28515625" style="6" customWidth="1"/>
    <col min="8933" max="9170" width="9.140625" style="6"/>
    <col min="9171" max="9171" width="1.42578125" style="6" customWidth="1"/>
    <col min="9172" max="9172" width="59.5703125" style="6" customWidth="1"/>
    <col min="9173" max="9173" width="9.140625" style="6" customWidth="1"/>
    <col min="9174" max="9175" width="3.85546875" style="6" customWidth="1"/>
    <col min="9176" max="9176" width="10.5703125" style="6" customWidth="1"/>
    <col min="9177" max="9177" width="3.85546875" style="6" customWidth="1"/>
    <col min="9178" max="9180" width="14.42578125" style="6" customWidth="1"/>
    <col min="9181" max="9181" width="4.140625" style="6" customWidth="1"/>
    <col min="9182" max="9182" width="15" style="6" customWidth="1"/>
    <col min="9183" max="9184" width="9.140625" style="6" customWidth="1"/>
    <col min="9185" max="9185" width="11.5703125" style="6" customWidth="1"/>
    <col min="9186" max="9186" width="18.140625" style="6" customWidth="1"/>
    <col min="9187" max="9187" width="13.140625" style="6" customWidth="1"/>
    <col min="9188" max="9188" width="12.28515625" style="6" customWidth="1"/>
    <col min="9189" max="9426" width="9.140625" style="6"/>
    <col min="9427" max="9427" width="1.42578125" style="6" customWidth="1"/>
    <col min="9428" max="9428" width="59.5703125" style="6" customWidth="1"/>
    <col min="9429" max="9429" width="9.140625" style="6" customWidth="1"/>
    <col min="9430" max="9431" width="3.85546875" style="6" customWidth="1"/>
    <col min="9432" max="9432" width="10.5703125" style="6" customWidth="1"/>
    <col min="9433" max="9433" width="3.85546875" style="6" customWidth="1"/>
    <col min="9434" max="9436" width="14.42578125" style="6" customWidth="1"/>
    <col min="9437" max="9437" width="4.140625" style="6" customWidth="1"/>
    <col min="9438" max="9438" width="15" style="6" customWidth="1"/>
    <col min="9439" max="9440" width="9.140625" style="6" customWidth="1"/>
    <col min="9441" max="9441" width="11.5703125" style="6" customWidth="1"/>
    <col min="9442" max="9442" width="18.140625" style="6" customWidth="1"/>
    <col min="9443" max="9443" width="13.140625" style="6" customWidth="1"/>
    <col min="9444" max="9444" width="12.28515625" style="6" customWidth="1"/>
    <col min="9445" max="9682" width="9.140625" style="6"/>
    <col min="9683" max="9683" width="1.42578125" style="6" customWidth="1"/>
    <col min="9684" max="9684" width="59.5703125" style="6" customWidth="1"/>
    <col min="9685" max="9685" width="9.140625" style="6" customWidth="1"/>
    <col min="9686" max="9687" width="3.85546875" style="6" customWidth="1"/>
    <col min="9688" max="9688" width="10.5703125" style="6" customWidth="1"/>
    <col min="9689" max="9689" width="3.85546875" style="6" customWidth="1"/>
    <col min="9690" max="9692" width="14.42578125" style="6" customWidth="1"/>
    <col min="9693" max="9693" width="4.140625" style="6" customWidth="1"/>
    <col min="9694" max="9694" width="15" style="6" customWidth="1"/>
    <col min="9695" max="9696" width="9.140625" style="6" customWidth="1"/>
    <col min="9697" max="9697" width="11.5703125" style="6" customWidth="1"/>
    <col min="9698" max="9698" width="18.140625" style="6" customWidth="1"/>
    <col min="9699" max="9699" width="13.140625" style="6" customWidth="1"/>
    <col min="9700" max="9700" width="12.28515625" style="6" customWidth="1"/>
    <col min="9701" max="9938" width="9.140625" style="6"/>
    <col min="9939" max="9939" width="1.42578125" style="6" customWidth="1"/>
    <col min="9940" max="9940" width="59.5703125" style="6" customWidth="1"/>
    <col min="9941" max="9941" width="9.140625" style="6" customWidth="1"/>
    <col min="9942" max="9943" width="3.85546875" style="6" customWidth="1"/>
    <col min="9944" max="9944" width="10.5703125" style="6" customWidth="1"/>
    <col min="9945" max="9945" width="3.85546875" style="6" customWidth="1"/>
    <col min="9946" max="9948" width="14.42578125" style="6" customWidth="1"/>
    <col min="9949" max="9949" width="4.140625" style="6" customWidth="1"/>
    <col min="9950" max="9950" width="15" style="6" customWidth="1"/>
    <col min="9951" max="9952" width="9.140625" style="6" customWidth="1"/>
    <col min="9953" max="9953" width="11.5703125" style="6" customWidth="1"/>
    <col min="9954" max="9954" width="18.140625" style="6" customWidth="1"/>
    <col min="9955" max="9955" width="13.140625" style="6" customWidth="1"/>
    <col min="9956" max="9956" width="12.28515625" style="6" customWidth="1"/>
    <col min="9957" max="10194" width="9.140625" style="6"/>
    <col min="10195" max="10195" width="1.42578125" style="6" customWidth="1"/>
    <col min="10196" max="10196" width="59.5703125" style="6" customWidth="1"/>
    <col min="10197" max="10197" width="9.140625" style="6" customWidth="1"/>
    <col min="10198" max="10199" width="3.85546875" style="6" customWidth="1"/>
    <col min="10200" max="10200" width="10.5703125" style="6" customWidth="1"/>
    <col min="10201" max="10201" width="3.85546875" style="6" customWidth="1"/>
    <col min="10202" max="10204" width="14.42578125" style="6" customWidth="1"/>
    <col min="10205" max="10205" width="4.140625" style="6" customWidth="1"/>
    <col min="10206" max="10206" width="15" style="6" customWidth="1"/>
    <col min="10207" max="10208" width="9.140625" style="6" customWidth="1"/>
    <col min="10209" max="10209" width="11.5703125" style="6" customWidth="1"/>
    <col min="10210" max="10210" width="18.140625" style="6" customWidth="1"/>
    <col min="10211" max="10211" width="13.140625" style="6" customWidth="1"/>
    <col min="10212" max="10212" width="12.28515625" style="6" customWidth="1"/>
    <col min="10213" max="10450" width="9.140625" style="6"/>
    <col min="10451" max="10451" width="1.42578125" style="6" customWidth="1"/>
    <col min="10452" max="10452" width="59.5703125" style="6" customWidth="1"/>
    <col min="10453" max="10453" width="9.140625" style="6" customWidth="1"/>
    <col min="10454" max="10455" width="3.85546875" style="6" customWidth="1"/>
    <col min="10456" max="10456" width="10.5703125" style="6" customWidth="1"/>
    <col min="10457" max="10457" width="3.85546875" style="6" customWidth="1"/>
    <col min="10458" max="10460" width="14.42578125" style="6" customWidth="1"/>
    <col min="10461" max="10461" width="4.140625" style="6" customWidth="1"/>
    <col min="10462" max="10462" width="15" style="6" customWidth="1"/>
    <col min="10463" max="10464" width="9.140625" style="6" customWidth="1"/>
    <col min="10465" max="10465" width="11.5703125" style="6" customWidth="1"/>
    <col min="10466" max="10466" width="18.140625" style="6" customWidth="1"/>
    <col min="10467" max="10467" width="13.140625" style="6" customWidth="1"/>
    <col min="10468" max="10468" width="12.28515625" style="6" customWidth="1"/>
    <col min="10469" max="10706" width="9.140625" style="6"/>
    <col min="10707" max="10707" width="1.42578125" style="6" customWidth="1"/>
    <col min="10708" max="10708" width="59.5703125" style="6" customWidth="1"/>
    <col min="10709" max="10709" width="9.140625" style="6" customWidth="1"/>
    <col min="10710" max="10711" width="3.85546875" style="6" customWidth="1"/>
    <col min="10712" max="10712" width="10.5703125" style="6" customWidth="1"/>
    <col min="10713" max="10713" width="3.85546875" style="6" customWidth="1"/>
    <col min="10714" max="10716" width="14.42578125" style="6" customWidth="1"/>
    <col min="10717" max="10717" width="4.140625" style="6" customWidth="1"/>
    <col min="10718" max="10718" width="15" style="6" customWidth="1"/>
    <col min="10719" max="10720" width="9.140625" style="6" customWidth="1"/>
    <col min="10721" max="10721" width="11.5703125" style="6" customWidth="1"/>
    <col min="10722" max="10722" width="18.140625" style="6" customWidth="1"/>
    <col min="10723" max="10723" width="13.140625" style="6" customWidth="1"/>
    <col min="10724" max="10724" width="12.28515625" style="6" customWidth="1"/>
    <col min="10725" max="10962" width="9.140625" style="6"/>
    <col min="10963" max="10963" width="1.42578125" style="6" customWidth="1"/>
    <col min="10964" max="10964" width="59.5703125" style="6" customWidth="1"/>
    <col min="10965" max="10965" width="9.140625" style="6" customWidth="1"/>
    <col min="10966" max="10967" width="3.85546875" style="6" customWidth="1"/>
    <col min="10968" max="10968" width="10.5703125" style="6" customWidth="1"/>
    <col min="10969" max="10969" width="3.85546875" style="6" customWidth="1"/>
    <col min="10970" max="10972" width="14.42578125" style="6" customWidth="1"/>
    <col min="10973" max="10973" width="4.140625" style="6" customWidth="1"/>
    <col min="10974" max="10974" width="15" style="6" customWidth="1"/>
    <col min="10975" max="10976" width="9.140625" style="6" customWidth="1"/>
    <col min="10977" max="10977" width="11.5703125" style="6" customWidth="1"/>
    <col min="10978" max="10978" width="18.140625" style="6" customWidth="1"/>
    <col min="10979" max="10979" width="13.140625" style="6" customWidth="1"/>
    <col min="10980" max="10980" width="12.28515625" style="6" customWidth="1"/>
    <col min="10981" max="11218" width="9.140625" style="6"/>
    <col min="11219" max="11219" width="1.42578125" style="6" customWidth="1"/>
    <col min="11220" max="11220" width="59.5703125" style="6" customWidth="1"/>
    <col min="11221" max="11221" width="9.140625" style="6" customWidth="1"/>
    <col min="11222" max="11223" width="3.85546875" style="6" customWidth="1"/>
    <col min="11224" max="11224" width="10.5703125" style="6" customWidth="1"/>
    <col min="11225" max="11225" width="3.85546875" style="6" customWidth="1"/>
    <col min="11226" max="11228" width="14.42578125" style="6" customWidth="1"/>
    <col min="11229" max="11229" width="4.140625" style="6" customWidth="1"/>
    <col min="11230" max="11230" width="15" style="6" customWidth="1"/>
    <col min="11231" max="11232" width="9.140625" style="6" customWidth="1"/>
    <col min="11233" max="11233" width="11.5703125" style="6" customWidth="1"/>
    <col min="11234" max="11234" width="18.140625" style="6" customWidth="1"/>
    <col min="11235" max="11235" width="13.140625" style="6" customWidth="1"/>
    <col min="11236" max="11236" width="12.28515625" style="6" customWidth="1"/>
    <col min="11237" max="11474" width="9.140625" style="6"/>
    <col min="11475" max="11475" width="1.42578125" style="6" customWidth="1"/>
    <col min="11476" max="11476" width="59.5703125" style="6" customWidth="1"/>
    <col min="11477" max="11477" width="9.140625" style="6" customWidth="1"/>
    <col min="11478" max="11479" width="3.85546875" style="6" customWidth="1"/>
    <col min="11480" max="11480" width="10.5703125" style="6" customWidth="1"/>
    <col min="11481" max="11481" width="3.85546875" style="6" customWidth="1"/>
    <col min="11482" max="11484" width="14.42578125" style="6" customWidth="1"/>
    <col min="11485" max="11485" width="4.140625" style="6" customWidth="1"/>
    <col min="11486" max="11486" width="15" style="6" customWidth="1"/>
    <col min="11487" max="11488" width="9.140625" style="6" customWidth="1"/>
    <col min="11489" max="11489" width="11.5703125" style="6" customWidth="1"/>
    <col min="11490" max="11490" width="18.140625" style="6" customWidth="1"/>
    <col min="11491" max="11491" width="13.140625" style="6" customWidth="1"/>
    <col min="11492" max="11492" width="12.28515625" style="6" customWidth="1"/>
    <col min="11493" max="11730" width="9.140625" style="6"/>
    <col min="11731" max="11731" width="1.42578125" style="6" customWidth="1"/>
    <col min="11732" max="11732" width="59.5703125" style="6" customWidth="1"/>
    <col min="11733" max="11733" width="9.140625" style="6" customWidth="1"/>
    <col min="11734" max="11735" width="3.85546875" style="6" customWidth="1"/>
    <col min="11736" max="11736" width="10.5703125" style="6" customWidth="1"/>
    <col min="11737" max="11737" width="3.85546875" style="6" customWidth="1"/>
    <col min="11738" max="11740" width="14.42578125" style="6" customWidth="1"/>
    <col min="11741" max="11741" width="4.140625" style="6" customWidth="1"/>
    <col min="11742" max="11742" width="15" style="6" customWidth="1"/>
    <col min="11743" max="11744" width="9.140625" style="6" customWidth="1"/>
    <col min="11745" max="11745" width="11.5703125" style="6" customWidth="1"/>
    <col min="11746" max="11746" width="18.140625" style="6" customWidth="1"/>
    <col min="11747" max="11747" width="13.140625" style="6" customWidth="1"/>
    <col min="11748" max="11748" width="12.28515625" style="6" customWidth="1"/>
    <col min="11749" max="11986" width="9.140625" style="6"/>
    <col min="11987" max="11987" width="1.42578125" style="6" customWidth="1"/>
    <col min="11988" max="11988" width="59.5703125" style="6" customWidth="1"/>
    <col min="11989" max="11989" width="9.140625" style="6" customWidth="1"/>
    <col min="11990" max="11991" width="3.85546875" style="6" customWidth="1"/>
    <col min="11992" max="11992" width="10.5703125" style="6" customWidth="1"/>
    <col min="11993" max="11993" width="3.85546875" style="6" customWidth="1"/>
    <col min="11994" max="11996" width="14.42578125" style="6" customWidth="1"/>
    <col min="11997" max="11997" width="4.140625" style="6" customWidth="1"/>
    <col min="11998" max="11998" width="15" style="6" customWidth="1"/>
    <col min="11999" max="12000" width="9.140625" style="6" customWidth="1"/>
    <col min="12001" max="12001" width="11.5703125" style="6" customWidth="1"/>
    <col min="12002" max="12002" width="18.140625" style="6" customWidth="1"/>
    <col min="12003" max="12003" width="13.140625" style="6" customWidth="1"/>
    <col min="12004" max="12004" width="12.28515625" style="6" customWidth="1"/>
    <col min="12005" max="12242" width="9.140625" style="6"/>
    <col min="12243" max="12243" width="1.42578125" style="6" customWidth="1"/>
    <col min="12244" max="12244" width="59.5703125" style="6" customWidth="1"/>
    <col min="12245" max="12245" width="9.140625" style="6" customWidth="1"/>
    <col min="12246" max="12247" width="3.85546875" style="6" customWidth="1"/>
    <col min="12248" max="12248" width="10.5703125" style="6" customWidth="1"/>
    <col min="12249" max="12249" width="3.85546875" style="6" customWidth="1"/>
    <col min="12250" max="12252" width="14.42578125" style="6" customWidth="1"/>
    <col min="12253" max="12253" width="4.140625" style="6" customWidth="1"/>
    <col min="12254" max="12254" width="15" style="6" customWidth="1"/>
    <col min="12255" max="12256" width="9.140625" style="6" customWidth="1"/>
    <col min="12257" max="12257" width="11.5703125" style="6" customWidth="1"/>
    <col min="12258" max="12258" width="18.140625" style="6" customWidth="1"/>
    <col min="12259" max="12259" width="13.140625" style="6" customWidth="1"/>
    <col min="12260" max="12260" width="12.28515625" style="6" customWidth="1"/>
    <col min="12261" max="12498" width="9.140625" style="6"/>
    <col min="12499" max="12499" width="1.42578125" style="6" customWidth="1"/>
    <col min="12500" max="12500" width="59.5703125" style="6" customWidth="1"/>
    <col min="12501" max="12501" width="9.140625" style="6" customWidth="1"/>
    <col min="12502" max="12503" width="3.85546875" style="6" customWidth="1"/>
    <col min="12504" max="12504" width="10.5703125" style="6" customWidth="1"/>
    <col min="12505" max="12505" width="3.85546875" style="6" customWidth="1"/>
    <col min="12506" max="12508" width="14.42578125" style="6" customWidth="1"/>
    <col min="12509" max="12509" width="4.140625" style="6" customWidth="1"/>
    <col min="12510" max="12510" width="15" style="6" customWidth="1"/>
    <col min="12511" max="12512" width="9.140625" style="6" customWidth="1"/>
    <col min="12513" max="12513" width="11.5703125" style="6" customWidth="1"/>
    <col min="12514" max="12514" width="18.140625" style="6" customWidth="1"/>
    <col min="12515" max="12515" width="13.140625" style="6" customWidth="1"/>
    <col min="12516" max="12516" width="12.28515625" style="6" customWidth="1"/>
    <col min="12517" max="12754" width="9.140625" style="6"/>
    <col min="12755" max="12755" width="1.42578125" style="6" customWidth="1"/>
    <col min="12756" max="12756" width="59.5703125" style="6" customWidth="1"/>
    <col min="12757" max="12757" width="9.140625" style="6" customWidth="1"/>
    <col min="12758" max="12759" width="3.85546875" style="6" customWidth="1"/>
    <col min="12760" max="12760" width="10.5703125" style="6" customWidth="1"/>
    <col min="12761" max="12761" width="3.85546875" style="6" customWidth="1"/>
    <col min="12762" max="12764" width="14.42578125" style="6" customWidth="1"/>
    <col min="12765" max="12765" width="4.140625" style="6" customWidth="1"/>
    <col min="12766" max="12766" width="15" style="6" customWidth="1"/>
    <col min="12767" max="12768" width="9.140625" style="6" customWidth="1"/>
    <col min="12769" max="12769" width="11.5703125" style="6" customWidth="1"/>
    <col min="12770" max="12770" width="18.140625" style="6" customWidth="1"/>
    <col min="12771" max="12771" width="13.140625" style="6" customWidth="1"/>
    <col min="12772" max="12772" width="12.28515625" style="6" customWidth="1"/>
    <col min="12773" max="13010" width="9.140625" style="6"/>
    <col min="13011" max="13011" width="1.42578125" style="6" customWidth="1"/>
    <col min="13012" max="13012" width="59.5703125" style="6" customWidth="1"/>
    <col min="13013" max="13013" width="9.140625" style="6" customWidth="1"/>
    <col min="13014" max="13015" width="3.85546875" style="6" customWidth="1"/>
    <col min="13016" max="13016" width="10.5703125" style="6" customWidth="1"/>
    <col min="13017" max="13017" width="3.85546875" style="6" customWidth="1"/>
    <col min="13018" max="13020" width="14.42578125" style="6" customWidth="1"/>
    <col min="13021" max="13021" width="4.140625" style="6" customWidth="1"/>
    <col min="13022" max="13022" width="15" style="6" customWidth="1"/>
    <col min="13023" max="13024" width="9.140625" style="6" customWidth="1"/>
    <col min="13025" max="13025" width="11.5703125" style="6" customWidth="1"/>
    <col min="13026" max="13026" width="18.140625" style="6" customWidth="1"/>
    <col min="13027" max="13027" width="13.140625" style="6" customWidth="1"/>
    <col min="13028" max="13028" width="12.28515625" style="6" customWidth="1"/>
    <col min="13029" max="13266" width="9.140625" style="6"/>
    <col min="13267" max="13267" width="1.42578125" style="6" customWidth="1"/>
    <col min="13268" max="13268" width="59.5703125" style="6" customWidth="1"/>
    <col min="13269" max="13269" width="9.140625" style="6" customWidth="1"/>
    <col min="13270" max="13271" width="3.85546875" style="6" customWidth="1"/>
    <col min="13272" max="13272" width="10.5703125" style="6" customWidth="1"/>
    <col min="13273" max="13273" width="3.85546875" style="6" customWidth="1"/>
    <col min="13274" max="13276" width="14.42578125" style="6" customWidth="1"/>
    <col min="13277" max="13277" width="4.140625" style="6" customWidth="1"/>
    <col min="13278" max="13278" width="15" style="6" customWidth="1"/>
    <col min="13279" max="13280" width="9.140625" style="6" customWidth="1"/>
    <col min="13281" max="13281" width="11.5703125" style="6" customWidth="1"/>
    <col min="13282" max="13282" width="18.140625" style="6" customWidth="1"/>
    <col min="13283" max="13283" width="13.140625" style="6" customWidth="1"/>
    <col min="13284" max="13284" width="12.28515625" style="6" customWidth="1"/>
    <col min="13285" max="13522" width="9.140625" style="6"/>
    <col min="13523" max="13523" width="1.42578125" style="6" customWidth="1"/>
    <col min="13524" max="13524" width="59.5703125" style="6" customWidth="1"/>
    <col min="13525" max="13525" width="9.140625" style="6" customWidth="1"/>
    <col min="13526" max="13527" width="3.85546875" style="6" customWidth="1"/>
    <col min="13528" max="13528" width="10.5703125" style="6" customWidth="1"/>
    <col min="13529" max="13529" width="3.85546875" style="6" customWidth="1"/>
    <col min="13530" max="13532" width="14.42578125" style="6" customWidth="1"/>
    <col min="13533" max="13533" width="4.140625" style="6" customWidth="1"/>
    <col min="13534" max="13534" width="15" style="6" customWidth="1"/>
    <col min="13535" max="13536" width="9.140625" style="6" customWidth="1"/>
    <col min="13537" max="13537" width="11.5703125" style="6" customWidth="1"/>
    <col min="13538" max="13538" width="18.140625" style="6" customWidth="1"/>
    <col min="13539" max="13539" width="13.140625" style="6" customWidth="1"/>
    <col min="13540" max="13540" width="12.28515625" style="6" customWidth="1"/>
    <col min="13541" max="13778" width="9.140625" style="6"/>
    <col min="13779" max="13779" width="1.42578125" style="6" customWidth="1"/>
    <col min="13780" max="13780" width="59.5703125" style="6" customWidth="1"/>
    <col min="13781" max="13781" width="9.140625" style="6" customWidth="1"/>
    <col min="13782" max="13783" width="3.85546875" style="6" customWidth="1"/>
    <col min="13784" max="13784" width="10.5703125" style="6" customWidth="1"/>
    <col min="13785" max="13785" width="3.85546875" style="6" customWidth="1"/>
    <col min="13786" max="13788" width="14.42578125" style="6" customWidth="1"/>
    <col min="13789" max="13789" width="4.140625" style="6" customWidth="1"/>
    <col min="13790" max="13790" width="15" style="6" customWidth="1"/>
    <col min="13791" max="13792" width="9.140625" style="6" customWidth="1"/>
    <col min="13793" max="13793" width="11.5703125" style="6" customWidth="1"/>
    <col min="13794" max="13794" width="18.140625" style="6" customWidth="1"/>
    <col min="13795" max="13795" width="13.140625" style="6" customWidth="1"/>
    <col min="13796" max="13796" width="12.28515625" style="6" customWidth="1"/>
    <col min="13797" max="14034" width="9.140625" style="6"/>
    <col min="14035" max="14035" width="1.42578125" style="6" customWidth="1"/>
    <col min="14036" max="14036" width="59.5703125" style="6" customWidth="1"/>
    <col min="14037" max="14037" width="9.140625" style="6" customWidth="1"/>
    <col min="14038" max="14039" width="3.85546875" style="6" customWidth="1"/>
    <col min="14040" max="14040" width="10.5703125" style="6" customWidth="1"/>
    <col min="14041" max="14041" width="3.85546875" style="6" customWidth="1"/>
    <col min="14042" max="14044" width="14.42578125" style="6" customWidth="1"/>
    <col min="14045" max="14045" width="4.140625" style="6" customWidth="1"/>
    <col min="14046" max="14046" width="15" style="6" customWidth="1"/>
    <col min="14047" max="14048" width="9.140625" style="6" customWidth="1"/>
    <col min="14049" max="14049" width="11.5703125" style="6" customWidth="1"/>
    <col min="14050" max="14050" width="18.140625" style="6" customWidth="1"/>
    <col min="14051" max="14051" width="13.140625" style="6" customWidth="1"/>
    <col min="14052" max="14052" width="12.28515625" style="6" customWidth="1"/>
    <col min="14053" max="14290" width="9.140625" style="6"/>
    <col min="14291" max="14291" width="1.42578125" style="6" customWidth="1"/>
    <col min="14292" max="14292" width="59.5703125" style="6" customWidth="1"/>
    <col min="14293" max="14293" width="9.140625" style="6" customWidth="1"/>
    <col min="14294" max="14295" width="3.85546875" style="6" customWidth="1"/>
    <col min="14296" max="14296" width="10.5703125" style="6" customWidth="1"/>
    <col min="14297" max="14297" width="3.85546875" style="6" customWidth="1"/>
    <col min="14298" max="14300" width="14.42578125" style="6" customWidth="1"/>
    <col min="14301" max="14301" width="4.140625" style="6" customWidth="1"/>
    <col min="14302" max="14302" width="15" style="6" customWidth="1"/>
    <col min="14303" max="14304" width="9.140625" style="6" customWidth="1"/>
    <col min="14305" max="14305" width="11.5703125" style="6" customWidth="1"/>
    <col min="14306" max="14306" width="18.140625" style="6" customWidth="1"/>
    <col min="14307" max="14307" width="13.140625" style="6" customWidth="1"/>
    <col min="14308" max="14308" width="12.28515625" style="6" customWidth="1"/>
    <col min="14309" max="14546" width="9.140625" style="6"/>
    <col min="14547" max="14547" width="1.42578125" style="6" customWidth="1"/>
    <col min="14548" max="14548" width="59.5703125" style="6" customWidth="1"/>
    <col min="14549" max="14549" width="9.140625" style="6" customWidth="1"/>
    <col min="14550" max="14551" width="3.85546875" style="6" customWidth="1"/>
    <col min="14552" max="14552" width="10.5703125" style="6" customWidth="1"/>
    <col min="14553" max="14553" width="3.85546875" style="6" customWidth="1"/>
    <col min="14554" max="14556" width="14.42578125" style="6" customWidth="1"/>
    <col min="14557" max="14557" width="4.140625" style="6" customWidth="1"/>
    <col min="14558" max="14558" width="15" style="6" customWidth="1"/>
    <col min="14559" max="14560" width="9.140625" style="6" customWidth="1"/>
    <col min="14561" max="14561" width="11.5703125" style="6" customWidth="1"/>
    <col min="14562" max="14562" width="18.140625" style="6" customWidth="1"/>
    <col min="14563" max="14563" width="13.140625" style="6" customWidth="1"/>
    <col min="14564" max="14564" width="12.28515625" style="6" customWidth="1"/>
    <col min="14565" max="14802" width="9.140625" style="6"/>
    <col min="14803" max="14803" width="1.42578125" style="6" customWidth="1"/>
    <col min="14804" max="14804" width="59.5703125" style="6" customWidth="1"/>
    <col min="14805" max="14805" width="9.140625" style="6" customWidth="1"/>
    <col min="14806" max="14807" width="3.85546875" style="6" customWidth="1"/>
    <col min="14808" max="14808" width="10.5703125" style="6" customWidth="1"/>
    <col min="14809" max="14809" width="3.85546875" style="6" customWidth="1"/>
    <col min="14810" max="14812" width="14.42578125" style="6" customWidth="1"/>
    <col min="14813" max="14813" width="4.140625" style="6" customWidth="1"/>
    <col min="14814" max="14814" width="15" style="6" customWidth="1"/>
    <col min="14815" max="14816" width="9.140625" style="6" customWidth="1"/>
    <col min="14817" max="14817" width="11.5703125" style="6" customWidth="1"/>
    <col min="14818" max="14818" width="18.140625" style="6" customWidth="1"/>
    <col min="14819" max="14819" width="13.140625" style="6" customWidth="1"/>
    <col min="14820" max="14820" width="12.28515625" style="6" customWidth="1"/>
    <col min="14821" max="15058" width="9.140625" style="6"/>
    <col min="15059" max="15059" width="1.42578125" style="6" customWidth="1"/>
    <col min="15060" max="15060" width="59.5703125" style="6" customWidth="1"/>
    <col min="15061" max="15061" width="9.140625" style="6" customWidth="1"/>
    <col min="15062" max="15063" width="3.85546875" style="6" customWidth="1"/>
    <col min="15064" max="15064" width="10.5703125" style="6" customWidth="1"/>
    <col min="15065" max="15065" width="3.85546875" style="6" customWidth="1"/>
    <col min="15066" max="15068" width="14.42578125" style="6" customWidth="1"/>
    <col min="15069" max="15069" width="4.140625" style="6" customWidth="1"/>
    <col min="15070" max="15070" width="15" style="6" customWidth="1"/>
    <col min="15071" max="15072" width="9.140625" style="6" customWidth="1"/>
    <col min="15073" max="15073" width="11.5703125" style="6" customWidth="1"/>
    <col min="15074" max="15074" width="18.140625" style="6" customWidth="1"/>
    <col min="15075" max="15075" width="13.140625" style="6" customWidth="1"/>
    <col min="15076" max="15076" width="12.28515625" style="6" customWidth="1"/>
    <col min="15077" max="15314" width="9.140625" style="6"/>
    <col min="15315" max="15315" width="1.42578125" style="6" customWidth="1"/>
    <col min="15316" max="15316" width="59.5703125" style="6" customWidth="1"/>
    <col min="15317" max="15317" width="9.140625" style="6" customWidth="1"/>
    <col min="15318" max="15319" width="3.85546875" style="6" customWidth="1"/>
    <col min="15320" max="15320" width="10.5703125" style="6" customWidth="1"/>
    <col min="15321" max="15321" width="3.85546875" style="6" customWidth="1"/>
    <col min="15322" max="15324" width="14.42578125" style="6" customWidth="1"/>
    <col min="15325" max="15325" width="4.140625" style="6" customWidth="1"/>
    <col min="15326" max="15326" width="15" style="6" customWidth="1"/>
    <col min="15327" max="15328" width="9.140625" style="6" customWidth="1"/>
    <col min="15329" max="15329" width="11.5703125" style="6" customWidth="1"/>
    <col min="15330" max="15330" width="18.140625" style="6" customWidth="1"/>
    <col min="15331" max="15331" width="13.140625" style="6" customWidth="1"/>
    <col min="15332" max="15332" width="12.28515625" style="6" customWidth="1"/>
    <col min="15333" max="15570" width="9.140625" style="6"/>
    <col min="15571" max="15571" width="1.42578125" style="6" customWidth="1"/>
    <col min="15572" max="15572" width="59.5703125" style="6" customWidth="1"/>
    <col min="15573" max="15573" width="9.140625" style="6" customWidth="1"/>
    <col min="15574" max="15575" width="3.85546875" style="6" customWidth="1"/>
    <col min="15576" max="15576" width="10.5703125" style="6" customWidth="1"/>
    <col min="15577" max="15577" width="3.85546875" style="6" customWidth="1"/>
    <col min="15578" max="15580" width="14.42578125" style="6" customWidth="1"/>
    <col min="15581" max="15581" width="4.140625" style="6" customWidth="1"/>
    <col min="15582" max="15582" width="15" style="6" customWidth="1"/>
    <col min="15583" max="15584" width="9.140625" style="6" customWidth="1"/>
    <col min="15585" max="15585" width="11.5703125" style="6" customWidth="1"/>
    <col min="15586" max="15586" width="18.140625" style="6" customWidth="1"/>
    <col min="15587" max="15587" width="13.140625" style="6" customWidth="1"/>
    <col min="15588" max="15588" width="12.28515625" style="6" customWidth="1"/>
    <col min="15589" max="15826" width="9.140625" style="6"/>
    <col min="15827" max="15827" width="1.42578125" style="6" customWidth="1"/>
    <col min="15828" max="15828" width="59.5703125" style="6" customWidth="1"/>
    <col min="15829" max="15829" width="9.140625" style="6" customWidth="1"/>
    <col min="15830" max="15831" width="3.85546875" style="6" customWidth="1"/>
    <col min="15832" max="15832" width="10.5703125" style="6" customWidth="1"/>
    <col min="15833" max="15833" width="3.85546875" style="6" customWidth="1"/>
    <col min="15834" max="15836" width="14.42578125" style="6" customWidth="1"/>
    <col min="15837" max="15837" width="4.140625" style="6" customWidth="1"/>
    <col min="15838" max="15838" width="15" style="6" customWidth="1"/>
    <col min="15839" max="15840" width="9.140625" style="6" customWidth="1"/>
    <col min="15841" max="15841" width="11.5703125" style="6" customWidth="1"/>
    <col min="15842" max="15842" width="18.140625" style="6" customWidth="1"/>
    <col min="15843" max="15843" width="13.140625" style="6" customWidth="1"/>
    <col min="15844" max="15844" width="12.28515625" style="6" customWidth="1"/>
    <col min="15845" max="16082" width="9.140625" style="6"/>
    <col min="16083" max="16083" width="1.42578125" style="6" customWidth="1"/>
    <col min="16084" max="16084" width="59.5703125" style="6" customWidth="1"/>
    <col min="16085" max="16085" width="9.140625" style="6" customWidth="1"/>
    <col min="16086" max="16087" width="3.85546875" style="6" customWidth="1"/>
    <col min="16088" max="16088" width="10.5703125" style="6" customWidth="1"/>
    <col min="16089" max="16089" width="3.85546875" style="6" customWidth="1"/>
    <col min="16090" max="16092" width="14.42578125" style="6" customWidth="1"/>
    <col min="16093" max="16093" width="4.140625" style="6" customWidth="1"/>
    <col min="16094" max="16094" width="15" style="6" customWidth="1"/>
    <col min="16095" max="16096" width="9.140625" style="6" customWidth="1"/>
    <col min="16097" max="16097" width="11.5703125" style="6" customWidth="1"/>
    <col min="16098" max="16098" width="18.140625" style="6" customWidth="1"/>
    <col min="16099" max="16099" width="13.140625" style="6" customWidth="1"/>
    <col min="16100" max="16100" width="12.28515625" style="6" customWidth="1"/>
    <col min="16101" max="16384" width="9.140625" style="6"/>
  </cols>
  <sheetData>
    <row r="1" spans="1:17" s="220" customFormat="1" ht="15" customHeight="1" x14ac:dyDescent="0.25">
      <c r="A1" s="216"/>
      <c r="B1" s="216"/>
      <c r="E1" s="221"/>
      <c r="G1" s="223"/>
      <c r="H1" s="223"/>
      <c r="I1" s="535" t="s">
        <v>547</v>
      </c>
      <c r="J1" s="535"/>
      <c r="K1" s="535"/>
      <c r="L1" s="535"/>
      <c r="M1" s="535"/>
      <c r="N1" s="535"/>
      <c r="O1" s="223"/>
      <c r="P1" s="223"/>
      <c r="Q1" s="223"/>
    </row>
    <row r="2" spans="1:17" s="220" customFormat="1" ht="60.75" customHeight="1" x14ac:dyDescent="0.25">
      <c r="A2" s="216"/>
      <c r="B2" s="216"/>
      <c r="E2" s="221"/>
      <c r="G2" s="186"/>
      <c r="H2" s="186"/>
      <c r="I2" s="536" t="s">
        <v>463</v>
      </c>
      <c r="J2" s="536"/>
      <c r="K2" s="536"/>
      <c r="L2" s="536"/>
      <c r="M2" s="536"/>
      <c r="N2" s="536"/>
      <c r="O2" s="536"/>
      <c r="P2" s="536"/>
      <c r="Q2" s="186"/>
    </row>
    <row r="3" spans="1:17" s="94" customFormat="1" ht="24.75" customHeight="1" x14ac:dyDescent="0.25">
      <c r="A3" s="504" t="s">
        <v>546</v>
      </c>
      <c r="B3" s="504"/>
      <c r="C3" s="504"/>
      <c r="D3" s="504"/>
      <c r="E3" s="504"/>
      <c r="F3" s="504"/>
      <c r="G3" s="504"/>
      <c r="H3" s="504"/>
      <c r="I3" s="504"/>
      <c r="J3" s="504"/>
      <c r="K3" s="504"/>
      <c r="L3" s="504"/>
      <c r="M3" s="504"/>
      <c r="N3" s="504"/>
      <c r="O3" s="504"/>
      <c r="P3" s="504"/>
      <c r="Q3" s="246"/>
    </row>
    <row r="4" spans="1:17" s="68" customFormat="1" x14ac:dyDescent="0.25">
      <c r="A4" s="184"/>
      <c r="B4" s="184"/>
      <c r="C4" s="184"/>
      <c r="D4" s="184"/>
      <c r="E4" s="185"/>
      <c r="F4" s="185"/>
      <c r="G4" s="185"/>
      <c r="H4" s="184"/>
      <c r="I4" s="184"/>
      <c r="J4" s="74"/>
      <c r="K4" s="67"/>
      <c r="L4" s="67"/>
      <c r="M4" s="67"/>
      <c r="N4" s="67"/>
      <c r="O4" s="67"/>
      <c r="P4" s="67"/>
      <c r="Q4" s="67"/>
    </row>
    <row r="5" spans="1:17" s="95" customFormat="1" ht="24" customHeight="1" x14ac:dyDescent="0.25">
      <c r="A5" s="505" t="s">
        <v>10</v>
      </c>
      <c r="B5" s="505"/>
      <c r="C5" s="291"/>
      <c r="D5" s="291"/>
      <c r="E5" s="291"/>
      <c r="F5" s="90" t="s">
        <v>11</v>
      </c>
      <c r="G5" s="90" t="s">
        <v>12</v>
      </c>
      <c r="H5" s="90" t="s">
        <v>13</v>
      </c>
      <c r="I5" s="90" t="s">
        <v>14</v>
      </c>
      <c r="J5" s="291" t="s">
        <v>420</v>
      </c>
      <c r="K5" s="219">
        <v>2016</v>
      </c>
      <c r="L5" s="219" t="s">
        <v>618</v>
      </c>
      <c r="M5" s="219" t="s">
        <v>641</v>
      </c>
      <c r="N5" s="219">
        <v>2017</v>
      </c>
      <c r="O5" s="219" t="s">
        <v>618</v>
      </c>
      <c r="P5" s="219" t="s">
        <v>632</v>
      </c>
    </row>
    <row r="6" spans="1:17" ht="15" customHeight="1" x14ac:dyDescent="0.25">
      <c r="A6" s="506" t="s">
        <v>15</v>
      </c>
      <c r="B6" s="507"/>
      <c r="C6" s="290"/>
      <c r="D6" s="290"/>
      <c r="E6" s="290">
        <v>851</v>
      </c>
      <c r="F6" s="1"/>
      <c r="G6" s="1"/>
      <c r="H6" s="1"/>
      <c r="I6" s="1"/>
      <c r="J6" s="97">
        <f>J7+J55+J62+J69+J90+J99+J106+J133+J152</f>
        <v>64255337</v>
      </c>
      <c r="K6" s="97">
        <f>K7+K55+K62+K69+K90+K99+K106+K133+K152</f>
        <v>47116560</v>
      </c>
      <c r="L6" s="97">
        <f t="shared" ref="L6:P6" si="0">L7+L55+L62+L69+L90+L99+L106+L133+L152</f>
        <v>-4321000</v>
      </c>
      <c r="M6" s="97">
        <f t="shared" si="0"/>
        <v>42795560</v>
      </c>
      <c r="N6" s="97">
        <f t="shared" si="0"/>
        <v>45977580</v>
      </c>
      <c r="O6" s="97">
        <f t="shared" si="0"/>
        <v>-4269500</v>
      </c>
      <c r="P6" s="97">
        <f t="shared" si="0"/>
        <v>41708080</v>
      </c>
    </row>
    <row r="7" spans="1:17" s="10" customFormat="1" x14ac:dyDescent="0.25">
      <c r="A7" s="503" t="s">
        <v>16</v>
      </c>
      <c r="B7" s="503"/>
      <c r="C7" s="284"/>
      <c r="D7" s="284"/>
      <c r="E7" s="219">
        <v>851</v>
      </c>
      <c r="F7" s="7" t="s">
        <v>17</v>
      </c>
      <c r="G7" s="7"/>
      <c r="H7" s="7"/>
      <c r="I7" s="7"/>
      <c r="J7" s="8">
        <f>J8+J24+J28+J32</f>
        <v>23774080</v>
      </c>
      <c r="K7" s="8">
        <f>K8+K24+K28+K32</f>
        <v>23499278</v>
      </c>
      <c r="L7" s="8">
        <f t="shared" ref="L7:P7" si="1">L8+L24+L28+L32</f>
        <v>-1321000</v>
      </c>
      <c r="M7" s="8">
        <f t="shared" si="1"/>
        <v>22178278</v>
      </c>
      <c r="N7" s="8">
        <f t="shared" si="1"/>
        <v>23904498</v>
      </c>
      <c r="O7" s="8">
        <f t="shared" si="1"/>
        <v>-2155500</v>
      </c>
      <c r="P7" s="8">
        <f t="shared" si="1"/>
        <v>21748998</v>
      </c>
    </row>
    <row r="8" spans="1:17" s="13" customFormat="1" ht="36" customHeight="1" x14ac:dyDescent="0.25">
      <c r="A8" s="508" t="s">
        <v>18</v>
      </c>
      <c r="B8" s="508"/>
      <c r="C8" s="285"/>
      <c r="D8" s="285"/>
      <c r="E8" s="219">
        <v>851</v>
      </c>
      <c r="F8" s="11" t="s">
        <v>17</v>
      </c>
      <c r="G8" s="11" t="s">
        <v>6</v>
      </c>
      <c r="H8" s="11"/>
      <c r="I8" s="11"/>
      <c r="J8" s="12">
        <f>J9+J12+J21</f>
        <v>17336380</v>
      </c>
      <c r="K8" s="12">
        <f>K9+K12+K21</f>
        <v>17333578</v>
      </c>
      <c r="L8" s="12">
        <f t="shared" ref="L8:P8" si="2">L9+L12+L21</f>
        <v>0</v>
      </c>
      <c r="M8" s="12">
        <f t="shared" si="2"/>
        <v>17333578</v>
      </c>
      <c r="N8" s="12">
        <f t="shared" si="2"/>
        <v>17333578</v>
      </c>
      <c r="O8" s="12">
        <f t="shared" si="2"/>
        <v>0</v>
      </c>
      <c r="P8" s="12">
        <f t="shared" si="2"/>
        <v>17333578</v>
      </c>
    </row>
    <row r="9" spans="1:17" ht="27" customHeight="1" x14ac:dyDescent="0.25">
      <c r="A9" s="509" t="s">
        <v>19</v>
      </c>
      <c r="B9" s="509"/>
      <c r="C9" s="276"/>
      <c r="D9" s="276"/>
      <c r="E9" s="219">
        <v>851</v>
      </c>
      <c r="F9" s="1" t="s">
        <v>17</v>
      </c>
      <c r="G9" s="1" t="s">
        <v>6</v>
      </c>
      <c r="H9" s="1" t="s">
        <v>20</v>
      </c>
      <c r="I9" s="1"/>
      <c r="J9" s="2">
        <f t="shared" ref="J9:P10" si="3">J10</f>
        <v>946200</v>
      </c>
      <c r="K9" s="2">
        <f t="shared" si="3"/>
        <v>946200</v>
      </c>
      <c r="L9" s="2">
        <f t="shared" si="3"/>
        <v>0</v>
      </c>
      <c r="M9" s="2">
        <f t="shared" si="3"/>
        <v>946200</v>
      </c>
      <c r="N9" s="2">
        <f t="shared" si="3"/>
        <v>946200</v>
      </c>
      <c r="O9" s="2">
        <f t="shared" si="3"/>
        <v>0</v>
      </c>
      <c r="P9" s="2">
        <f t="shared" si="3"/>
        <v>946200</v>
      </c>
    </row>
    <row r="10" spans="1:17" ht="36" customHeight="1" x14ac:dyDescent="0.25">
      <c r="A10" s="276"/>
      <c r="B10" s="275" t="s">
        <v>21</v>
      </c>
      <c r="C10" s="276"/>
      <c r="D10" s="276"/>
      <c r="E10" s="219">
        <v>851</v>
      </c>
      <c r="F10" s="1" t="s">
        <v>22</v>
      </c>
      <c r="G10" s="1" t="s">
        <v>6</v>
      </c>
      <c r="H10" s="1" t="s">
        <v>20</v>
      </c>
      <c r="I10" s="1" t="s">
        <v>23</v>
      </c>
      <c r="J10" s="2">
        <f t="shared" si="3"/>
        <v>946200</v>
      </c>
      <c r="K10" s="2">
        <f t="shared" si="3"/>
        <v>946200</v>
      </c>
      <c r="L10" s="2">
        <f t="shared" si="3"/>
        <v>0</v>
      </c>
      <c r="M10" s="2">
        <f t="shared" si="3"/>
        <v>946200</v>
      </c>
      <c r="N10" s="2">
        <f t="shared" si="3"/>
        <v>946200</v>
      </c>
      <c r="O10" s="2">
        <f t="shared" si="3"/>
        <v>0</v>
      </c>
      <c r="P10" s="2">
        <f t="shared" si="3"/>
        <v>946200</v>
      </c>
    </row>
    <row r="11" spans="1:17" ht="15" customHeight="1" x14ac:dyDescent="0.25">
      <c r="A11" s="15"/>
      <c r="B11" s="275" t="s">
        <v>24</v>
      </c>
      <c r="C11" s="275"/>
      <c r="D11" s="275"/>
      <c r="E11" s="219">
        <v>851</v>
      </c>
      <c r="F11" s="1" t="s">
        <v>17</v>
      </c>
      <c r="G11" s="1" t="s">
        <v>6</v>
      </c>
      <c r="H11" s="1" t="s">
        <v>20</v>
      </c>
      <c r="I11" s="1" t="s">
        <v>25</v>
      </c>
      <c r="J11" s="2">
        <v>946200</v>
      </c>
      <c r="K11" s="2">
        <v>946200</v>
      </c>
      <c r="L11" s="2"/>
      <c r="M11" s="2">
        <f>K11+L11</f>
        <v>946200</v>
      </c>
      <c r="N11" s="2">
        <v>946200</v>
      </c>
      <c r="O11" s="15"/>
      <c r="P11" s="2">
        <f>N11+O11</f>
        <v>946200</v>
      </c>
    </row>
    <row r="12" spans="1:17" ht="26.25" customHeight="1" x14ac:dyDescent="0.25">
      <c r="A12" s="509" t="s">
        <v>26</v>
      </c>
      <c r="B12" s="509"/>
      <c r="C12" s="219"/>
      <c r="D12" s="219"/>
      <c r="E12" s="219">
        <v>851</v>
      </c>
      <c r="F12" s="1" t="s">
        <v>22</v>
      </c>
      <c r="G12" s="1" t="s">
        <v>6</v>
      </c>
      <c r="H12" s="1" t="s">
        <v>433</v>
      </c>
      <c r="I12" s="1"/>
      <c r="J12" s="2">
        <f t="shared" ref="J12:N12" si="4">J13+J15+J17</f>
        <v>16387680</v>
      </c>
      <c r="K12" s="2">
        <f t="shared" si="4"/>
        <v>16387378</v>
      </c>
      <c r="L12" s="2"/>
      <c r="M12" s="2">
        <f t="shared" ref="M12:M75" si="5">K12+L12</f>
        <v>16387378</v>
      </c>
      <c r="N12" s="2">
        <f t="shared" si="4"/>
        <v>16387378</v>
      </c>
      <c r="O12" s="15"/>
      <c r="P12" s="2">
        <f t="shared" ref="P12:P75" si="6">N12+O12</f>
        <v>16387378</v>
      </c>
    </row>
    <row r="13" spans="1:17" ht="36" customHeight="1" x14ac:dyDescent="0.25">
      <c r="A13" s="15"/>
      <c r="B13" s="275" t="s">
        <v>21</v>
      </c>
      <c r="C13" s="219"/>
      <c r="D13" s="219"/>
      <c r="E13" s="219">
        <v>851</v>
      </c>
      <c r="F13" s="1" t="s">
        <v>17</v>
      </c>
      <c r="G13" s="1" t="s">
        <v>6</v>
      </c>
      <c r="H13" s="1" t="s">
        <v>433</v>
      </c>
      <c r="I13" s="1" t="s">
        <v>23</v>
      </c>
      <c r="J13" s="2">
        <f t="shared" ref="J13:N13" si="7">J14</f>
        <v>11544100</v>
      </c>
      <c r="K13" s="2">
        <f t="shared" si="7"/>
        <v>11544100</v>
      </c>
      <c r="L13" s="2"/>
      <c r="M13" s="2">
        <f t="shared" si="5"/>
        <v>11544100</v>
      </c>
      <c r="N13" s="2">
        <f t="shared" si="7"/>
        <v>11544100</v>
      </c>
      <c r="O13" s="15"/>
      <c r="P13" s="2">
        <f t="shared" si="6"/>
        <v>11544100</v>
      </c>
    </row>
    <row r="14" spans="1:17" ht="14.25" customHeight="1" x14ac:dyDescent="0.25">
      <c r="A14" s="15"/>
      <c r="B14" s="275" t="s">
        <v>24</v>
      </c>
      <c r="C14" s="219"/>
      <c r="D14" s="219"/>
      <c r="E14" s="219">
        <v>851</v>
      </c>
      <c r="F14" s="1" t="s">
        <v>17</v>
      </c>
      <c r="G14" s="1" t="s">
        <v>6</v>
      </c>
      <c r="H14" s="1" t="s">
        <v>433</v>
      </c>
      <c r="I14" s="1" t="s">
        <v>25</v>
      </c>
      <c r="J14" s="2">
        <f>11904900-187900-172900</f>
        <v>11544100</v>
      </c>
      <c r="K14" s="2">
        <v>11544100</v>
      </c>
      <c r="L14" s="2"/>
      <c r="M14" s="2">
        <f t="shared" si="5"/>
        <v>11544100</v>
      </c>
      <c r="N14" s="2">
        <v>11544100</v>
      </c>
      <c r="O14" s="15"/>
      <c r="P14" s="2">
        <f t="shared" si="6"/>
        <v>11544100</v>
      </c>
    </row>
    <row r="15" spans="1:17" ht="14.25" customHeight="1" x14ac:dyDescent="0.25">
      <c r="A15" s="15"/>
      <c r="B15" s="276" t="s">
        <v>27</v>
      </c>
      <c r="C15" s="219"/>
      <c r="D15" s="219"/>
      <c r="E15" s="219">
        <v>851</v>
      </c>
      <c r="F15" s="1" t="s">
        <v>17</v>
      </c>
      <c r="G15" s="1" t="s">
        <v>6</v>
      </c>
      <c r="H15" s="1" t="s">
        <v>433</v>
      </c>
      <c r="I15" s="1" t="s">
        <v>28</v>
      </c>
      <c r="J15" s="2">
        <f t="shared" ref="J15:N15" si="8">J16</f>
        <v>3777580</v>
      </c>
      <c r="K15" s="2">
        <f t="shared" si="8"/>
        <v>3777280</v>
      </c>
      <c r="L15" s="2"/>
      <c r="M15" s="2">
        <f t="shared" si="5"/>
        <v>3777280</v>
      </c>
      <c r="N15" s="2">
        <f t="shared" si="8"/>
        <v>3777280</v>
      </c>
      <c r="O15" s="15"/>
      <c r="P15" s="2">
        <f t="shared" si="6"/>
        <v>3777280</v>
      </c>
    </row>
    <row r="16" spans="1:17" ht="24.75" customHeight="1" x14ac:dyDescent="0.25">
      <c r="A16" s="15"/>
      <c r="B16" s="276" t="s">
        <v>29</v>
      </c>
      <c r="C16" s="219"/>
      <c r="D16" s="219"/>
      <c r="E16" s="219">
        <v>851</v>
      </c>
      <c r="F16" s="1" t="s">
        <v>17</v>
      </c>
      <c r="G16" s="1" t="s">
        <v>6</v>
      </c>
      <c r="H16" s="1" t="s">
        <v>433</v>
      </c>
      <c r="I16" s="1" t="s">
        <v>30</v>
      </c>
      <c r="J16" s="2">
        <f>3816480-151600+112700</f>
        <v>3777580</v>
      </c>
      <c r="K16" s="2">
        <v>3777280</v>
      </c>
      <c r="L16" s="2"/>
      <c r="M16" s="2">
        <f t="shared" si="5"/>
        <v>3777280</v>
      </c>
      <c r="N16" s="2">
        <v>3777280</v>
      </c>
      <c r="O16" s="15"/>
      <c r="P16" s="2">
        <f t="shared" si="6"/>
        <v>3777280</v>
      </c>
    </row>
    <row r="17" spans="1:16" x14ac:dyDescent="0.25">
      <c r="A17" s="15"/>
      <c r="B17" s="276" t="s">
        <v>31</v>
      </c>
      <c r="C17" s="219"/>
      <c r="D17" s="219"/>
      <c r="E17" s="219">
        <v>851</v>
      </c>
      <c r="F17" s="1" t="s">
        <v>17</v>
      </c>
      <c r="G17" s="1" t="s">
        <v>6</v>
      </c>
      <c r="H17" s="1" t="s">
        <v>433</v>
      </c>
      <c r="I17" s="1" t="s">
        <v>32</v>
      </c>
      <c r="J17" s="2">
        <f>J18+J19+J20</f>
        <v>1066000</v>
      </c>
      <c r="K17" s="2">
        <f>K18+K19+K20</f>
        <v>1065998</v>
      </c>
      <c r="L17" s="2"/>
      <c r="M17" s="2">
        <f t="shared" si="5"/>
        <v>1065998</v>
      </c>
      <c r="N17" s="2">
        <f>N18+N19+N20</f>
        <v>1065998</v>
      </c>
      <c r="O17" s="15"/>
      <c r="P17" s="2">
        <f t="shared" si="6"/>
        <v>1065998</v>
      </c>
    </row>
    <row r="18" spans="1:16" ht="14.25" customHeight="1" x14ac:dyDescent="0.25">
      <c r="A18" s="15"/>
      <c r="B18" s="276" t="s">
        <v>33</v>
      </c>
      <c r="C18" s="219"/>
      <c r="D18" s="219"/>
      <c r="E18" s="219">
        <v>851</v>
      </c>
      <c r="F18" s="1" t="s">
        <v>17</v>
      </c>
      <c r="G18" s="1" t="s">
        <v>6</v>
      </c>
      <c r="H18" s="1" t="s">
        <v>433</v>
      </c>
      <c r="I18" s="1" t="s">
        <v>34</v>
      </c>
      <c r="J18" s="2">
        <v>945200</v>
      </c>
      <c r="K18" s="2">
        <f>945200-2</f>
        <v>945198</v>
      </c>
      <c r="L18" s="2"/>
      <c r="M18" s="2">
        <f t="shared" si="5"/>
        <v>945198</v>
      </c>
      <c r="N18" s="2">
        <f>945200-2</f>
        <v>945198</v>
      </c>
      <c r="O18" s="15"/>
      <c r="P18" s="2">
        <f t="shared" si="6"/>
        <v>945198</v>
      </c>
    </row>
    <row r="19" spans="1:16" ht="14.25" customHeight="1" x14ac:dyDescent="0.25">
      <c r="A19" s="15"/>
      <c r="B19" s="275" t="s">
        <v>466</v>
      </c>
      <c r="C19" s="219"/>
      <c r="D19" s="219"/>
      <c r="E19" s="219">
        <v>851</v>
      </c>
      <c r="F19" s="1" t="s">
        <v>22</v>
      </c>
      <c r="G19" s="1" t="s">
        <v>6</v>
      </c>
      <c r="H19" s="1" t="s">
        <v>433</v>
      </c>
      <c r="I19" s="1" t="s">
        <v>35</v>
      </c>
      <c r="J19" s="2">
        <f>71120-320</f>
        <v>70800</v>
      </c>
      <c r="K19" s="2">
        <v>70800</v>
      </c>
      <c r="L19" s="2"/>
      <c r="M19" s="2">
        <f t="shared" si="5"/>
        <v>70800</v>
      </c>
      <c r="N19" s="2">
        <v>70800</v>
      </c>
      <c r="O19" s="15"/>
      <c r="P19" s="2">
        <f t="shared" si="6"/>
        <v>70800</v>
      </c>
    </row>
    <row r="20" spans="1:16" ht="14.25" customHeight="1" x14ac:dyDescent="0.25">
      <c r="A20" s="15"/>
      <c r="B20" s="276" t="s">
        <v>465</v>
      </c>
      <c r="C20" s="219"/>
      <c r="D20" s="219"/>
      <c r="E20" s="219">
        <v>851</v>
      </c>
      <c r="F20" s="1" t="s">
        <v>22</v>
      </c>
      <c r="G20" s="1" t="s">
        <v>6</v>
      </c>
      <c r="H20" s="1" t="s">
        <v>433</v>
      </c>
      <c r="I20" s="1" t="s">
        <v>464</v>
      </c>
      <c r="J20" s="2">
        <v>50000</v>
      </c>
      <c r="K20" s="2">
        <v>50000</v>
      </c>
      <c r="L20" s="2"/>
      <c r="M20" s="2">
        <f t="shared" si="5"/>
        <v>50000</v>
      </c>
      <c r="N20" s="2">
        <v>50000</v>
      </c>
      <c r="O20" s="15"/>
      <c r="P20" s="2">
        <f t="shared" si="6"/>
        <v>50000</v>
      </c>
    </row>
    <row r="21" spans="1:16" ht="38.25" hidden="1" customHeight="1" x14ac:dyDescent="0.25">
      <c r="A21" s="509" t="s">
        <v>479</v>
      </c>
      <c r="B21" s="509"/>
      <c r="C21" s="276"/>
      <c r="D21" s="276"/>
      <c r="E21" s="219">
        <v>851</v>
      </c>
      <c r="F21" s="1" t="s">
        <v>17</v>
      </c>
      <c r="G21" s="1" t="s">
        <v>6</v>
      </c>
      <c r="H21" s="1" t="s">
        <v>482</v>
      </c>
      <c r="I21" s="1"/>
      <c r="J21" s="2">
        <f t="shared" ref="J21:N22" si="9">J22</f>
        <v>2500</v>
      </c>
      <c r="K21" s="2">
        <f t="shared" si="9"/>
        <v>0</v>
      </c>
      <c r="L21" s="2"/>
      <c r="M21" s="2">
        <f t="shared" si="5"/>
        <v>0</v>
      </c>
      <c r="N21" s="2">
        <f t="shared" si="9"/>
        <v>0</v>
      </c>
      <c r="O21" s="15"/>
      <c r="P21" s="2">
        <f t="shared" si="6"/>
        <v>0</v>
      </c>
    </row>
    <row r="22" spans="1:16" ht="15.75" hidden="1" customHeight="1" x14ac:dyDescent="0.25">
      <c r="A22" s="15"/>
      <c r="B22" s="276" t="s">
        <v>27</v>
      </c>
      <c r="C22" s="275"/>
      <c r="D22" s="275"/>
      <c r="E22" s="219">
        <v>851</v>
      </c>
      <c r="F22" s="1" t="s">
        <v>17</v>
      </c>
      <c r="G22" s="1" t="s">
        <v>6</v>
      </c>
      <c r="H22" s="1" t="s">
        <v>482</v>
      </c>
      <c r="I22" s="1" t="s">
        <v>28</v>
      </c>
      <c r="J22" s="2">
        <f t="shared" si="9"/>
        <v>2500</v>
      </c>
      <c r="K22" s="2">
        <f t="shared" si="9"/>
        <v>0</v>
      </c>
      <c r="L22" s="2"/>
      <c r="M22" s="2">
        <f t="shared" si="5"/>
        <v>0</v>
      </c>
      <c r="N22" s="2">
        <f t="shared" si="9"/>
        <v>0</v>
      </c>
      <c r="O22" s="15"/>
      <c r="P22" s="2">
        <f t="shared" si="6"/>
        <v>0</v>
      </c>
    </row>
    <row r="23" spans="1:16" ht="23.25" hidden="1" customHeight="1" x14ac:dyDescent="0.25">
      <c r="A23" s="15"/>
      <c r="B23" s="276" t="s">
        <v>29</v>
      </c>
      <c r="C23" s="276"/>
      <c r="D23" s="276"/>
      <c r="E23" s="219">
        <v>851</v>
      </c>
      <c r="F23" s="1" t="s">
        <v>17</v>
      </c>
      <c r="G23" s="1" t="s">
        <v>6</v>
      </c>
      <c r="H23" s="1" t="s">
        <v>482</v>
      </c>
      <c r="I23" s="1" t="s">
        <v>30</v>
      </c>
      <c r="J23" s="2">
        <f>2500</f>
        <v>2500</v>
      </c>
      <c r="K23" s="2"/>
      <c r="L23" s="2"/>
      <c r="M23" s="2">
        <f t="shared" si="5"/>
        <v>0</v>
      </c>
      <c r="N23" s="2"/>
      <c r="O23" s="15"/>
      <c r="P23" s="2">
        <f t="shared" si="6"/>
        <v>0</v>
      </c>
    </row>
    <row r="24" spans="1:16" x14ac:dyDescent="0.25">
      <c r="A24" s="508" t="s">
        <v>495</v>
      </c>
      <c r="B24" s="508"/>
      <c r="C24" s="276"/>
      <c r="D24" s="276"/>
      <c r="E24" s="16">
        <v>851</v>
      </c>
      <c r="F24" s="11" t="s">
        <v>17</v>
      </c>
      <c r="G24" s="11" t="s">
        <v>63</v>
      </c>
      <c r="H24" s="11"/>
      <c r="I24" s="11"/>
      <c r="J24" s="12">
        <f>J25</f>
        <v>0</v>
      </c>
      <c r="K24" s="12">
        <f t="shared" ref="K24:P26" si="10">K25</f>
        <v>0</v>
      </c>
      <c r="L24" s="12">
        <f t="shared" si="10"/>
        <v>0</v>
      </c>
      <c r="M24" s="12">
        <f t="shared" si="10"/>
        <v>0</v>
      </c>
      <c r="N24" s="12">
        <f t="shared" si="10"/>
        <v>5220</v>
      </c>
      <c r="O24" s="12">
        <f t="shared" si="10"/>
        <v>0</v>
      </c>
      <c r="P24" s="12">
        <f t="shared" si="10"/>
        <v>5220</v>
      </c>
    </row>
    <row r="25" spans="1:16" ht="60" customHeight="1" x14ac:dyDescent="0.25">
      <c r="A25" s="509" t="s">
        <v>496</v>
      </c>
      <c r="B25" s="509"/>
      <c r="C25" s="276"/>
      <c r="D25" s="276"/>
      <c r="E25" s="219">
        <v>851</v>
      </c>
      <c r="F25" s="1" t="s">
        <v>17</v>
      </c>
      <c r="G25" s="1" t="s">
        <v>63</v>
      </c>
      <c r="H25" s="1" t="s">
        <v>497</v>
      </c>
      <c r="I25" s="1"/>
      <c r="J25" s="2">
        <f>J26</f>
        <v>0</v>
      </c>
      <c r="K25" s="2">
        <f t="shared" si="10"/>
        <v>0</v>
      </c>
      <c r="L25" s="2"/>
      <c r="M25" s="2">
        <f t="shared" si="5"/>
        <v>0</v>
      </c>
      <c r="N25" s="2">
        <f t="shared" si="10"/>
        <v>5220</v>
      </c>
      <c r="O25" s="15"/>
      <c r="P25" s="2">
        <f t="shared" si="6"/>
        <v>5220</v>
      </c>
    </row>
    <row r="26" spans="1:16" x14ac:dyDescent="0.25">
      <c r="A26" s="15"/>
      <c r="B26" s="276" t="s">
        <v>27</v>
      </c>
      <c r="C26" s="275"/>
      <c r="D26" s="275"/>
      <c r="E26" s="219">
        <v>851</v>
      </c>
      <c r="F26" s="1" t="s">
        <v>17</v>
      </c>
      <c r="G26" s="1" t="s">
        <v>63</v>
      </c>
      <c r="H26" s="1" t="s">
        <v>497</v>
      </c>
      <c r="I26" s="1" t="s">
        <v>28</v>
      </c>
      <c r="J26" s="2">
        <f>J27</f>
        <v>0</v>
      </c>
      <c r="K26" s="2">
        <f t="shared" si="10"/>
        <v>0</v>
      </c>
      <c r="L26" s="2"/>
      <c r="M26" s="2">
        <f t="shared" si="5"/>
        <v>0</v>
      </c>
      <c r="N26" s="2">
        <f t="shared" si="10"/>
        <v>5220</v>
      </c>
      <c r="O26" s="15"/>
      <c r="P26" s="2">
        <f t="shared" si="6"/>
        <v>5220</v>
      </c>
    </row>
    <row r="27" spans="1:16" ht="24" x14ac:dyDescent="0.25">
      <c r="A27" s="15"/>
      <c r="B27" s="276" t="s">
        <v>29</v>
      </c>
      <c r="C27" s="276"/>
      <c r="D27" s="276"/>
      <c r="E27" s="219">
        <v>851</v>
      </c>
      <c r="F27" s="1" t="s">
        <v>17</v>
      </c>
      <c r="G27" s="1" t="s">
        <v>63</v>
      </c>
      <c r="H27" s="1" t="s">
        <v>497</v>
      </c>
      <c r="I27" s="1" t="s">
        <v>30</v>
      </c>
      <c r="J27" s="2">
        <v>0</v>
      </c>
      <c r="K27" s="2">
        <v>0</v>
      </c>
      <c r="L27" s="2"/>
      <c r="M27" s="2">
        <f t="shared" si="5"/>
        <v>0</v>
      </c>
      <c r="N27" s="2">
        <v>5220</v>
      </c>
      <c r="O27" s="15"/>
      <c r="P27" s="2">
        <f t="shared" si="6"/>
        <v>5220</v>
      </c>
    </row>
    <row r="28" spans="1:16" s="13" customFormat="1" ht="13.5" customHeight="1" x14ac:dyDescent="0.25">
      <c r="A28" s="508" t="s">
        <v>37</v>
      </c>
      <c r="B28" s="508"/>
      <c r="C28" s="285"/>
      <c r="D28" s="285"/>
      <c r="E28" s="219">
        <v>851</v>
      </c>
      <c r="F28" s="11" t="s">
        <v>17</v>
      </c>
      <c r="G28" s="11" t="s">
        <v>38</v>
      </c>
      <c r="H28" s="11"/>
      <c r="I28" s="11"/>
      <c r="J28" s="12">
        <f>J29</f>
        <v>200000</v>
      </c>
      <c r="K28" s="12">
        <f>K29</f>
        <v>200000</v>
      </c>
      <c r="L28" s="12">
        <f t="shared" ref="L28:P28" si="11">L29</f>
        <v>0</v>
      </c>
      <c r="M28" s="12">
        <f t="shared" si="11"/>
        <v>200000</v>
      </c>
      <c r="N28" s="12">
        <f t="shared" si="11"/>
        <v>200000</v>
      </c>
      <c r="O28" s="12">
        <f t="shared" si="11"/>
        <v>0</v>
      </c>
      <c r="P28" s="12">
        <f t="shared" si="11"/>
        <v>200000</v>
      </c>
    </row>
    <row r="29" spans="1:16" ht="13.5" customHeight="1" x14ac:dyDescent="0.25">
      <c r="A29" s="509" t="s">
        <v>40</v>
      </c>
      <c r="B29" s="509"/>
      <c r="C29" s="276"/>
      <c r="D29" s="276"/>
      <c r="E29" s="219">
        <v>851</v>
      </c>
      <c r="F29" s="1" t="s">
        <v>17</v>
      </c>
      <c r="G29" s="1" t="s">
        <v>38</v>
      </c>
      <c r="H29" s="1" t="s">
        <v>39</v>
      </c>
      <c r="I29" s="1"/>
      <c r="J29" s="2">
        <f t="shared" ref="J29:N30" si="12">J30</f>
        <v>200000</v>
      </c>
      <c r="K29" s="2">
        <f t="shared" si="12"/>
        <v>200000</v>
      </c>
      <c r="L29" s="2"/>
      <c r="M29" s="2">
        <f t="shared" si="5"/>
        <v>200000</v>
      </c>
      <c r="N29" s="2">
        <f t="shared" si="12"/>
        <v>200000</v>
      </c>
      <c r="O29" s="15"/>
      <c r="P29" s="2">
        <f t="shared" si="6"/>
        <v>200000</v>
      </c>
    </row>
    <row r="30" spans="1:16" ht="13.5" customHeight="1" x14ac:dyDescent="0.25">
      <c r="A30" s="15"/>
      <c r="B30" s="276" t="s">
        <v>31</v>
      </c>
      <c r="C30" s="276"/>
      <c r="D30" s="276"/>
      <c r="E30" s="219">
        <v>851</v>
      </c>
      <c r="F30" s="1" t="s">
        <v>17</v>
      </c>
      <c r="G30" s="1" t="s">
        <v>38</v>
      </c>
      <c r="H30" s="1" t="s">
        <v>39</v>
      </c>
      <c r="I30" s="1" t="s">
        <v>32</v>
      </c>
      <c r="J30" s="2">
        <f t="shared" si="12"/>
        <v>200000</v>
      </c>
      <c r="K30" s="2">
        <f t="shared" si="12"/>
        <v>200000</v>
      </c>
      <c r="L30" s="2"/>
      <c r="M30" s="2">
        <f t="shared" si="5"/>
        <v>200000</v>
      </c>
      <c r="N30" s="2">
        <f t="shared" si="12"/>
        <v>200000</v>
      </c>
      <c r="O30" s="15"/>
      <c r="P30" s="2">
        <f t="shared" si="6"/>
        <v>200000</v>
      </c>
    </row>
    <row r="31" spans="1:16" ht="13.5" customHeight="1" x14ac:dyDescent="0.25">
      <c r="A31" s="15"/>
      <c r="B31" s="275" t="s">
        <v>41</v>
      </c>
      <c r="C31" s="275"/>
      <c r="D31" s="275"/>
      <c r="E31" s="219">
        <v>851</v>
      </c>
      <c r="F31" s="1" t="s">
        <v>17</v>
      </c>
      <c r="G31" s="1" t="s">
        <v>38</v>
      </c>
      <c r="H31" s="1" t="s">
        <v>39</v>
      </c>
      <c r="I31" s="1" t="s">
        <v>42</v>
      </c>
      <c r="J31" s="2">
        <v>200000</v>
      </c>
      <c r="K31" s="2">
        <v>200000</v>
      </c>
      <c r="L31" s="2"/>
      <c r="M31" s="2">
        <f t="shared" si="5"/>
        <v>200000</v>
      </c>
      <c r="N31" s="2">
        <v>200000</v>
      </c>
      <c r="O31" s="15"/>
      <c r="P31" s="2">
        <f t="shared" si="6"/>
        <v>200000</v>
      </c>
    </row>
    <row r="32" spans="1:16" s="13" customFormat="1" ht="13.5" customHeight="1" x14ac:dyDescent="0.25">
      <c r="A32" s="508" t="s">
        <v>43</v>
      </c>
      <c r="B32" s="508"/>
      <c r="C32" s="285"/>
      <c r="D32" s="285"/>
      <c r="E32" s="219">
        <v>851</v>
      </c>
      <c r="F32" s="11" t="s">
        <v>17</v>
      </c>
      <c r="G32" s="11" t="s">
        <v>44</v>
      </c>
      <c r="H32" s="11"/>
      <c r="I32" s="11"/>
      <c r="J32" s="12">
        <f>J33+J38+J41+J44+J49+J52</f>
        <v>6237700</v>
      </c>
      <c r="K32" s="12">
        <f>K33+K38+K41+K44+K49+K52</f>
        <v>5965700</v>
      </c>
      <c r="L32" s="12">
        <f t="shared" ref="L32:P32" si="13">L33+L38+L41+L44+L49+L52</f>
        <v>-1321000</v>
      </c>
      <c r="M32" s="12">
        <f t="shared" si="13"/>
        <v>4644700</v>
      </c>
      <c r="N32" s="12">
        <f t="shared" si="13"/>
        <v>6365700</v>
      </c>
      <c r="O32" s="12">
        <f t="shared" si="13"/>
        <v>-2155500</v>
      </c>
      <c r="P32" s="12">
        <f t="shared" si="13"/>
        <v>4210200</v>
      </c>
    </row>
    <row r="33" spans="1:16" ht="52.5" customHeight="1" x14ac:dyDescent="0.25">
      <c r="A33" s="509" t="s">
        <v>45</v>
      </c>
      <c r="B33" s="509"/>
      <c r="C33" s="219"/>
      <c r="D33" s="219"/>
      <c r="E33" s="219">
        <v>851</v>
      </c>
      <c r="F33" s="1" t="s">
        <v>17</v>
      </c>
      <c r="G33" s="1" t="s">
        <v>44</v>
      </c>
      <c r="H33" s="1" t="s">
        <v>46</v>
      </c>
      <c r="I33" s="1"/>
      <c r="J33" s="2">
        <f t="shared" ref="J33:N33" si="14">J34+J36</f>
        <v>340700</v>
      </c>
      <c r="K33" s="2">
        <f t="shared" si="14"/>
        <v>340700</v>
      </c>
      <c r="L33" s="2"/>
      <c r="M33" s="2">
        <f t="shared" si="5"/>
        <v>340700</v>
      </c>
      <c r="N33" s="2">
        <f t="shared" si="14"/>
        <v>340700</v>
      </c>
      <c r="O33" s="15"/>
      <c r="P33" s="2">
        <f t="shared" si="6"/>
        <v>340700</v>
      </c>
    </row>
    <row r="34" spans="1:16" ht="36.75" customHeight="1" x14ac:dyDescent="0.25">
      <c r="A34" s="15"/>
      <c r="B34" s="275" t="s">
        <v>21</v>
      </c>
      <c r="C34" s="219"/>
      <c r="D34" s="219"/>
      <c r="E34" s="219">
        <v>851</v>
      </c>
      <c r="F34" s="1" t="s">
        <v>17</v>
      </c>
      <c r="G34" s="1" t="s">
        <v>44</v>
      </c>
      <c r="H34" s="1" t="s">
        <v>46</v>
      </c>
      <c r="I34" s="1" t="s">
        <v>23</v>
      </c>
      <c r="J34" s="2">
        <f t="shared" ref="J34:N34" si="15">J35</f>
        <v>216840</v>
      </c>
      <c r="K34" s="2">
        <f t="shared" si="15"/>
        <v>216840</v>
      </c>
      <c r="L34" s="2"/>
      <c r="M34" s="2">
        <f t="shared" si="5"/>
        <v>216840</v>
      </c>
      <c r="N34" s="2">
        <f t="shared" si="15"/>
        <v>216840</v>
      </c>
      <c r="O34" s="15"/>
      <c r="P34" s="2">
        <f t="shared" si="6"/>
        <v>216840</v>
      </c>
    </row>
    <row r="35" spans="1:16" ht="13.5" customHeight="1" x14ac:dyDescent="0.25">
      <c r="A35" s="15"/>
      <c r="B35" s="275" t="s">
        <v>24</v>
      </c>
      <c r="C35" s="219"/>
      <c r="D35" s="219"/>
      <c r="E35" s="219">
        <v>851</v>
      </c>
      <c r="F35" s="1" t="s">
        <v>17</v>
      </c>
      <c r="G35" s="1" t="s">
        <v>44</v>
      </c>
      <c r="H35" s="1" t="s">
        <v>46</v>
      </c>
      <c r="I35" s="1" t="s">
        <v>25</v>
      </c>
      <c r="J35" s="2">
        <v>216840</v>
      </c>
      <c r="K35" s="2">
        <v>216840</v>
      </c>
      <c r="L35" s="2"/>
      <c r="M35" s="2">
        <f t="shared" si="5"/>
        <v>216840</v>
      </c>
      <c r="N35" s="2">
        <v>216840</v>
      </c>
      <c r="O35" s="15"/>
      <c r="P35" s="2">
        <f t="shared" si="6"/>
        <v>216840</v>
      </c>
    </row>
    <row r="36" spans="1:16" ht="14.25" customHeight="1" x14ac:dyDescent="0.25">
      <c r="A36" s="15"/>
      <c r="B36" s="276" t="s">
        <v>27</v>
      </c>
      <c r="C36" s="219"/>
      <c r="D36" s="219"/>
      <c r="E36" s="219">
        <v>851</v>
      </c>
      <c r="F36" s="1" t="s">
        <v>17</v>
      </c>
      <c r="G36" s="1" t="s">
        <v>44</v>
      </c>
      <c r="H36" s="1" t="s">
        <v>46</v>
      </c>
      <c r="I36" s="1" t="s">
        <v>28</v>
      </c>
      <c r="J36" s="2">
        <f>J37</f>
        <v>123860</v>
      </c>
      <c r="K36" s="2">
        <f>K37</f>
        <v>123860</v>
      </c>
      <c r="L36" s="2"/>
      <c r="M36" s="2">
        <f t="shared" si="5"/>
        <v>123860</v>
      </c>
      <c r="N36" s="2">
        <f>N37</f>
        <v>123860</v>
      </c>
      <c r="O36" s="15"/>
      <c r="P36" s="2">
        <f t="shared" si="6"/>
        <v>123860</v>
      </c>
    </row>
    <row r="37" spans="1:16" ht="25.5" customHeight="1" x14ac:dyDescent="0.25">
      <c r="A37" s="15"/>
      <c r="B37" s="276" t="s">
        <v>29</v>
      </c>
      <c r="C37" s="219"/>
      <c r="D37" s="219"/>
      <c r="E37" s="219">
        <v>851</v>
      </c>
      <c r="F37" s="1" t="s">
        <v>17</v>
      </c>
      <c r="G37" s="1" t="s">
        <v>44</v>
      </c>
      <c r="H37" s="1" t="s">
        <v>46</v>
      </c>
      <c r="I37" s="1" t="s">
        <v>30</v>
      </c>
      <c r="J37" s="2">
        <f>123860</f>
        <v>123860</v>
      </c>
      <c r="K37" s="2">
        <f>123860</f>
        <v>123860</v>
      </c>
      <c r="L37" s="2"/>
      <c r="M37" s="2">
        <f t="shared" si="5"/>
        <v>123860</v>
      </c>
      <c r="N37" s="2">
        <f>123860</f>
        <v>123860</v>
      </c>
      <c r="O37" s="15"/>
      <c r="P37" s="2">
        <f t="shared" si="6"/>
        <v>123860</v>
      </c>
    </row>
    <row r="38" spans="1:16" ht="26.25" customHeight="1" x14ac:dyDescent="0.25">
      <c r="A38" s="509" t="s">
        <v>51</v>
      </c>
      <c r="B38" s="509"/>
      <c r="C38" s="276"/>
      <c r="D38" s="276"/>
      <c r="E38" s="219">
        <v>851</v>
      </c>
      <c r="F38" s="1" t="s">
        <v>22</v>
      </c>
      <c r="G38" s="18" t="s">
        <v>44</v>
      </c>
      <c r="H38" s="1" t="s">
        <v>52</v>
      </c>
      <c r="I38" s="1"/>
      <c r="J38" s="2">
        <f t="shared" ref="J38:N39" si="16">J39</f>
        <v>450000</v>
      </c>
      <c r="K38" s="2">
        <f t="shared" si="16"/>
        <v>450000</v>
      </c>
      <c r="L38" s="2"/>
      <c r="M38" s="2">
        <f t="shared" si="5"/>
        <v>450000</v>
      </c>
      <c r="N38" s="2">
        <f t="shared" si="16"/>
        <v>450000</v>
      </c>
      <c r="O38" s="15"/>
      <c r="P38" s="2">
        <f t="shared" si="6"/>
        <v>450000</v>
      </c>
    </row>
    <row r="39" spans="1:16" ht="15" customHeight="1" x14ac:dyDescent="0.25">
      <c r="A39" s="15"/>
      <c r="B39" s="276" t="s">
        <v>27</v>
      </c>
      <c r="C39" s="275"/>
      <c r="D39" s="275"/>
      <c r="E39" s="219">
        <v>851</v>
      </c>
      <c r="F39" s="1" t="s">
        <v>17</v>
      </c>
      <c r="G39" s="1" t="s">
        <v>44</v>
      </c>
      <c r="H39" s="1" t="s">
        <v>52</v>
      </c>
      <c r="I39" s="1" t="s">
        <v>28</v>
      </c>
      <c r="J39" s="2">
        <f t="shared" si="16"/>
        <v>450000</v>
      </c>
      <c r="K39" s="2">
        <f t="shared" si="16"/>
        <v>450000</v>
      </c>
      <c r="L39" s="2"/>
      <c r="M39" s="2">
        <f t="shared" si="5"/>
        <v>450000</v>
      </c>
      <c r="N39" s="2">
        <f t="shared" si="16"/>
        <v>450000</v>
      </c>
      <c r="O39" s="15"/>
      <c r="P39" s="2">
        <f t="shared" si="6"/>
        <v>450000</v>
      </c>
    </row>
    <row r="40" spans="1:16" ht="24.75" customHeight="1" x14ac:dyDescent="0.25">
      <c r="A40" s="15"/>
      <c r="B40" s="276" t="s">
        <v>29</v>
      </c>
      <c r="C40" s="276"/>
      <c r="D40" s="276"/>
      <c r="E40" s="219">
        <v>851</v>
      </c>
      <c r="F40" s="1" t="s">
        <v>17</v>
      </c>
      <c r="G40" s="1" t="s">
        <v>44</v>
      </c>
      <c r="H40" s="1" t="s">
        <v>52</v>
      </c>
      <c r="I40" s="1" t="s">
        <v>30</v>
      </c>
      <c r="J40" s="2">
        <v>450000</v>
      </c>
      <c r="K40" s="2">
        <v>450000</v>
      </c>
      <c r="L40" s="2"/>
      <c r="M40" s="2">
        <f t="shared" si="5"/>
        <v>450000</v>
      </c>
      <c r="N40" s="2">
        <v>450000</v>
      </c>
      <c r="O40" s="15"/>
      <c r="P40" s="2">
        <f t="shared" si="6"/>
        <v>450000</v>
      </c>
    </row>
    <row r="41" spans="1:16" ht="16.5" customHeight="1" x14ac:dyDescent="0.25">
      <c r="A41" s="509" t="s">
        <v>53</v>
      </c>
      <c r="B41" s="509"/>
      <c r="C41" s="278"/>
      <c r="D41" s="278"/>
      <c r="E41" s="219">
        <v>851</v>
      </c>
      <c r="F41" s="1" t="s">
        <v>17</v>
      </c>
      <c r="G41" s="1" t="s">
        <v>44</v>
      </c>
      <c r="H41" s="1" t="s">
        <v>54</v>
      </c>
      <c r="I41" s="1"/>
      <c r="J41" s="2">
        <f>J42</f>
        <v>1575000</v>
      </c>
      <c r="K41" s="2">
        <f t="shared" ref="K41:N41" si="17">K42</f>
        <v>1575000</v>
      </c>
      <c r="L41" s="2"/>
      <c r="M41" s="2">
        <f t="shared" si="5"/>
        <v>1575000</v>
      </c>
      <c r="N41" s="2">
        <f t="shared" si="17"/>
        <v>1575000</v>
      </c>
      <c r="O41" s="15"/>
      <c r="P41" s="2">
        <f t="shared" si="6"/>
        <v>1575000</v>
      </c>
    </row>
    <row r="42" spans="1:16" ht="15" customHeight="1" x14ac:dyDescent="0.25">
      <c r="A42" s="15"/>
      <c r="B42" s="276" t="s">
        <v>27</v>
      </c>
      <c r="C42" s="275"/>
      <c r="D42" s="275"/>
      <c r="E42" s="219">
        <v>851</v>
      </c>
      <c r="F42" s="1" t="s">
        <v>17</v>
      </c>
      <c r="G42" s="1" t="s">
        <v>44</v>
      </c>
      <c r="H42" s="1" t="s">
        <v>54</v>
      </c>
      <c r="I42" s="1" t="s">
        <v>28</v>
      </c>
      <c r="J42" s="2">
        <f t="shared" ref="J42:N42" si="18">J43</f>
        <v>1575000</v>
      </c>
      <c r="K42" s="2">
        <f t="shared" si="18"/>
        <v>1575000</v>
      </c>
      <c r="L42" s="2"/>
      <c r="M42" s="2">
        <f t="shared" si="5"/>
        <v>1575000</v>
      </c>
      <c r="N42" s="2">
        <f t="shared" si="18"/>
        <v>1575000</v>
      </c>
      <c r="O42" s="15"/>
      <c r="P42" s="2">
        <f t="shared" si="6"/>
        <v>1575000</v>
      </c>
    </row>
    <row r="43" spans="1:16" ht="23.25" customHeight="1" x14ac:dyDescent="0.25">
      <c r="A43" s="15"/>
      <c r="B43" s="276" t="s">
        <v>29</v>
      </c>
      <c r="C43" s="276"/>
      <c r="D43" s="276"/>
      <c r="E43" s="219">
        <v>851</v>
      </c>
      <c r="F43" s="1" t="s">
        <v>17</v>
      </c>
      <c r="G43" s="1" t="s">
        <v>44</v>
      </c>
      <c r="H43" s="1" t="s">
        <v>54</v>
      </c>
      <c r="I43" s="1" t="s">
        <v>30</v>
      </c>
      <c r="J43" s="2">
        <v>1575000</v>
      </c>
      <c r="K43" s="2">
        <v>1575000</v>
      </c>
      <c r="L43" s="2"/>
      <c r="M43" s="2">
        <f t="shared" si="5"/>
        <v>1575000</v>
      </c>
      <c r="N43" s="2">
        <v>1575000</v>
      </c>
      <c r="O43" s="15"/>
      <c r="P43" s="2">
        <f t="shared" si="6"/>
        <v>1575000</v>
      </c>
    </row>
    <row r="44" spans="1:16" s="182" customFormat="1" ht="24" customHeight="1" x14ac:dyDescent="0.2">
      <c r="A44" s="510" t="s">
        <v>440</v>
      </c>
      <c r="B44" s="511"/>
      <c r="C44" s="181"/>
      <c r="D44" s="181"/>
      <c r="E44" s="219">
        <v>851</v>
      </c>
      <c r="F44" s="18" t="s">
        <v>17</v>
      </c>
      <c r="G44" s="18" t="s">
        <v>44</v>
      </c>
      <c r="H44" s="18" t="s">
        <v>441</v>
      </c>
      <c r="I44" s="18"/>
      <c r="J44" s="21">
        <f>J47+J45</f>
        <v>1572000</v>
      </c>
      <c r="K44" s="21">
        <f t="shared" ref="K44" si="19">K47+K45</f>
        <v>1300000</v>
      </c>
      <c r="L44" s="21">
        <f t="shared" ref="L44:P44" si="20">L47+L45</f>
        <v>0</v>
      </c>
      <c r="M44" s="21">
        <f t="shared" si="20"/>
        <v>1300000</v>
      </c>
      <c r="N44" s="21">
        <f t="shared" si="20"/>
        <v>1700000</v>
      </c>
      <c r="O44" s="21">
        <f t="shared" si="20"/>
        <v>-755500</v>
      </c>
      <c r="P44" s="21">
        <f t="shared" si="20"/>
        <v>944500</v>
      </c>
    </row>
    <row r="45" spans="1:16" ht="15" customHeight="1" x14ac:dyDescent="0.25">
      <c r="A45" s="15"/>
      <c r="B45" s="276" t="s">
        <v>27</v>
      </c>
      <c r="C45" s="275"/>
      <c r="D45" s="275"/>
      <c r="E45" s="219">
        <v>851</v>
      </c>
      <c r="F45" s="1" t="s">
        <v>17</v>
      </c>
      <c r="G45" s="1" t="s">
        <v>44</v>
      </c>
      <c r="H45" s="18" t="s">
        <v>441</v>
      </c>
      <c r="I45" s="1" t="s">
        <v>28</v>
      </c>
      <c r="J45" s="2">
        <f t="shared" ref="J45:P45" si="21">J46</f>
        <v>172000</v>
      </c>
      <c r="K45" s="2">
        <f t="shared" si="21"/>
        <v>300000</v>
      </c>
      <c r="L45" s="2">
        <f t="shared" si="21"/>
        <v>0</v>
      </c>
      <c r="M45" s="2">
        <f t="shared" si="21"/>
        <v>300000</v>
      </c>
      <c r="N45" s="2">
        <f t="shared" si="21"/>
        <v>1700000</v>
      </c>
      <c r="O45" s="2">
        <f t="shared" si="21"/>
        <v>-755500</v>
      </c>
      <c r="P45" s="2">
        <f t="shared" si="21"/>
        <v>944500</v>
      </c>
    </row>
    <row r="46" spans="1:16" ht="25.5" customHeight="1" x14ac:dyDescent="0.25">
      <c r="A46" s="15"/>
      <c r="B46" s="276" t="s">
        <v>29</v>
      </c>
      <c r="C46" s="276"/>
      <c r="D46" s="276"/>
      <c r="E46" s="219">
        <v>851</v>
      </c>
      <c r="F46" s="1" t="s">
        <v>17</v>
      </c>
      <c r="G46" s="1" t="s">
        <v>44</v>
      </c>
      <c r="H46" s="18" t="s">
        <v>441</v>
      </c>
      <c r="I46" s="1" t="s">
        <v>30</v>
      </c>
      <c r="J46" s="2">
        <v>172000</v>
      </c>
      <c r="K46" s="2">
        <v>300000</v>
      </c>
      <c r="L46" s="2"/>
      <c r="M46" s="2">
        <f t="shared" si="5"/>
        <v>300000</v>
      </c>
      <c r="N46" s="2">
        <v>1700000</v>
      </c>
      <c r="O46" s="15">
        <v>-755500</v>
      </c>
      <c r="P46" s="2">
        <f t="shared" si="6"/>
        <v>944500</v>
      </c>
    </row>
    <row r="47" spans="1:16" s="182" customFormat="1" ht="15.75" customHeight="1" x14ac:dyDescent="0.2">
      <c r="A47" s="275"/>
      <c r="B47" s="276" t="s">
        <v>467</v>
      </c>
      <c r="C47" s="181"/>
      <c r="D47" s="181"/>
      <c r="E47" s="219">
        <v>851</v>
      </c>
      <c r="F47" s="18" t="s">
        <v>17</v>
      </c>
      <c r="G47" s="18" t="s">
        <v>44</v>
      </c>
      <c r="H47" s="18" t="s">
        <v>441</v>
      </c>
      <c r="I47" s="18" t="s">
        <v>75</v>
      </c>
      <c r="J47" s="21">
        <f t="shared" ref="J47:P47" si="22">J48</f>
        <v>1400000</v>
      </c>
      <c r="K47" s="21">
        <f t="shared" si="22"/>
        <v>1000000</v>
      </c>
      <c r="L47" s="21">
        <f t="shared" si="22"/>
        <v>0</v>
      </c>
      <c r="M47" s="21">
        <f t="shared" si="22"/>
        <v>1000000</v>
      </c>
      <c r="N47" s="21">
        <f t="shared" si="22"/>
        <v>0</v>
      </c>
      <c r="O47" s="21">
        <f t="shared" si="22"/>
        <v>0</v>
      </c>
      <c r="P47" s="21">
        <f t="shared" si="22"/>
        <v>0</v>
      </c>
    </row>
    <row r="48" spans="1:16" s="182" customFormat="1" ht="27" customHeight="1" x14ac:dyDescent="0.2">
      <c r="A48" s="275"/>
      <c r="B48" s="276" t="s">
        <v>76</v>
      </c>
      <c r="C48" s="181"/>
      <c r="D48" s="181"/>
      <c r="E48" s="219">
        <v>851</v>
      </c>
      <c r="F48" s="18" t="s">
        <v>17</v>
      </c>
      <c r="G48" s="18" t="s">
        <v>44</v>
      </c>
      <c r="H48" s="18" t="s">
        <v>441</v>
      </c>
      <c r="I48" s="18" t="s">
        <v>77</v>
      </c>
      <c r="J48" s="21">
        <v>1400000</v>
      </c>
      <c r="K48" s="21">
        <v>1000000</v>
      </c>
      <c r="L48" s="21"/>
      <c r="M48" s="2">
        <f t="shared" si="5"/>
        <v>1000000</v>
      </c>
      <c r="N48" s="21"/>
      <c r="O48" s="183"/>
      <c r="P48" s="2">
        <f t="shared" si="6"/>
        <v>0</v>
      </c>
    </row>
    <row r="49" spans="1:16" ht="24.75" customHeight="1" x14ac:dyDescent="0.25">
      <c r="A49" s="509" t="s">
        <v>47</v>
      </c>
      <c r="B49" s="509"/>
      <c r="C49" s="276"/>
      <c r="D49" s="276"/>
      <c r="E49" s="219">
        <v>851</v>
      </c>
      <c r="F49" s="1" t="s">
        <v>17</v>
      </c>
      <c r="G49" s="1" t="s">
        <v>44</v>
      </c>
      <c r="H49" s="63" t="s">
        <v>48</v>
      </c>
      <c r="I49" s="1"/>
      <c r="J49" s="2">
        <f t="shared" ref="J49:P50" si="23">J50</f>
        <v>2000000</v>
      </c>
      <c r="K49" s="2">
        <f t="shared" si="23"/>
        <v>2000000</v>
      </c>
      <c r="L49" s="2">
        <f t="shared" si="23"/>
        <v>-1321000</v>
      </c>
      <c r="M49" s="2">
        <f t="shared" si="23"/>
        <v>679000</v>
      </c>
      <c r="N49" s="2">
        <f t="shared" si="23"/>
        <v>2000000</v>
      </c>
      <c r="O49" s="2">
        <f t="shared" si="23"/>
        <v>-1400000</v>
      </c>
      <c r="P49" s="2">
        <f t="shared" si="23"/>
        <v>600000</v>
      </c>
    </row>
    <row r="50" spans="1:16" ht="15" customHeight="1" x14ac:dyDescent="0.25">
      <c r="A50" s="15"/>
      <c r="B50" s="276" t="s">
        <v>27</v>
      </c>
      <c r="C50" s="275"/>
      <c r="D50" s="275"/>
      <c r="E50" s="219">
        <v>851</v>
      </c>
      <c r="F50" s="1" t="s">
        <v>17</v>
      </c>
      <c r="G50" s="18" t="s">
        <v>44</v>
      </c>
      <c r="H50" s="63" t="s">
        <v>48</v>
      </c>
      <c r="I50" s="1" t="s">
        <v>28</v>
      </c>
      <c r="J50" s="2">
        <f t="shared" si="23"/>
        <v>2000000</v>
      </c>
      <c r="K50" s="2">
        <f t="shared" si="23"/>
        <v>2000000</v>
      </c>
      <c r="L50" s="2">
        <f t="shared" si="23"/>
        <v>-1321000</v>
      </c>
      <c r="M50" s="2">
        <f t="shared" si="23"/>
        <v>679000</v>
      </c>
      <c r="N50" s="2">
        <f t="shared" si="23"/>
        <v>2000000</v>
      </c>
      <c r="O50" s="2">
        <f t="shared" si="23"/>
        <v>-1400000</v>
      </c>
      <c r="P50" s="2">
        <f t="shared" si="23"/>
        <v>600000</v>
      </c>
    </row>
    <row r="51" spans="1:16" ht="27.75" customHeight="1" x14ac:dyDescent="0.25">
      <c r="A51" s="15"/>
      <c r="B51" s="276" t="s">
        <v>29</v>
      </c>
      <c r="C51" s="276"/>
      <c r="D51" s="276"/>
      <c r="E51" s="219">
        <v>851</v>
      </c>
      <c r="F51" s="1" t="s">
        <v>17</v>
      </c>
      <c r="G51" s="18" t="s">
        <v>44</v>
      </c>
      <c r="H51" s="63" t="s">
        <v>48</v>
      </c>
      <c r="I51" s="1" t="s">
        <v>30</v>
      </c>
      <c r="J51" s="2">
        <v>2000000</v>
      </c>
      <c r="K51" s="2">
        <v>2000000</v>
      </c>
      <c r="L51" s="2">
        <v>-1321000</v>
      </c>
      <c r="M51" s="2">
        <f t="shared" si="5"/>
        <v>679000</v>
      </c>
      <c r="N51" s="2">
        <v>2000000</v>
      </c>
      <c r="O51" s="342">
        <v>-1400000</v>
      </c>
      <c r="P51" s="2">
        <f t="shared" si="6"/>
        <v>600000</v>
      </c>
    </row>
    <row r="52" spans="1:16" ht="15" customHeight="1" x14ac:dyDescent="0.25">
      <c r="A52" s="509" t="s">
        <v>49</v>
      </c>
      <c r="B52" s="509"/>
      <c r="C52" s="276"/>
      <c r="D52" s="276"/>
      <c r="E52" s="219">
        <v>851</v>
      </c>
      <c r="F52" s="1" t="s">
        <v>17</v>
      </c>
      <c r="G52" s="18" t="s">
        <v>44</v>
      </c>
      <c r="H52" s="63" t="s">
        <v>50</v>
      </c>
      <c r="I52" s="1"/>
      <c r="J52" s="2">
        <f t="shared" ref="J52:N53" si="24">J53</f>
        <v>300000</v>
      </c>
      <c r="K52" s="2">
        <f t="shared" si="24"/>
        <v>300000</v>
      </c>
      <c r="L52" s="2"/>
      <c r="M52" s="2">
        <f t="shared" si="5"/>
        <v>300000</v>
      </c>
      <c r="N52" s="2">
        <f t="shared" si="24"/>
        <v>300000</v>
      </c>
      <c r="O52" s="15"/>
      <c r="P52" s="2">
        <f t="shared" si="6"/>
        <v>300000</v>
      </c>
    </row>
    <row r="53" spans="1:16" ht="13.5" customHeight="1" x14ac:dyDescent="0.25">
      <c r="A53" s="15"/>
      <c r="B53" s="276" t="s">
        <v>27</v>
      </c>
      <c r="C53" s="275"/>
      <c r="D53" s="275"/>
      <c r="E53" s="219">
        <v>851</v>
      </c>
      <c r="F53" s="1" t="s">
        <v>17</v>
      </c>
      <c r="G53" s="18" t="s">
        <v>44</v>
      </c>
      <c r="H53" s="63" t="s">
        <v>50</v>
      </c>
      <c r="I53" s="1" t="s">
        <v>28</v>
      </c>
      <c r="J53" s="2">
        <f t="shared" si="24"/>
        <v>300000</v>
      </c>
      <c r="K53" s="2">
        <f t="shared" si="24"/>
        <v>300000</v>
      </c>
      <c r="L53" s="2"/>
      <c r="M53" s="2">
        <f t="shared" si="5"/>
        <v>300000</v>
      </c>
      <c r="N53" s="2">
        <f t="shared" si="24"/>
        <v>300000</v>
      </c>
      <c r="O53" s="15"/>
      <c r="P53" s="2">
        <f t="shared" si="6"/>
        <v>300000</v>
      </c>
    </row>
    <row r="54" spans="1:16" ht="24.75" customHeight="1" x14ac:dyDescent="0.25">
      <c r="A54" s="15"/>
      <c r="B54" s="276" t="s">
        <v>29</v>
      </c>
      <c r="C54" s="276"/>
      <c r="D54" s="276"/>
      <c r="E54" s="219">
        <v>851</v>
      </c>
      <c r="F54" s="1" t="s">
        <v>17</v>
      </c>
      <c r="G54" s="18" t="s">
        <v>44</v>
      </c>
      <c r="H54" s="63" t="s">
        <v>50</v>
      </c>
      <c r="I54" s="1" t="s">
        <v>30</v>
      </c>
      <c r="J54" s="2">
        <v>300000</v>
      </c>
      <c r="K54" s="2">
        <v>300000</v>
      </c>
      <c r="L54" s="2"/>
      <c r="M54" s="2">
        <f t="shared" si="5"/>
        <v>300000</v>
      </c>
      <c r="N54" s="2">
        <v>300000</v>
      </c>
      <c r="O54" s="15"/>
      <c r="P54" s="2">
        <f t="shared" si="6"/>
        <v>300000</v>
      </c>
    </row>
    <row r="55" spans="1:16" s="10" customFormat="1" x14ac:dyDescent="0.25">
      <c r="A55" s="503" t="s">
        <v>149</v>
      </c>
      <c r="B55" s="503"/>
      <c r="C55" s="284"/>
      <c r="D55" s="29"/>
      <c r="E55" s="28">
        <v>851</v>
      </c>
      <c r="F55" s="7" t="s">
        <v>72</v>
      </c>
      <c r="G55" s="7"/>
      <c r="H55" s="7"/>
      <c r="I55" s="7"/>
      <c r="J55" s="8">
        <f t="shared" ref="J55:P56" si="25">J56</f>
        <v>428902</v>
      </c>
      <c r="K55" s="8">
        <f t="shared" si="25"/>
        <v>434142</v>
      </c>
      <c r="L55" s="8">
        <f t="shared" si="25"/>
        <v>0</v>
      </c>
      <c r="M55" s="8">
        <f t="shared" si="25"/>
        <v>434142</v>
      </c>
      <c r="N55" s="8">
        <f t="shared" si="25"/>
        <v>414947</v>
      </c>
      <c r="O55" s="8">
        <f t="shared" si="25"/>
        <v>0</v>
      </c>
      <c r="P55" s="8">
        <f t="shared" si="25"/>
        <v>414947</v>
      </c>
    </row>
    <row r="56" spans="1:16" s="31" customFormat="1" x14ac:dyDescent="0.25">
      <c r="A56" s="532" t="s">
        <v>150</v>
      </c>
      <c r="B56" s="532"/>
      <c r="C56" s="289"/>
      <c r="D56" s="30"/>
      <c r="E56" s="28">
        <v>851</v>
      </c>
      <c r="F56" s="11" t="s">
        <v>72</v>
      </c>
      <c r="G56" s="11" t="s">
        <v>3</v>
      </c>
      <c r="H56" s="11"/>
      <c r="I56" s="11"/>
      <c r="J56" s="12">
        <f t="shared" si="25"/>
        <v>428902</v>
      </c>
      <c r="K56" s="12">
        <f t="shared" si="25"/>
        <v>434142</v>
      </c>
      <c r="L56" s="12">
        <f t="shared" si="25"/>
        <v>0</v>
      </c>
      <c r="M56" s="12">
        <f t="shared" si="25"/>
        <v>434142</v>
      </c>
      <c r="N56" s="12">
        <f t="shared" si="25"/>
        <v>414947</v>
      </c>
      <c r="O56" s="12">
        <f t="shared" si="25"/>
        <v>0</v>
      </c>
      <c r="P56" s="12">
        <f t="shared" si="25"/>
        <v>414947</v>
      </c>
    </row>
    <row r="57" spans="1:16" s="23" customFormat="1" ht="46.5" customHeight="1" x14ac:dyDescent="0.25">
      <c r="A57" s="509" t="s">
        <v>499</v>
      </c>
      <c r="B57" s="509"/>
      <c r="C57" s="275"/>
      <c r="E57" s="28">
        <v>851</v>
      </c>
      <c r="F57" s="111" t="s">
        <v>72</v>
      </c>
      <c r="G57" s="111" t="s">
        <v>3</v>
      </c>
      <c r="H57" s="111" t="s">
        <v>460</v>
      </c>
      <c r="I57" s="178" t="s">
        <v>151</v>
      </c>
      <c r="J57" s="37">
        <f>J58+J60</f>
        <v>428902</v>
      </c>
      <c r="K57" s="37">
        <f>K58+K60</f>
        <v>434142</v>
      </c>
      <c r="L57" s="37"/>
      <c r="M57" s="2">
        <f t="shared" si="5"/>
        <v>434142</v>
      </c>
      <c r="N57" s="37">
        <f>N58+N60</f>
        <v>414947</v>
      </c>
      <c r="O57" s="328"/>
      <c r="P57" s="2">
        <f t="shared" si="6"/>
        <v>414947</v>
      </c>
    </row>
    <row r="58" spans="1:16" ht="36" customHeight="1" x14ac:dyDescent="0.25">
      <c r="A58" s="15"/>
      <c r="B58" s="275" t="s">
        <v>21</v>
      </c>
      <c r="C58" s="219"/>
      <c r="D58" s="219"/>
      <c r="E58" s="219">
        <v>851</v>
      </c>
      <c r="F58" s="1" t="s">
        <v>72</v>
      </c>
      <c r="G58" s="1" t="s">
        <v>3</v>
      </c>
      <c r="H58" s="111" t="s">
        <v>460</v>
      </c>
      <c r="I58" s="1" t="s">
        <v>23</v>
      </c>
      <c r="J58" s="2">
        <f t="shared" ref="J58:N58" si="26">J59</f>
        <v>379160</v>
      </c>
      <c r="K58" s="2">
        <f t="shared" si="26"/>
        <v>384400</v>
      </c>
      <c r="L58" s="2"/>
      <c r="M58" s="2">
        <f t="shared" si="5"/>
        <v>384400</v>
      </c>
      <c r="N58" s="2">
        <f t="shared" si="26"/>
        <v>366131</v>
      </c>
      <c r="O58" s="15"/>
      <c r="P58" s="2">
        <f t="shared" si="6"/>
        <v>366131</v>
      </c>
    </row>
    <row r="59" spans="1:16" ht="14.25" customHeight="1" x14ac:dyDescent="0.25">
      <c r="A59" s="15"/>
      <c r="B59" s="275" t="s">
        <v>24</v>
      </c>
      <c r="C59" s="219"/>
      <c r="D59" s="219"/>
      <c r="E59" s="219">
        <v>851</v>
      </c>
      <c r="F59" s="1" t="s">
        <v>72</v>
      </c>
      <c r="G59" s="1" t="s">
        <v>3</v>
      </c>
      <c r="H59" s="111" t="s">
        <v>460</v>
      </c>
      <c r="I59" s="1" t="s">
        <v>25</v>
      </c>
      <c r="J59" s="2">
        <v>379160</v>
      </c>
      <c r="K59" s="2">
        <v>384400</v>
      </c>
      <c r="L59" s="2"/>
      <c r="M59" s="2">
        <f t="shared" si="5"/>
        <v>384400</v>
      </c>
      <c r="N59" s="2">
        <v>366131</v>
      </c>
      <c r="O59" s="15"/>
      <c r="P59" s="2">
        <f t="shared" si="6"/>
        <v>366131</v>
      </c>
    </row>
    <row r="60" spans="1:16" ht="14.25" customHeight="1" x14ac:dyDescent="0.25">
      <c r="A60" s="15"/>
      <c r="B60" s="276" t="s">
        <v>27</v>
      </c>
      <c r="C60" s="219"/>
      <c r="D60" s="219"/>
      <c r="E60" s="219">
        <v>851</v>
      </c>
      <c r="F60" s="1" t="s">
        <v>72</v>
      </c>
      <c r="G60" s="1" t="s">
        <v>3</v>
      </c>
      <c r="H60" s="111" t="s">
        <v>460</v>
      </c>
      <c r="I60" s="1" t="s">
        <v>28</v>
      </c>
      <c r="J60" s="2">
        <f t="shared" ref="J60:N60" si="27">J61</f>
        <v>49742</v>
      </c>
      <c r="K60" s="2">
        <f t="shared" si="27"/>
        <v>49742</v>
      </c>
      <c r="L60" s="2"/>
      <c r="M60" s="2">
        <f t="shared" si="5"/>
        <v>49742</v>
      </c>
      <c r="N60" s="2">
        <f t="shared" si="27"/>
        <v>48816</v>
      </c>
      <c r="O60" s="15"/>
      <c r="P60" s="2">
        <f t="shared" si="6"/>
        <v>48816</v>
      </c>
    </row>
    <row r="61" spans="1:16" ht="27" customHeight="1" x14ac:dyDescent="0.25">
      <c r="A61" s="15"/>
      <c r="B61" s="276" t="s">
        <v>29</v>
      </c>
      <c r="C61" s="219"/>
      <c r="D61" s="219"/>
      <c r="E61" s="219">
        <v>851</v>
      </c>
      <c r="F61" s="1" t="s">
        <v>72</v>
      </c>
      <c r="G61" s="1" t="s">
        <v>3</v>
      </c>
      <c r="H61" s="111" t="s">
        <v>460</v>
      </c>
      <c r="I61" s="1" t="s">
        <v>30</v>
      </c>
      <c r="J61" s="2">
        <v>49742</v>
      </c>
      <c r="K61" s="2">
        <v>49742</v>
      </c>
      <c r="L61" s="2"/>
      <c r="M61" s="2">
        <f t="shared" si="5"/>
        <v>49742</v>
      </c>
      <c r="N61" s="2">
        <v>48816</v>
      </c>
      <c r="O61" s="15"/>
      <c r="P61" s="2">
        <f t="shared" si="6"/>
        <v>48816</v>
      </c>
    </row>
    <row r="62" spans="1:16" s="10" customFormat="1" ht="14.25" customHeight="1" x14ac:dyDescent="0.25">
      <c r="A62" s="503" t="s">
        <v>55</v>
      </c>
      <c r="B62" s="503"/>
      <c r="C62" s="284"/>
      <c r="D62" s="284"/>
      <c r="E62" s="219">
        <v>851</v>
      </c>
      <c r="F62" s="7" t="s">
        <v>3</v>
      </c>
      <c r="G62" s="7"/>
      <c r="H62" s="7"/>
      <c r="I62" s="7"/>
      <c r="J62" s="8">
        <f t="shared" ref="J62:P63" si="28">J63</f>
        <v>1332400</v>
      </c>
      <c r="K62" s="8">
        <f t="shared" si="28"/>
        <v>1332400</v>
      </c>
      <c r="L62" s="8">
        <f t="shared" si="28"/>
        <v>0</v>
      </c>
      <c r="M62" s="8">
        <f t="shared" si="28"/>
        <v>1332400</v>
      </c>
      <c r="N62" s="8">
        <f t="shared" si="28"/>
        <v>1332400</v>
      </c>
      <c r="O62" s="8">
        <f t="shared" si="28"/>
        <v>0</v>
      </c>
      <c r="P62" s="8">
        <f t="shared" si="28"/>
        <v>1332400</v>
      </c>
    </row>
    <row r="63" spans="1:16" s="13" customFormat="1" ht="30" customHeight="1" x14ac:dyDescent="0.25">
      <c r="A63" s="508" t="s">
        <v>56</v>
      </c>
      <c r="B63" s="508"/>
      <c r="C63" s="285"/>
      <c r="D63" s="285"/>
      <c r="E63" s="219">
        <v>851</v>
      </c>
      <c r="F63" s="11" t="s">
        <v>3</v>
      </c>
      <c r="G63" s="11" t="s">
        <v>57</v>
      </c>
      <c r="H63" s="11"/>
      <c r="I63" s="11"/>
      <c r="J63" s="12">
        <f>J64</f>
        <v>1332400</v>
      </c>
      <c r="K63" s="12">
        <f t="shared" si="28"/>
        <v>1332400</v>
      </c>
      <c r="L63" s="12">
        <f t="shared" si="28"/>
        <v>0</v>
      </c>
      <c r="M63" s="12">
        <f t="shared" si="28"/>
        <v>1332400</v>
      </c>
      <c r="N63" s="12">
        <f t="shared" si="28"/>
        <v>1332400</v>
      </c>
      <c r="O63" s="12">
        <f t="shared" si="28"/>
        <v>0</v>
      </c>
      <c r="P63" s="12">
        <f t="shared" si="28"/>
        <v>1332400</v>
      </c>
    </row>
    <row r="64" spans="1:16" ht="15" customHeight="1" x14ac:dyDescent="0.25">
      <c r="A64" s="509" t="s">
        <v>442</v>
      </c>
      <c r="B64" s="509"/>
      <c r="C64" s="276"/>
      <c r="D64" s="276"/>
      <c r="E64" s="219">
        <v>851</v>
      </c>
      <c r="F64" s="1" t="s">
        <v>3</v>
      </c>
      <c r="G64" s="99" t="s">
        <v>57</v>
      </c>
      <c r="H64" s="1" t="s">
        <v>58</v>
      </c>
      <c r="I64" s="1"/>
      <c r="J64" s="2">
        <f>J65+J67</f>
        <v>1332400</v>
      </c>
      <c r="K64" s="2">
        <f>K65+K67</f>
        <v>1332400</v>
      </c>
      <c r="L64" s="2"/>
      <c r="M64" s="2">
        <f t="shared" si="5"/>
        <v>1332400</v>
      </c>
      <c r="N64" s="2">
        <f>N65+N67</f>
        <v>1332400</v>
      </c>
      <c r="O64" s="15"/>
      <c r="P64" s="2">
        <f t="shared" si="6"/>
        <v>1332400</v>
      </c>
    </row>
    <row r="65" spans="1:16" ht="39" customHeight="1" x14ac:dyDescent="0.25">
      <c r="A65" s="276"/>
      <c r="B65" s="275" t="s">
        <v>21</v>
      </c>
      <c r="C65" s="276"/>
      <c r="D65" s="276"/>
      <c r="E65" s="219">
        <v>851</v>
      </c>
      <c r="F65" s="1" t="s">
        <v>3</v>
      </c>
      <c r="G65" s="18" t="s">
        <v>57</v>
      </c>
      <c r="H65" s="1" t="s">
        <v>58</v>
      </c>
      <c r="I65" s="1" t="s">
        <v>23</v>
      </c>
      <c r="J65" s="2">
        <f>J66</f>
        <v>1246000</v>
      </c>
      <c r="K65" s="2">
        <f>K66</f>
        <v>1246000</v>
      </c>
      <c r="L65" s="2"/>
      <c r="M65" s="2">
        <f t="shared" si="5"/>
        <v>1246000</v>
      </c>
      <c r="N65" s="2">
        <f>N66</f>
        <v>1246000</v>
      </c>
      <c r="O65" s="15"/>
      <c r="P65" s="2">
        <f t="shared" si="6"/>
        <v>1246000</v>
      </c>
    </row>
    <row r="66" spans="1:16" ht="13.5" customHeight="1" x14ac:dyDescent="0.25">
      <c r="A66" s="276"/>
      <c r="B66" s="276" t="s">
        <v>59</v>
      </c>
      <c r="C66" s="276"/>
      <c r="D66" s="276"/>
      <c r="E66" s="219">
        <v>851</v>
      </c>
      <c r="F66" s="1" t="s">
        <v>3</v>
      </c>
      <c r="G66" s="18" t="s">
        <v>57</v>
      </c>
      <c r="H66" s="1" t="s">
        <v>58</v>
      </c>
      <c r="I66" s="1" t="s">
        <v>60</v>
      </c>
      <c r="J66" s="2">
        <v>1246000</v>
      </c>
      <c r="K66" s="2">
        <v>1246000</v>
      </c>
      <c r="L66" s="2"/>
      <c r="M66" s="2">
        <f t="shared" si="5"/>
        <v>1246000</v>
      </c>
      <c r="N66" s="2">
        <v>1246000</v>
      </c>
      <c r="O66" s="15"/>
      <c r="P66" s="2">
        <f t="shared" si="6"/>
        <v>1246000</v>
      </c>
    </row>
    <row r="67" spans="1:16" ht="13.5" customHeight="1" x14ac:dyDescent="0.25">
      <c r="A67" s="15"/>
      <c r="B67" s="276" t="s">
        <v>27</v>
      </c>
      <c r="C67" s="275"/>
      <c r="D67" s="275"/>
      <c r="E67" s="219">
        <v>851</v>
      </c>
      <c r="F67" s="1" t="s">
        <v>3</v>
      </c>
      <c r="G67" s="18" t="s">
        <v>57</v>
      </c>
      <c r="H67" s="1" t="s">
        <v>58</v>
      </c>
      <c r="I67" s="1" t="s">
        <v>28</v>
      </c>
      <c r="J67" s="2">
        <f t="shared" ref="J67:N67" si="29">J68</f>
        <v>86400</v>
      </c>
      <c r="K67" s="2">
        <f t="shared" si="29"/>
        <v>86400</v>
      </c>
      <c r="L67" s="2"/>
      <c r="M67" s="2">
        <f t="shared" si="5"/>
        <v>86400</v>
      </c>
      <c r="N67" s="2">
        <f t="shared" si="29"/>
        <v>86400</v>
      </c>
      <c r="O67" s="15"/>
      <c r="P67" s="2">
        <f t="shared" si="6"/>
        <v>86400</v>
      </c>
    </row>
    <row r="68" spans="1:16" ht="25.5" customHeight="1" x14ac:dyDescent="0.25">
      <c r="A68" s="15"/>
      <c r="B68" s="276" t="s">
        <v>29</v>
      </c>
      <c r="C68" s="276"/>
      <c r="D68" s="276"/>
      <c r="E68" s="219">
        <v>851</v>
      </c>
      <c r="F68" s="1" t="s">
        <v>3</v>
      </c>
      <c r="G68" s="18" t="s">
        <v>57</v>
      </c>
      <c r="H68" s="1" t="s">
        <v>58</v>
      </c>
      <c r="I68" s="1" t="s">
        <v>30</v>
      </c>
      <c r="J68" s="2">
        <v>86400</v>
      </c>
      <c r="K68" s="2">
        <v>86400</v>
      </c>
      <c r="L68" s="2"/>
      <c r="M68" s="2">
        <f t="shared" si="5"/>
        <v>86400</v>
      </c>
      <c r="N68" s="2">
        <v>86400</v>
      </c>
      <c r="O68" s="15"/>
      <c r="P68" s="2">
        <f t="shared" si="6"/>
        <v>86400</v>
      </c>
    </row>
    <row r="69" spans="1:16" s="10" customFormat="1" x14ac:dyDescent="0.25">
      <c r="A69" s="503" t="s">
        <v>61</v>
      </c>
      <c r="B69" s="503"/>
      <c r="C69" s="284"/>
      <c r="D69" s="284"/>
      <c r="E69" s="219">
        <v>851</v>
      </c>
      <c r="F69" s="7" t="s">
        <v>6</v>
      </c>
      <c r="G69" s="7"/>
      <c r="H69" s="7"/>
      <c r="I69" s="7"/>
      <c r="J69" s="8">
        <f>J70+J77+J81</f>
        <v>2897640</v>
      </c>
      <c r="K69" s="8">
        <f>K70+K77+K81</f>
        <v>3524640</v>
      </c>
      <c r="L69" s="8">
        <f t="shared" ref="L69:P69" si="30">L70+L77+L81</f>
        <v>0</v>
      </c>
      <c r="M69" s="8">
        <f t="shared" si="30"/>
        <v>3524640</v>
      </c>
      <c r="N69" s="8">
        <f t="shared" si="30"/>
        <v>2885640</v>
      </c>
      <c r="O69" s="8">
        <f t="shared" si="30"/>
        <v>0</v>
      </c>
      <c r="P69" s="8">
        <f t="shared" si="30"/>
        <v>2885640</v>
      </c>
    </row>
    <row r="70" spans="1:16" s="13" customFormat="1" x14ac:dyDescent="0.25">
      <c r="A70" s="508" t="s">
        <v>62</v>
      </c>
      <c r="B70" s="508"/>
      <c r="C70" s="285"/>
      <c r="D70" s="285"/>
      <c r="E70" s="219">
        <v>851</v>
      </c>
      <c r="F70" s="11" t="s">
        <v>6</v>
      </c>
      <c r="G70" s="11" t="s">
        <v>63</v>
      </c>
      <c r="H70" s="11"/>
      <c r="I70" s="11"/>
      <c r="J70" s="12">
        <f>J71+J74</f>
        <v>66140</v>
      </c>
      <c r="K70" s="12">
        <f t="shared" ref="K70" si="31">K71+K74</f>
        <v>66140</v>
      </c>
      <c r="L70" s="12">
        <f t="shared" ref="L70:P70" si="32">L71+L74</f>
        <v>0</v>
      </c>
      <c r="M70" s="12">
        <f t="shared" si="32"/>
        <v>66140</v>
      </c>
      <c r="N70" s="12">
        <f t="shared" si="32"/>
        <v>66140</v>
      </c>
      <c r="O70" s="12">
        <f t="shared" si="32"/>
        <v>0</v>
      </c>
      <c r="P70" s="12">
        <f t="shared" si="32"/>
        <v>66140</v>
      </c>
    </row>
    <row r="71" spans="1:16" s="13" customFormat="1" ht="63.75" customHeight="1" x14ac:dyDescent="0.25">
      <c r="A71" s="516" t="s">
        <v>473</v>
      </c>
      <c r="B71" s="517"/>
      <c r="C71" s="285"/>
      <c r="D71" s="285"/>
      <c r="E71" s="219">
        <v>851</v>
      </c>
      <c r="F71" s="1" t="s">
        <v>6</v>
      </c>
      <c r="G71" s="99" t="s">
        <v>63</v>
      </c>
      <c r="H71" s="1" t="s">
        <v>474</v>
      </c>
      <c r="I71" s="1"/>
      <c r="J71" s="2">
        <f t="shared" ref="J71:N72" si="33">J72</f>
        <v>11140</v>
      </c>
      <c r="K71" s="2">
        <f t="shared" si="33"/>
        <v>11140</v>
      </c>
      <c r="L71" s="2"/>
      <c r="M71" s="2">
        <f t="shared" si="5"/>
        <v>11140</v>
      </c>
      <c r="N71" s="2">
        <f t="shared" si="33"/>
        <v>11140</v>
      </c>
      <c r="O71" s="329"/>
      <c r="P71" s="2">
        <f t="shared" si="6"/>
        <v>11140</v>
      </c>
    </row>
    <row r="72" spans="1:16" s="13" customFormat="1" ht="12" customHeight="1" x14ac:dyDescent="0.25">
      <c r="A72" s="285"/>
      <c r="B72" s="286" t="s">
        <v>27</v>
      </c>
      <c r="C72" s="275"/>
      <c r="D72" s="275"/>
      <c r="E72" s="219">
        <v>851</v>
      </c>
      <c r="F72" s="1" t="s">
        <v>6</v>
      </c>
      <c r="G72" s="99" t="s">
        <v>63</v>
      </c>
      <c r="H72" s="1" t="s">
        <v>474</v>
      </c>
      <c r="I72" s="1" t="s">
        <v>28</v>
      </c>
      <c r="J72" s="2">
        <f t="shared" si="33"/>
        <v>11140</v>
      </c>
      <c r="K72" s="2">
        <f t="shared" si="33"/>
        <v>11140</v>
      </c>
      <c r="L72" s="2"/>
      <c r="M72" s="2">
        <f t="shared" si="5"/>
        <v>11140</v>
      </c>
      <c r="N72" s="2">
        <f t="shared" si="33"/>
        <v>11140</v>
      </c>
      <c r="O72" s="329"/>
      <c r="P72" s="2">
        <f t="shared" si="6"/>
        <v>11140</v>
      </c>
    </row>
    <row r="73" spans="1:16" s="13" customFormat="1" ht="25.5" customHeight="1" x14ac:dyDescent="0.25">
      <c r="A73" s="285"/>
      <c r="B73" s="286" t="s">
        <v>29</v>
      </c>
      <c r="C73" s="276"/>
      <c r="D73" s="276"/>
      <c r="E73" s="219">
        <v>851</v>
      </c>
      <c r="F73" s="1" t="s">
        <v>6</v>
      </c>
      <c r="G73" s="99" t="s">
        <v>63</v>
      </c>
      <c r="H73" s="1" t="s">
        <v>474</v>
      </c>
      <c r="I73" s="1" t="s">
        <v>30</v>
      </c>
      <c r="J73" s="2">
        <v>11140</v>
      </c>
      <c r="K73" s="2">
        <v>11140</v>
      </c>
      <c r="L73" s="2"/>
      <c r="M73" s="2">
        <f t="shared" si="5"/>
        <v>11140</v>
      </c>
      <c r="N73" s="2">
        <v>11140</v>
      </c>
      <c r="O73" s="329"/>
      <c r="P73" s="2">
        <f t="shared" si="6"/>
        <v>11140</v>
      </c>
    </row>
    <row r="74" spans="1:16" ht="24.75" customHeight="1" x14ac:dyDescent="0.25">
      <c r="A74" s="516" t="s">
        <v>64</v>
      </c>
      <c r="B74" s="517"/>
      <c r="C74" s="276"/>
      <c r="D74" s="276"/>
      <c r="E74" s="219">
        <v>851</v>
      </c>
      <c r="F74" s="1" t="s">
        <v>6</v>
      </c>
      <c r="G74" s="1" t="s">
        <v>63</v>
      </c>
      <c r="H74" s="1" t="s">
        <v>556</v>
      </c>
      <c r="I74" s="1"/>
      <c r="J74" s="2">
        <f t="shared" ref="J74:N75" si="34">J75</f>
        <v>55000</v>
      </c>
      <c r="K74" s="2">
        <f t="shared" si="34"/>
        <v>55000</v>
      </c>
      <c r="L74" s="2"/>
      <c r="M74" s="2">
        <f t="shared" si="5"/>
        <v>55000</v>
      </c>
      <c r="N74" s="2">
        <f t="shared" si="34"/>
        <v>55000</v>
      </c>
      <c r="O74" s="15"/>
      <c r="P74" s="2">
        <f t="shared" si="6"/>
        <v>55000</v>
      </c>
    </row>
    <row r="75" spans="1:16" ht="15.75" customHeight="1" x14ac:dyDescent="0.25">
      <c r="A75" s="15"/>
      <c r="B75" s="276" t="s">
        <v>27</v>
      </c>
      <c r="C75" s="275"/>
      <c r="D75" s="275"/>
      <c r="E75" s="219">
        <v>851</v>
      </c>
      <c r="F75" s="1" t="s">
        <v>6</v>
      </c>
      <c r="G75" s="1" t="s">
        <v>63</v>
      </c>
      <c r="H75" s="1" t="s">
        <v>556</v>
      </c>
      <c r="I75" s="1" t="s">
        <v>28</v>
      </c>
      <c r="J75" s="2">
        <f t="shared" si="34"/>
        <v>55000</v>
      </c>
      <c r="K75" s="2">
        <f t="shared" si="34"/>
        <v>55000</v>
      </c>
      <c r="L75" s="2"/>
      <c r="M75" s="2">
        <f t="shared" si="5"/>
        <v>55000</v>
      </c>
      <c r="N75" s="2">
        <f t="shared" si="34"/>
        <v>55000</v>
      </c>
      <c r="O75" s="15"/>
      <c r="P75" s="2">
        <f t="shared" si="6"/>
        <v>55000</v>
      </c>
    </row>
    <row r="76" spans="1:16" ht="27" customHeight="1" x14ac:dyDescent="0.25">
      <c r="A76" s="15"/>
      <c r="B76" s="276" t="s">
        <v>29</v>
      </c>
      <c r="C76" s="276"/>
      <c r="D76" s="276"/>
      <c r="E76" s="219">
        <v>851</v>
      </c>
      <c r="F76" s="1" t="s">
        <v>6</v>
      </c>
      <c r="G76" s="1" t="s">
        <v>63</v>
      </c>
      <c r="H76" s="1" t="s">
        <v>556</v>
      </c>
      <c r="I76" s="1" t="s">
        <v>30</v>
      </c>
      <c r="J76" s="2">
        <v>55000</v>
      </c>
      <c r="K76" s="2">
        <v>55000</v>
      </c>
      <c r="L76" s="2"/>
      <c r="M76" s="2">
        <f t="shared" ref="M76:M139" si="35">K76+L76</f>
        <v>55000</v>
      </c>
      <c r="N76" s="2">
        <v>55000</v>
      </c>
      <c r="O76" s="15"/>
      <c r="P76" s="2">
        <f t="shared" ref="P76:P139" si="36">N76+O76</f>
        <v>55000</v>
      </c>
    </row>
    <row r="77" spans="1:16" s="13" customFormat="1" x14ac:dyDescent="0.25">
      <c r="A77" s="508" t="s">
        <v>248</v>
      </c>
      <c r="B77" s="508"/>
      <c r="C77" s="285"/>
      <c r="D77" s="285"/>
      <c r="E77" s="219">
        <v>851</v>
      </c>
      <c r="F77" s="11" t="s">
        <v>6</v>
      </c>
      <c r="G77" s="11" t="s">
        <v>57</v>
      </c>
      <c r="H77" s="11"/>
      <c r="I77" s="11"/>
      <c r="J77" s="12">
        <f t="shared" ref="J77:P79" si="37">J78</f>
        <v>2558000</v>
      </c>
      <c r="K77" s="12">
        <f t="shared" si="37"/>
        <v>3185000</v>
      </c>
      <c r="L77" s="12">
        <f t="shared" si="37"/>
        <v>0</v>
      </c>
      <c r="M77" s="12">
        <f t="shared" si="37"/>
        <v>3185000</v>
      </c>
      <c r="N77" s="12">
        <f t="shared" si="37"/>
        <v>2546000</v>
      </c>
      <c r="O77" s="12">
        <f t="shared" si="37"/>
        <v>0</v>
      </c>
      <c r="P77" s="12">
        <f t="shared" si="37"/>
        <v>2546000</v>
      </c>
    </row>
    <row r="78" spans="1:16" ht="24.75" customHeight="1" x14ac:dyDescent="0.25">
      <c r="A78" s="509" t="s">
        <v>481</v>
      </c>
      <c r="B78" s="509"/>
      <c r="C78" s="276"/>
      <c r="D78" s="276"/>
      <c r="E78" s="219">
        <v>851</v>
      </c>
      <c r="F78" s="18" t="s">
        <v>6</v>
      </c>
      <c r="G78" s="18" t="s">
        <v>57</v>
      </c>
      <c r="H78" s="18" t="s">
        <v>480</v>
      </c>
      <c r="I78" s="18"/>
      <c r="J78" s="2">
        <f t="shared" si="37"/>
        <v>2558000</v>
      </c>
      <c r="K78" s="2">
        <f t="shared" si="37"/>
        <v>3185000</v>
      </c>
      <c r="L78" s="2"/>
      <c r="M78" s="2">
        <f t="shared" si="35"/>
        <v>3185000</v>
      </c>
      <c r="N78" s="2">
        <f t="shared" si="37"/>
        <v>2546000</v>
      </c>
      <c r="O78" s="15"/>
      <c r="P78" s="2">
        <f t="shared" si="36"/>
        <v>2546000</v>
      </c>
    </row>
    <row r="79" spans="1:16" ht="15.75" customHeight="1" x14ac:dyDescent="0.25">
      <c r="A79" s="276"/>
      <c r="B79" s="276" t="s">
        <v>27</v>
      </c>
      <c r="C79" s="276"/>
      <c r="D79" s="276"/>
      <c r="E79" s="219">
        <v>851</v>
      </c>
      <c r="F79" s="18" t="s">
        <v>6</v>
      </c>
      <c r="G79" s="18" t="s">
        <v>57</v>
      </c>
      <c r="H79" s="18" t="s">
        <v>480</v>
      </c>
      <c r="I79" s="1" t="s">
        <v>28</v>
      </c>
      <c r="J79" s="2">
        <f t="shared" si="37"/>
        <v>2558000</v>
      </c>
      <c r="K79" s="2">
        <f t="shared" si="37"/>
        <v>3185000</v>
      </c>
      <c r="L79" s="2"/>
      <c r="M79" s="2">
        <f t="shared" si="35"/>
        <v>3185000</v>
      </c>
      <c r="N79" s="2">
        <f t="shared" si="37"/>
        <v>2546000</v>
      </c>
      <c r="O79" s="15"/>
      <c r="P79" s="2">
        <f t="shared" si="36"/>
        <v>2546000</v>
      </c>
    </row>
    <row r="80" spans="1:16" ht="24.75" customHeight="1" x14ac:dyDescent="0.25">
      <c r="A80" s="276"/>
      <c r="B80" s="276" t="s">
        <v>29</v>
      </c>
      <c r="C80" s="276"/>
      <c r="D80" s="276"/>
      <c r="E80" s="219">
        <v>851</v>
      </c>
      <c r="F80" s="18" t="s">
        <v>6</v>
      </c>
      <c r="G80" s="18" t="s">
        <v>57</v>
      </c>
      <c r="H80" s="18" t="s">
        <v>480</v>
      </c>
      <c r="I80" s="1" t="s">
        <v>30</v>
      </c>
      <c r="J80" s="2">
        <v>2558000</v>
      </c>
      <c r="K80" s="2">
        <v>3185000</v>
      </c>
      <c r="L80" s="2"/>
      <c r="M80" s="2">
        <f t="shared" si="35"/>
        <v>3185000</v>
      </c>
      <c r="N80" s="2">
        <v>2546000</v>
      </c>
      <c r="O80" s="15"/>
      <c r="P80" s="2">
        <f t="shared" si="36"/>
        <v>2546000</v>
      </c>
    </row>
    <row r="81" spans="1:16" s="13" customFormat="1" x14ac:dyDescent="0.25">
      <c r="A81" s="508" t="s">
        <v>66</v>
      </c>
      <c r="B81" s="508"/>
      <c r="C81" s="285"/>
      <c r="D81" s="285"/>
      <c r="E81" s="219">
        <v>851</v>
      </c>
      <c r="F81" s="11" t="s">
        <v>6</v>
      </c>
      <c r="G81" s="11" t="s">
        <v>67</v>
      </c>
      <c r="H81" s="11"/>
      <c r="I81" s="11"/>
      <c r="J81" s="12">
        <f t="shared" ref="J81:P81" si="38">J82+J87</f>
        <v>273500</v>
      </c>
      <c r="K81" s="12">
        <f t="shared" si="38"/>
        <v>273500</v>
      </c>
      <c r="L81" s="12">
        <f t="shared" si="38"/>
        <v>0</v>
      </c>
      <c r="M81" s="12">
        <f t="shared" si="38"/>
        <v>273500</v>
      </c>
      <c r="N81" s="12">
        <f t="shared" si="38"/>
        <v>273500</v>
      </c>
      <c r="O81" s="12">
        <f t="shared" si="38"/>
        <v>0</v>
      </c>
      <c r="P81" s="12">
        <f t="shared" si="38"/>
        <v>273500</v>
      </c>
    </row>
    <row r="82" spans="1:16" ht="26.25" customHeight="1" x14ac:dyDescent="0.25">
      <c r="A82" s="509" t="s">
        <v>68</v>
      </c>
      <c r="B82" s="509"/>
      <c r="C82" s="276"/>
      <c r="D82" s="276"/>
      <c r="E82" s="219">
        <v>851</v>
      </c>
      <c r="F82" s="18" t="s">
        <v>6</v>
      </c>
      <c r="G82" s="18" t="s">
        <v>67</v>
      </c>
      <c r="H82" s="18" t="s">
        <v>69</v>
      </c>
      <c r="I82" s="18"/>
      <c r="J82" s="2">
        <f t="shared" ref="J82:N82" si="39">J83+J85</f>
        <v>173500</v>
      </c>
      <c r="K82" s="2">
        <f t="shared" si="39"/>
        <v>173500</v>
      </c>
      <c r="L82" s="2"/>
      <c r="M82" s="2">
        <f t="shared" si="35"/>
        <v>173500</v>
      </c>
      <c r="N82" s="2">
        <f t="shared" si="39"/>
        <v>173500</v>
      </c>
      <c r="O82" s="15"/>
      <c r="P82" s="2">
        <f t="shared" si="36"/>
        <v>173500</v>
      </c>
    </row>
    <row r="83" spans="1:16" ht="40.5" customHeight="1" x14ac:dyDescent="0.25">
      <c r="A83" s="276"/>
      <c r="B83" s="275" t="s">
        <v>21</v>
      </c>
      <c r="C83" s="276"/>
      <c r="D83" s="276"/>
      <c r="E83" s="219">
        <v>851</v>
      </c>
      <c r="F83" s="18" t="s">
        <v>6</v>
      </c>
      <c r="G83" s="18" t="s">
        <v>67</v>
      </c>
      <c r="H83" s="18" t="s">
        <v>69</v>
      </c>
      <c r="I83" s="1" t="s">
        <v>23</v>
      </c>
      <c r="J83" s="2">
        <f t="shared" ref="J83:N83" si="40">J84</f>
        <v>97615</v>
      </c>
      <c r="K83" s="2">
        <f t="shared" si="40"/>
        <v>97615</v>
      </c>
      <c r="L83" s="2"/>
      <c r="M83" s="2">
        <f t="shared" si="35"/>
        <v>97615</v>
      </c>
      <c r="N83" s="2">
        <f t="shared" si="40"/>
        <v>97615</v>
      </c>
      <c r="O83" s="15"/>
      <c r="P83" s="2">
        <f t="shared" si="36"/>
        <v>97615</v>
      </c>
    </row>
    <row r="84" spans="1:16" ht="15" customHeight="1" x14ac:dyDescent="0.25">
      <c r="A84" s="15"/>
      <c r="B84" s="275" t="s">
        <v>24</v>
      </c>
      <c r="C84" s="275"/>
      <c r="D84" s="275"/>
      <c r="E84" s="219">
        <v>851</v>
      </c>
      <c r="F84" s="18" t="s">
        <v>6</v>
      </c>
      <c r="G84" s="18" t="s">
        <v>67</v>
      </c>
      <c r="H84" s="18" t="s">
        <v>69</v>
      </c>
      <c r="I84" s="1" t="s">
        <v>25</v>
      </c>
      <c r="J84" s="2">
        <v>97615</v>
      </c>
      <c r="K84" s="2">
        <v>97615</v>
      </c>
      <c r="L84" s="2"/>
      <c r="M84" s="2">
        <f t="shared" si="35"/>
        <v>97615</v>
      </c>
      <c r="N84" s="2">
        <v>97615</v>
      </c>
      <c r="O84" s="15"/>
      <c r="P84" s="2">
        <f t="shared" si="36"/>
        <v>97615</v>
      </c>
    </row>
    <row r="85" spans="1:16" ht="12.75" customHeight="1" x14ac:dyDescent="0.25">
      <c r="A85" s="15"/>
      <c r="B85" s="276" t="s">
        <v>27</v>
      </c>
      <c r="C85" s="275"/>
      <c r="D85" s="275"/>
      <c r="E85" s="219">
        <v>851</v>
      </c>
      <c r="F85" s="18" t="s">
        <v>6</v>
      </c>
      <c r="G85" s="18" t="s">
        <v>67</v>
      </c>
      <c r="H85" s="18" t="s">
        <v>69</v>
      </c>
      <c r="I85" s="1" t="s">
        <v>28</v>
      </c>
      <c r="J85" s="2">
        <f t="shared" ref="J85:N85" si="41">J86</f>
        <v>75885</v>
      </c>
      <c r="K85" s="2">
        <f t="shared" si="41"/>
        <v>75885</v>
      </c>
      <c r="L85" s="2"/>
      <c r="M85" s="2">
        <f t="shared" si="35"/>
        <v>75885</v>
      </c>
      <c r="N85" s="2">
        <f t="shared" si="41"/>
        <v>75885</v>
      </c>
      <c r="O85" s="15"/>
      <c r="P85" s="2">
        <f t="shared" si="36"/>
        <v>75885</v>
      </c>
    </row>
    <row r="86" spans="1:16" ht="26.25" customHeight="1" x14ac:dyDescent="0.25">
      <c r="A86" s="15"/>
      <c r="B86" s="276" t="s">
        <v>29</v>
      </c>
      <c r="C86" s="276"/>
      <c r="D86" s="276"/>
      <c r="E86" s="219">
        <v>851</v>
      </c>
      <c r="F86" s="18" t="s">
        <v>6</v>
      </c>
      <c r="G86" s="18" t="s">
        <v>67</v>
      </c>
      <c r="H86" s="18" t="s">
        <v>69</v>
      </c>
      <c r="I86" s="1" t="s">
        <v>30</v>
      </c>
      <c r="J86" s="2">
        <v>75885</v>
      </c>
      <c r="K86" s="2">
        <v>75885</v>
      </c>
      <c r="L86" s="2"/>
      <c r="M86" s="2">
        <f t="shared" si="35"/>
        <v>75885</v>
      </c>
      <c r="N86" s="2">
        <v>75885</v>
      </c>
      <c r="O86" s="15"/>
      <c r="P86" s="2">
        <f t="shared" si="36"/>
        <v>75885</v>
      </c>
    </row>
    <row r="87" spans="1:16" ht="25.5" customHeight="1" x14ac:dyDescent="0.25">
      <c r="A87" s="516" t="s">
        <v>439</v>
      </c>
      <c r="B87" s="517"/>
      <c r="C87" s="276"/>
      <c r="D87" s="91"/>
      <c r="E87" s="219">
        <v>851</v>
      </c>
      <c r="F87" s="18" t="s">
        <v>6</v>
      </c>
      <c r="G87" s="18" t="s">
        <v>67</v>
      </c>
      <c r="H87" s="18" t="s">
        <v>571</v>
      </c>
      <c r="I87" s="1"/>
      <c r="J87" s="2">
        <f t="shared" ref="J87:N88" si="42">J88</f>
        <v>100000</v>
      </c>
      <c r="K87" s="2">
        <f t="shared" si="42"/>
        <v>100000</v>
      </c>
      <c r="L87" s="2"/>
      <c r="M87" s="2">
        <f t="shared" si="35"/>
        <v>100000</v>
      </c>
      <c r="N87" s="2">
        <f t="shared" si="42"/>
        <v>100000</v>
      </c>
      <c r="O87" s="15"/>
      <c r="P87" s="2">
        <f t="shared" si="36"/>
        <v>100000</v>
      </c>
    </row>
    <row r="88" spans="1:16" x14ac:dyDescent="0.25">
      <c r="A88" s="15"/>
      <c r="B88" s="276" t="s">
        <v>31</v>
      </c>
      <c r="C88" s="276"/>
      <c r="D88" s="91"/>
      <c r="E88" s="219">
        <v>851</v>
      </c>
      <c r="F88" s="18" t="s">
        <v>6</v>
      </c>
      <c r="G88" s="18" t="s">
        <v>67</v>
      </c>
      <c r="H88" s="18" t="s">
        <v>571</v>
      </c>
      <c r="I88" s="1" t="s">
        <v>32</v>
      </c>
      <c r="J88" s="2">
        <f t="shared" si="42"/>
        <v>100000</v>
      </c>
      <c r="K88" s="2">
        <f t="shared" si="42"/>
        <v>100000</v>
      </c>
      <c r="L88" s="2"/>
      <c r="M88" s="2">
        <f t="shared" si="35"/>
        <v>100000</v>
      </c>
      <c r="N88" s="2">
        <f t="shared" si="42"/>
        <v>100000</v>
      </c>
      <c r="O88" s="15"/>
      <c r="P88" s="2">
        <f t="shared" si="36"/>
        <v>100000</v>
      </c>
    </row>
    <row r="89" spans="1:16" ht="27.75" customHeight="1" x14ac:dyDescent="0.25">
      <c r="A89" s="15"/>
      <c r="B89" s="276" t="s">
        <v>250</v>
      </c>
      <c r="C89" s="276"/>
      <c r="D89" s="91"/>
      <c r="E89" s="219">
        <v>851</v>
      </c>
      <c r="F89" s="18" t="s">
        <v>6</v>
      </c>
      <c r="G89" s="18" t="s">
        <v>67</v>
      </c>
      <c r="H89" s="18" t="s">
        <v>571</v>
      </c>
      <c r="I89" s="1" t="s">
        <v>65</v>
      </c>
      <c r="J89" s="2">
        <v>100000</v>
      </c>
      <c r="K89" s="2">
        <v>100000</v>
      </c>
      <c r="L89" s="2"/>
      <c r="M89" s="2">
        <f t="shared" si="35"/>
        <v>100000</v>
      </c>
      <c r="N89" s="2">
        <v>100000</v>
      </c>
      <c r="O89" s="15"/>
      <c r="P89" s="2">
        <f t="shared" si="36"/>
        <v>100000</v>
      </c>
    </row>
    <row r="90" spans="1:16" s="13" customFormat="1" ht="13.5" customHeight="1" x14ac:dyDescent="0.25">
      <c r="A90" s="287" t="s">
        <v>70</v>
      </c>
      <c r="B90" s="285"/>
      <c r="C90" s="285"/>
      <c r="E90" s="219">
        <v>851</v>
      </c>
      <c r="F90" s="20" t="s">
        <v>63</v>
      </c>
      <c r="G90" s="20"/>
      <c r="H90" s="20"/>
      <c r="I90" s="11"/>
      <c r="J90" s="12">
        <f>J91+J95</f>
        <v>741440</v>
      </c>
      <c r="K90" s="12">
        <f>K91+K95</f>
        <v>741500</v>
      </c>
      <c r="L90" s="12">
        <f t="shared" ref="L90:P90" si="43">L91+L95</f>
        <v>0</v>
      </c>
      <c r="M90" s="12">
        <f t="shared" si="43"/>
        <v>741500</v>
      </c>
      <c r="N90" s="12">
        <f t="shared" si="43"/>
        <v>741495</v>
      </c>
      <c r="O90" s="12">
        <f t="shared" si="43"/>
        <v>0</v>
      </c>
      <c r="P90" s="12">
        <f t="shared" si="43"/>
        <v>741495</v>
      </c>
    </row>
    <row r="91" spans="1:16" s="13" customFormat="1" ht="13.5" customHeight="1" x14ac:dyDescent="0.25">
      <c r="A91" s="512" t="s">
        <v>247</v>
      </c>
      <c r="B91" s="512"/>
      <c r="C91" s="285"/>
      <c r="E91" s="219">
        <v>851</v>
      </c>
      <c r="F91" s="20" t="s">
        <v>63</v>
      </c>
      <c r="G91" s="101" t="s">
        <v>17</v>
      </c>
      <c r="H91" s="20"/>
      <c r="I91" s="11"/>
      <c r="J91" s="12">
        <f>J92</f>
        <v>41440</v>
      </c>
      <c r="K91" s="12">
        <f t="shared" ref="K91:P91" si="44">K92</f>
        <v>41500</v>
      </c>
      <c r="L91" s="12">
        <f t="shared" si="44"/>
        <v>0</v>
      </c>
      <c r="M91" s="12">
        <f t="shared" si="44"/>
        <v>41500</v>
      </c>
      <c r="N91" s="12">
        <f t="shared" si="44"/>
        <v>41495</v>
      </c>
      <c r="O91" s="12">
        <f t="shared" si="44"/>
        <v>0</v>
      </c>
      <c r="P91" s="12">
        <f t="shared" si="44"/>
        <v>41495</v>
      </c>
    </row>
    <row r="92" spans="1:16" s="13" customFormat="1" ht="13.5" customHeight="1" x14ac:dyDescent="0.25">
      <c r="A92" s="509" t="s">
        <v>457</v>
      </c>
      <c r="B92" s="509"/>
      <c r="C92" s="276"/>
      <c r="D92" s="6"/>
      <c r="E92" s="219">
        <v>851</v>
      </c>
      <c r="F92" s="18" t="s">
        <v>63</v>
      </c>
      <c r="G92" s="100" t="s">
        <v>17</v>
      </c>
      <c r="H92" s="18" t="s">
        <v>458</v>
      </c>
      <c r="I92" s="1"/>
      <c r="J92" s="2">
        <f t="shared" ref="J92:N93" si="45">J93</f>
        <v>41440</v>
      </c>
      <c r="K92" s="2">
        <f t="shared" si="45"/>
        <v>41500</v>
      </c>
      <c r="L92" s="2"/>
      <c r="M92" s="2">
        <f t="shared" si="35"/>
        <v>41500</v>
      </c>
      <c r="N92" s="2">
        <f t="shared" si="45"/>
        <v>41495</v>
      </c>
      <c r="O92" s="329"/>
      <c r="P92" s="2">
        <f t="shared" si="36"/>
        <v>41495</v>
      </c>
    </row>
    <row r="93" spans="1:16" s="13" customFormat="1" ht="15" customHeight="1" x14ac:dyDescent="0.25">
      <c r="A93" s="276"/>
      <c r="B93" s="286" t="s">
        <v>27</v>
      </c>
      <c r="C93" s="276"/>
      <c r="D93" s="276"/>
      <c r="E93" s="219">
        <v>851</v>
      </c>
      <c r="F93" s="18" t="s">
        <v>63</v>
      </c>
      <c r="G93" s="100" t="s">
        <v>17</v>
      </c>
      <c r="H93" s="18" t="s">
        <v>458</v>
      </c>
      <c r="I93" s="1" t="s">
        <v>28</v>
      </c>
      <c r="J93" s="2">
        <f t="shared" si="45"/>
        <v>41440</v>
      </c>
      <c r="K93" s="2">
        <f t="shared" si="45"/>
        <v>41500</v>
      </c>
      <c r="L93" s="2"/>
      <c r="M93" s="2">
        <f t="shared" si="35"/>
        <v>41500</v>
      </c>
      <c r="N93" s="2">
        <f t="shared" si="45"/>
        <v>41495</v>
      </c>
      <c r="O93" s="329"/>
      <c r="P93" s="2">
        <f t="shared" si="36"/>
        <v>41495</v>
      </c>
    </row>
    <row r="94" spans="1:16" s="13" customFormat="1" ht="26.25" customHeight="1" x14ac:dyDescent="0.25">
      <c r="A94" s="276"/>
      <c r="B94" s="286" t="s">
        <v>29</v>
      </c>
      <c r="C94" s="276"/>
      <c r="D94" s="276"/>
      <c r="E94" s="219">
        <v>851</v>
      </c>
      <c r="F94" s="18" t="s">
        <v>63</v>
      </c>
      <c r="G94" s="100" t="s">
        <v>17</v>
      </c>
      <c r="H94" s="18" t="s">
        <v>458</v>
      </c>
      <c r="I94" s="1" t="s">
        <v>30</v>
      </c>
      <c r="J94" s="2">
        <f>41422+18</f>
        <v>41440</v>
      </c>
      <c r="K94" s="2">
        <f>41422+18+60</f>
        <v>41500</v>
      </c>
      <c r="L94" s="2"/>
      <c r="M94" s="2">
        <f t="shared" si="35"/>
        <v>41500</v>
      </c>
      <c r="N94" s="2">
        <f>41422+18+55</f>
        <v>41495</v>
      </c>
      <c r="O94" s="329"/>
      <c r="P94" s="2">
        <f t="shared" si="36"/>
        <v>41495</v>
      </c>
    </row>
    <row r="95" spans="1:16" s="13" customFormat="1" x14ac:dyDescent="0.25">
      <c r="A95" s="287" t="s">
        <v>71</v>
      </c>
      <c r="B95" s="285"/>
      <c r="C95" s="285"/>
      <c r="E95" s="219">
        <v>851</v>
      </c>
      <c r="F95" s="20" t="s">
        <v>63</v>
      </c>
      <c r="G95" s="20" t="s">
        <v>72</v>
      </c>
      <c r="H95" s="20"/>
      <c r="I95" s="11"/>
      <c r="J95" s="12">
        <f t="shared" ref="J95:P95" si="46">J96</f>
        <v>700000</v>
      </c>
      <c r="K95" s="12">
        <f t="shared" si="46"/>
        <v>700000</v>
      </c>
      <c r="L95" s="12">
        <f t="shared" si="46"/>
        <v>0</v>
      </c>
      <c r="M95" s="12">
        <f t="shared" si="46"/>
        <v>700000</v>
      </c>
      <c r="N95" s="12">
        <f t="shared" si="46"/>
        <v>700000</v>
      </c>
      <c r="O95" s="12">
        <f t="shared" si="46"/>
        <v>0</v>
      </c>
      <c r="P95" s="12">
        <f t="shared" si="46"/>
        <v>700000</v>
      </c>
    </row>
    <row r="96" spans="1:16" ht="26.25" customHeight="1" x14ac:dyDescent="0.25">
      <c r="A96" s="509" t="s">
        <v>73</v>
      </c>
      <c r="B96" s="509"/>
      <c r="C96" s="276"/>
      <c r="D96" s="276"/>
      <c r="E96" s="219">
        <v>851</v>
      </c>
      <c r="F96" s="18" t="s">
        <v>63</v>
      </c>
      <c r="G96" s="18" t="s">
        <v>72</v>
      </c>
      <c r="H96" s="18" t="s">
        <v>74</v>
      </c>
      <c r="I96" s="1"/>
      <c r="J96" s="2">
        <f t="shared" ref="J96:N96" si="47">J98</f>
        <v>700000</v>
      </c>
      <c r="K96" s="2">
        <f t="shared" si="47"/>
        <v>700000</v>
      </c>
      <c r="L96" s="2"/>
      <c r="M96" s="2">
        <f t="shared" si="35"/>
        <v>700000</v>
      </c>
      <c r="N96" s="2">
        <f t="shared" si="47"/>
        <v>700000</v>
      </c>
      <c r="O96" s="15"/>
      <c r="P96" s="2">
        <f t="shared" si="36"/>
        <v>700000</v>
      </c>
    </row>
    <row r="97" spans="1:16" ht="25.5" customHeight="1" x14ac:dyDescent="0.25">
      <c r="A97" s="276"/>
      <c r="B97" s="276" t="s">
        <v>467</v>
      </c>
      <c r="C97" s="276"/>
      <c r="D97" s="276"/>
      <c r="E97" s="219">
        <v>851</v>
      </c>
      <c r="F97" s="18" t="s">
        <v>63</v>
      </c>
      <c r="G97" s="18" t="s">
        <v>72</v>
      </c>
      <c r="H97" s="18" t="s">
        <v>74</v>
      </c>
      <c r="I97" s="1" t="s">
        <v>75</v>
      </c>
      <c r="J97" s="2">
        <f t="shared" ref="J97:N97" si="48">J98</f>
        <v>700000</v>
      </c>
      <c r="K97" s="2">
        <f t="shared" si="48"/>
        <v>700000</v>
      </c>
      <c r="L97" s="2"/>
      <c r="M97" s="2">
        <f t="shared" si="35"/>
        <v>700000</v>
      </c>
      <c r="N97" s="2">
        <f t="shared" si="48"/>
        <v>700000</v>
      </c>
      <c r="O97" s="15"/>
      <c r="P97" s="2">
        <f t="shared" si="36"/>
        <v>700000</v>
      </c>
    </row>
    <row r="98" spans="1:16" ht="25.5" customHeight="1" x14ac:dyDescent="0.25">
      <c r="A98" s="15"/>
      <c r="B98" s="276" t="s">
        <v>76</v>
      </c>
      <c r="C98" s="276"/>
      <c r="D98" s="276"/>
      <c r="E98" s="219">
        <v>851</v>
      </c>
      <c r="F98" s="18" t="s">
        <v>63</v>
      </c>
      <c r="G98" s="18" t="s">
        <v>72</v>
      </c>
      <c r="H98" s="18" t="s">
        <v>74</v>
      </c>
      <c r="I98" s="1" t="s">
        <v>77</v>
      </c>
      <c r="J98" s="2">
        <v>700000</v>
      </c>
      <c r="K98" s="2">
        <v>700000</v>
      </c>
      <c r="L98" s="2"/>
      <c r="M98" s="2">
        <f t="shared" si="35"/>
        <v>700000</v>
      </c>
      <c r="N98" s="2">
        <v>700000</v>
      </c>
      <c r="O98" s="15"/>
      <c r="P98" s="2">
        <f t="shared" si="36"/>
        <v>700000</v>
      </c>
    </row>
    <row r="99" spans="1:16" s="10" customFormat="1" x14ac:dyDescent="0.25">
      <c r="A99" s="503" t="s">
        <v>78</v>
      </c>
      <c r="B99" s="503"/>
      <c r="C99" s="284"/>
      <c r="D99" s="284"/>
      <c r="E99" s="219">
        <v>851</v>
      </c>
      <c r="F99" s="7" t="s">
        <v>36</v>
      </c>
      <c r="G99" s="7"/>
      <c r="H99" s="7"/>
      <c r="I99" s="7"/>
      <c r="J99" s="8">
        <f>J100</f>
        <v>8214000</v>
      </c>
      <c r="K99" s="8">
        <f>K100</f>
        <v>3000000</v>
      </c>
      <c r="L99" s="8">
        <f t="shared" ref="L99:P99" si="49">L100</f>
        <v>-3000000</v>
      </c>
      <c r="M99" s="8">
        <f t="shared" si="49"/>
        <v>0</v>
      </c>
      <c r="N99" s="8">
        <f t="shared" si="49"/>
        <v>2114000</v>
      </c>
      <c r="O99" s="8">
        <f t="shared" si="49"/>
        <v>-2114000</v>
      </c>
      <c r="P99" s="8">
        <f t="shared" si="49"/>
        <v>0</v>
      </c>
    </row>
    <row r="100" spans="1:16" s="13" customFormat="1" x14ac:dyDescent="0.25">
      <c r="A100" s="508" t="s">
        <v>82</v>
      </c>
      <c r="B100" s="508"/>
      <c r="C100" s="285"/>
      <c r="D100" s="285"/>
      <c r="E100" s="219">
        <v>851</v>
      </c>
      <c r="F100" s="11" t="s">
        <v>36</v>
      </c>
      <c r="G100" s="11" t="s">
        <v>72</v>
      </c>
      <c r="H100" s="11"/>
      <c r="I100" s="11"/>
      <c r="J100" s="12">
        <f>J101</f>
        <v>8214000</v>
      </c>
      <c r="K100" s="12">
        <f t="shared" ref="K100:P100" si="50">K101</f>
        <v>3000000</v>
      </c>
      <c r="L100" s="12">
        <f t="shared" si="50"/>
        <v>-3000000</v>
      </c>
      <c r="M100" s="12">
        <f t="shared" si="50"/>
        <v>0</v>
      </c>
      <c r="N100" s="12">
        <f t="shared" si="50"/>
        <v>2114000</v>
      </c>
      <c r="O100" s="12">
        <f t="shared" si="50"/>
        <v>-2114000</v>
      </c>
      <c r="P100" s="12">
        <f t="shared" si="50"/>
        <v>0</v>
      </c>
    </row>
    <row r="101" spans="1:16" x14ac:dyDescent="0.25">
      <c r="A101" s="509" t="s">
        <v>80</v>
      </c>
      <c r="B101" s="509"/>
      <c r="C101" s="276"/>
      <c r="D101" s="276"/>
      <c r="E101" s="219">
        <v>851</v>
      </c>
      <c r="F101" s="1" t="s">
        <v>36</v>
      </c>
      <c r="G101" s="18" t="s">
        <v>72</v>
      </c>
      <c r="H101" s="1" t="s">
        <v>81</v>
      </c>
      <c r="I101" s="1"/>
      <c r="J101" s="2">
        <f t="shared" ref="J101:K101" si="51">J102+J104</f>
        <v>8214000</v>
      </c>
      <c r="K101" s="2">
        <f t="shared" si="51"/>
        <v>3000000</v>
      </c>
      <c r="L101" s="2">
        <f t="shared" ref="L101:N101" si="52">L102+L104</f>
        <v>-3000000</v>
      </c>
      <c r="M101" s="2">
        <f t="shared" si="52"/>
        <v>0</v>
      </c>
      <c r="N101" s="2">
        <f t="shared" si="52"/>
        <v>2114000</v>
      </c>
      <c r="O101" s="2">
        <f t="shared" ref="O101:P101" si="53">O102+O104</f>
        <v>-2114000</v>
      </c>
      <c r="P101" s="2">
        <f t="shared" si="53"/>
        <v>0</v>
      </c>
    </row>
    <row r="102" spans="1:16" ht="13.5" customHeight="1" x14ac:dyDescent="0.25">
      <c r="A102" s="276"/>
      <c r="B102" s="276" t="s">
        <v>27</v>
      </c>
      <c r="C102" s="275"/>
      <c r="D102" s="275"/>
      <c r="E102" s="219">
        <v>851</v>
      </c>
      <c r="F102" s="1" t="s">
        <v>36</v>
      </c>
      <c r="G102" s="18" t="s">
        <v>72</v>
      </c>
      <c r="H102" s="1" t="s">
        <v>81</v>
      </c>
      <c r="I102" s="1" t="s">
        <v>28</v>
      </c>
      <c r="J102" s="2">
        <f t="shared" ref="J102:P102" si="54">J103</f>
        <v>0</v>
      </c>
      <c r="K102" s="2">
        <f t="shared" si="54"/>
        <v>0</v>
      </c>
      <c r="L102" s="2">
        <f t="shared" si="54"/>
        <v>0</v>
      </c>
      <c r="M102" s="2">
        <f t="shared" si="54"/>
        <v>0</v>
      </c>
      <c r="N102" s="2">
        <f t="shared" si="54"/>
        <v>2114000</v>
      </c>
      <c r="O102" s="2">
        <f t="shared" si="54"/>
        <v>-2114000</v>
      </c>
      <c r="P102" s="2">
        <f t="shared" si="54"/>
        <v>0</v>
      </c>
    </row>
    <row r="103" spans="1:16" ht="24" x14ac:dyDescent="0.25">
      <c r="A103" s="276"/>
      <c r="B103" s="276" t="s">
        <v>29</v>
      </c>
      <c r="C103" s="276"/>
      <c r="D103" s="276"/>
      <c r="E103" s="219">
        <v>851</v>
      </c>
      <c r="F103" s="1" t="s">
        <v>36</v>
      </c>
      <c r="G103" s="18" t="s">
        <v>72</v>
      </c>
      <c r="H103" s="1" t="s">
        <v>81</v>
      </c>
      <c r="I103" s="1" t="s">
        <v>30</v>
      </c>
      <c r="J103" s="2"/>
      <c r="K103" s="2"/>
      <c r="L103" s="2"/>
      <c r="M103" s="2">
        <f t="shared" si="35"/>
        <v>0</v>
      </c>
      <c r="N103" s="2">
        <v>2114000</v>
      </c>
      <c r="O103" s="15">
        <v>-2114000</v>
      </c>
      <c r="P103" s="2">
        <f t="shared" si="36"/>
        <v>0</v>
      </c>
    </row>
    <row r="104" spans="1:16" ht="25.5" customHeight="1" x14ac:dyDescent="0.25">
      <c r="A104" s="276"/>
      <c r="B104" s="276" t="s">
        <v>467</v>
      </c>
      <c r="C104" s="276"/>
      <c r="D104" s="276"/>
      <c r="E104" s="219">
        <v>851</v>
      </c>
      <c r="F104" s="1" t="s">
        <v>36</v>
      </c>
      <c r="G104" s="18" t="s">
        <v>72</v>
      </c>
      <c r="H104" s="1" t="s">
        <v>81</v>
      </c>
      <c r="I104" s="1" t="s">
        <v>75</v>
      </c>
      <c r="J104" s="2">
        <f t="shared" ref="J104:P104" si="55">J105</f>
        <v>8214000</v>
      </c>
      <c r="K104" s="2">
        <f t="shared" si="55"/>
        <v>3000000</v>
      </c>
      <c r="L104" s="2">
        <f t="shared" si="55"/>
        <v>-3000000</v>
      </c>
      <c r="M104" s="2">
        <f t="shared" si="55"/>
        <v>0</v>
      </c>
      <c r="N104" s="2">
        <f t="shared" si="55"/>
        <v>0</v>
      </c>
      <c r="O104" s="2">
        <f t="shared" si="55"/>
        <v>0</v>
      </c>
      <c r="P104" s="2">
        <f t="shared" si="55"/>
        <v>0</v>
      </c>
    </row>
    <row r="105" spans="1:16" ht="25.5" customHeight="1" x14ac:dyDescent="0.25">
      <c r="A105" s="276"/>
      <c r="B105" s="276" t="s">
        <v>76</v>
      </c>
      <c r="C105" s="276"/>
      <c r="D105" s="276"/>
      <c r="E105" s="219">
        <v>851</v>
      </c>
      <c r="F105" s="1" t="s">
        <v>36</v>
      </c>
      <c r="G105" s="18" t="s">
        <v>72</v>
      </c>
      <c r="H105" s="1" t="s">
        <v>81</v>
      </c>
      <c r="I105" s="1" t="s">
        <v>77</v>
      </c>
      <c r="J105" s="2">
        <f>10245000-2030982-18</f>
        <v>8214000</v>
      </c>
      <c r="K105" s="2">
        <v>3000000</v>
      </c>
      <c r="L105" s="2">
        <v>-3000000</v>
      </c>
      <c r="M105" s="2">
        <f t="shared" si="35"/>
        <v>0</v>
      </c>
      <c r="N105" s="2"/>
      <c r="O105" s="15"/>
      <c r="P105" s="2">
        <f t="shared" si="36"/>
        <v>0</v>
      </c>
    </row>
    <row r="106" spans="1:16" x14ac:dyDescent="0.25">
      <c r="A106" s="503" t="s">
        <v>83</v>
      </c>
      <c r="B106" s="503"/>
      <c r="C106" s="284"/>
      <c r="D106" s="284"/>
      <c r="E106" s="219">
        <v>851</v>
      </c>
      <c r="F106" s="7" t="s">
        <v>84</v>
      </c>
      <c r="G106" s="7"/>
      <c r="H106" s="7"/>
      <c r="I106" s="7"/>
      <c r="J106" s="8">
        <f>J107+J129</f>
        <v>14871640</v>
      </c>
      <c r="K106" s="8">
        <f>K107+K129</f>
        <v>3063140</v>
      </c>
      <c r="L106" s="8">
        <f t="shared" ref="L106:P106" si="56">L107+L129</f>
        <v>0</v>
      </c>
      <c r="M106" s="8">
        <f t="shared" si="56"/>
        <v>3063140</v>
      </c>
      <c r="N106" s="8">
        <f t="shared" si="56"/>
        <v>3063140</v>
      </c>
      <c r="O106" s="8">
        <f t="shared" si="56"/>
        <v>0</v>
      </c>
      <c r="P106" s="8">
        <f t="shared" si="56"/>
        <v>3063140</v>
      </c>
    </row>
    <row r="107" spans="1:16" x14ac:dyDescent="0.25">
      <c r="A107" s="508" t="s">
        <v>85</v>
      </c>
      <c r="B107" s="508"/>
      <c r="C107" s="285"/>
      <c r="D107" s="285"/>
      <c r="E107" s="219">
        <v>851</v>
      </c>
      <c r="F107" s="11" t="s">
        <v>84</v>
      </c>
      <c r="G107" s="11" t="s">
        <v>17</v>
      </c>
      <c r="H107" s="11"/>
      <c r="I107" s="11"/>
      <c r="J107" s="12">
        <f>J108+J111+J114+J117+J120+J123+J126</f>
        <v>14856640</v>
      </c>
      <c r="K107" s="12">
        <f>K108+K111+K114+K117+K120+K123+K126</f>
        <v>3048140</v>
      </c>
      <c r="L107" s="12">
        <f t="shared" ref="L107:P107" si="57">L108+L111+L114+L117+L120+L123+L126</f>
        <v>0</v>
      </c>
      <c r="M107" s="12">
        <f t="shared" si="57"/>
        <v>3048140</v>
      </c>
      <c r="N107" s="12">
        <f t="shared" si="57"/>
        <v>3048140</v>
      </c>
      <c r="O107" s="12">
        <f t="shared" si="57"/>
        <v>0</v>
      </c>
      <c r="P107" s="12">
        <f t="shared" si="57"/>
        <v>3048140</v>
      </c>
    </row>
    <row r="108" spans="1:16" x14ac:dyDescent="0.25">
      <c r="A108" s="509" t="s">
        <v>90</v>
      </c>
      <c r="B108" s="509"/>
      <c r="C108" s="276"/>
      <c r="D108" s="276"/>
      <c r="E108" s="219">
        <v>851</v>
      </c>
      <c r="F108" s="1" t="s">
        <v>84</v>
      </c>
      <c r="G108" s="1" t="s">
        <v>17</v>
      </c>
      <c r="H108" s="1" t="s">
        <v>557</v>
      </c>
      <c r="I108" s="1"/>
      <c r="J108" s="2">
        <f t="shared" ref="J108:N109" si="58">J109</f>
        <v>2580900</v>
      </c>
      <c r="K108" s="2">
        <f t="shared" si="58"/>
        <v>2580900</v>
      </c>
      <c r="L108" s="2"/>
      <c r="M108" s="2">
        <f t="shared" si="35"/>
        <v>2580900</v>
      </c>
      <c r="N108" s="2">
        <f t="shared" si="58"/>
        <v>2580900</v>
      </c>
      <c r="O108" s="15"/>
      <c r="P108" s="2">
        <f t="shared" si="36"/>
        <v>2580900</v>
      </c>
    </row>
    <row r="109" spans="1:16" ht="25.5" customHeight="1" x14ac:dyDescent="0.25">
      <c r="A109" s="285"/>
      <c r="B109" s="217" t="s">
        <v>91</v>
      </c>
      <c r="C109" s="285"/>
      <c r="D109" s="285"/>
      <c r="E109" s="219">
        <v>851</v>
      </c>
      <c r="F109" s="1" t="s">
        <v>84</v>
      </c>
      <c r="G109" s="1" t="s">
        <v>17</v>
      </c>
      <c r="H109" s="1" t="s">
        <v>557</v>
      </c>
      <c r="I109" s="1" t="s">
        <v>87</v>
      </c>
      <c r="J109" s="2">
        <f t="shared" si="58"/>
        <v>2580900</v>
      </c>
      <c r="K109" s="2">
        <f t="shared" si="58"/>
        <v>2580900</v>
      </c>
      <c r="L109" s="2"/>
      <c r="M109" s="2">
        <f t="shared" si="35"/>
        <v>2580900</v>
      </c>
      <c r="N109" s="2">
        <f t="shared" si="58"/>
        <v>2580900</v>
      </c>
      <c r="O109" s="15"/>
      <c r="P109" s="2">
        <f t="shared" si="36"/>
        <v>2580900</v>
      </c>
    </row>
    <row r="110" spans="1:16" ht="37.5" customHeight="1" x14ac:dyDescent="0.25">
      <c r="A110" s="285"/>
      <c r="B110" s="276" t="s">
        <v>88</v>
      </c>
      <c r="C110" s="285"/>
      <c r="D110" s="285"/>
      <c r="E110" s="219">
        <v>851</v>
      </c>
      <c r="F110" s="1" t="s">
        <v>84</v>
      </c>
      <c r="G110" s="1" t="s">
        <v>17</v>
      </c>
      <c r="H110" s="1" t="s">
        <v>557</v>
      </c>
      <c r="I110" s="1" t="s">
        <v>89</v>
      </c>
      <c r="J110" s="2">
        <f>636584+1944239+77</f>
        <v>2580900</v>
      </c>
      <c r="K110" s="2">
        <f t="shared" ref="K110:N110" si="59">636584+1944239+77</f>
        <v>2580900</v>
      </c>
      <c r="L110" s="2"/>
      <c r="M110" s="2">
        <f t="shared" si="35"/>
        <v>2580900</v>
      </c>
      <c r="N110" s="2">
        <f t="shared" si="59"/>
        <v>2580900</v>
      </c>
      <c r="O110" s="15"/>
      <c r="P110" s="2">
        <f t="shared" si="36"/>
        <v>2580900</v>
      </c>
    </row>
    <row r="111" spans="1:16" ht="12" customHeight="1" x14ac:dyDescent="0.25">
      <c r="A111" s="516" t="s">
        <v>475</v>
      </c>
      <c r="B111" s="517"/>
      <c r="C111" s="276"/>
      <c r="D111" s="276"/>
      <c r="E111" s="219">
        <v>851</v>
      </c>
      <c r="F111" s="1" t="s">
        <v>84</v>
      </c>
      <c r="G111" s="1" t="s">
        <v>17</v>
      </c>
      <c r="H111" s="1" t="s">
        <v>558</v>
      </c>
      <c r="I111" s="1"/>
      <c r="J111" s="2">
        <f t="shared" ref="J111:N112" si="60">J112</f>
        <v>157900</v>
      </c>
      <c r="K111" s="2">
        <f t="shared" si="60"/>
        <v>157700</v>
      </c>
      <c r="L111" s="2"/>
      <c r="M111" s="2">
        <f t="shared" si="35"/>
        <v>157700</v>
      </c>
      <c r="N111" s="2">
        <f t="shared" si="60"/>
        <v>157700</v>
      </c>
      <c r="O111" s="15"/>
      <c r="P111" s="2">
        <f t="shared" si="36"/>
        <v>157700</v>
      </c>
    </row>
    <row r="112" spans="1:16" ht="27" customHeight="1" x14ac:dyDescent="0.25">
      <c r="A112" s="276"/>
      <c r="B112" s="217" t="s">
        <v>91</v>
      </c>
      <c r="C112" s="276"/>
      <c r="D112" s="276"/>
      <c r="E112" s="219">
        <v>851</v>
      </c>
      <c r="F112" s="1" t="s">
        <v>84</v>
      </c>
      <c r="G112" s="1" t="s">
        <v>17</v>
      </c>
      <c r="H112" s="1" t="s">
        <v>558</v>
      </c>
      <c r="I112" s="15">
        <v>600</v>
      </c>
      <c r="J112" s="2">
        <f t="shared" si="60"/>
        <v>157900</v>
      </c>
      <c r="K112" s="2">
        <f t="shared" si="60"/>
        <v>157700</v>
      </c>
      <c r="L112" s="2"/>
      <c r="M112" s="2">
        <f t="shared" si="35"/>
        <v>157700</v>
      </c>
      <c r="N112" s="2">
        <f t="shared" si="60"/>
        <v>157700</v>
      </c>
      <c r="O112" s="15"/>
      <c r="P112" s="2">
        <f t="shared" si="36"/>
        <v>157700</v>
      </c>
    </row>
    <row r="113" spans="1:16" ht="39" customHeight="1" x14ac:dyDescent="0.25">
      <c r="A113" s="276"/>
      <c r="B113" s="276" t="s">
        <v>88</v>
      </c>
      <c r="C113" s="276"/>
      <c r="D113" s="276"/>
      <c r="E113" s="219">
        <v>851</v>
      </c>
      <c r="F113" s="1" t="s">
        <v>84</v>
      </c>
      <c r="G113" s="1" t="s">
        <v>17</v>
      </c>
      <c r="H113" s="1" t="s">
        <v>558</v>
      </c>
      <c r="I113" s="15">
        <v>611</v>
      </c>
      <c r="J113" s="2">
        <f>157664+36+200</f>
        <v>157900</v>
      </c>
      <c r="K113" s="2">
        <f t="shared" ref="K113:N113" si="61">157664+36</f>
        <v>157700</v>
      </c>
      <c r="L113" s="2"/>
      <c r="M113" s="2">
        <f t="shared" si="35"/>
        <v>157700</v>
      </c>
      <c r="N113" s="2">
        <f t="shared" si="61"/>
        <v>157700</v>
      </c>
      <c r="O113" s="15"/>
      <c r="P113" s="2">
        <f t="shared" si="36"/>
        <v>157700</v>
      </c>
    </row>
    <row r="114" spans="1:16" ht="38.25" hidden="1" customHeight="1" x14ac:dyDescent="0.25">
      <c r="A114" s="509" t="s">
        <v>476</v>
      </c>
      <c r="B114" s="509"/>
      <c r="C114" s="276"/>
      <c r="D114" s="276"/>
      <c r="E114" s="219">
        <v>851</v>
      </c>
      <c r="F114" s="1" t="s">
        <v>84</v>
      </c>
      <c r="G114" s="1" t="s">
        <v>17</v>
      </c>
      <c r="H114" s="1" t="s">
        <v>559</v>
      </c>
      <c r="I114" s="15"/>
      <c r="J114" s="2">
        <f t="shared" ref="J114:N115" si="62">J115</f>
        <v>8947680</v>
      </c>
      <c r="K114" s="2">
        <f t="shared" si="62"/>
        <v>0</v>
      </c>
      <c r="L114" s="2"/>
      <c r="M114" s="2">
        <f t="shared" si="35"/>
        <v>0</v>
      </c>
      <c r="N114" s="2">
        <f t="shared" si="62"/>
        <v>0</v>
      </c>
      <c r="O114" s="15"/>
      <c r="P114" s="2">
        <f t="shared" si="36"/>
        <v>0</v>
      </c>
    </row>
    <row r="115" spans="1:16" ht="24" hidden="1" customHeight="1" x14ac:dyDescent="0.25">
      <c r="A115" s="276"/>
      <c r="B115" s="217" t="s">
        <v>91</v>
      </c>
      <c r="C115" s="276"/>
      <c r="D115" s="276"/>
      <c r="E115" s="219">
        <v>851</v>
      </c>
      <c r="F115" s="1" t="s">
        <v>84</v>
      </c>
      <c r="G115" s="1" t="s">
        <v>17</v>
      </c>
      <c r="H115" s="1" t="s">
        <v>559</v>
      </c>
      <c r="I115" s="15">
        <v>600</v>
      </c>
      <c r="J115" s="2">
        <f t="shared" si="62"/>
        <v>8947680</v>
      </c>
      <c r="K115" s="2">
        <f t="shared" si="62"/>
        <v>0</v>
      </c>
      <c r="L115" s="2"/>
      <c r="M115" s="2">
        <f t="shared" si="35"/>
        <v>0</v>
      </c>
      <c r="N115" s="2">
        <f t="shared" si="62"/>
        <v>0</v>
      </c>
      <c r="O115" s="15"/>
      <c r="P115" s="2">
        <f t="shared" si="36"/>
        <v>0</v>
      </c>
    </row>
    <row r="116" spans="1:16" ht="40.5" hidden="1" customHeight="1" x14ac:dyDescent="0.25">
      <c r="A116" s="276"/>
      <c r="B116" s="276" t="s">
        <v>88</v>
      </c>
      <c r="C116" s="276"/>
      <c r="D116" s="276"/>
      <c r="E116" s="219">
        <v>851</v>
      </c>
      <c r="F116" s="1" t="s">
        <v>84</v>
      </c>
      <c r="G116" s="1" t="s">
        <v>17</v>
      </c>
      <c r="H116" s="1" t="s">
        <v>559</v>
      </c>
      <c r="I116" s="15">
        <v>611</v>
      </c>
      <c r="J116" s="2">
        <f>22260+28620+8896800</f>
        <v>8947680</v>
      </c>
      <c r="K116" s="2"/>
      <c r="L116" s="2"/>
      <c r="M116" s="2">
        <f t="shared" si="35"/>
        <v>0</v>
      </c>
      <c r="N116" s="2"/>
      <c r="O116" s="15"/>
      <c r="P116" s="2">
        <f t="shared" si="36"/>
        <v>0</v>
      </c>
    </row>
    <row r="117" spans="1:16" ht="38.25" hidden="1" customHeight="1" x14ac:dyDescent="0.25">
      <c r="A117" s="509" t="s">
        <v>477</v>
      </c>
      <c r="B117" s="509"/>
      <c r="C117" s="276"/>
      <c r="D117" s="276"/>
      <c r="E117" s="219">
        <v>851</v>
      </c>
      <c r="F117" s="1" t="s">
        <v>84</v>
      </c>
      <c r="G117" s="1" t="s">
        <v>17</v>
      </c>
      <c r="H117" s="1" t="s">
        <v>560</v>
      </c>
      <c r="I117" s="15"/>
      <c r="J117" s="2">
        <f t="shared" ref="J117:N118" si="63">J118</f>
        <v>2860620</v>
      </c>
      <c r="K117" s="2">
        <f t="shared" si="63"/>
        <v>0</v>
      </c>
      <c r="L117" s="2"/>
      <c r="M117" s="2">
        <f t="shared" si="35"/>
        <v>0</v>
      </c>
      <c r="N117" s="2">
        <f t="shared" si="63"/>
        <v>0</v>
      </c>
      <c r="O117" s="15"/>
      <c r="P117" s="2">
        <f t="shared" si="36"/>
        <v>0</v>
      </c>
    </row>
    <row r="118" spans="1:16" ht="24.75" hidden="1" customHeight="1" x14ac:dyDescent="0.25">
      <c r="A118" s="276"/>
      <c r="B118" s="217" t="s">
        <v>91</v>
      </c>
      <c r="C118" s="276"/>
      <c r="D118" s="276"/>
      <c r="E118" s="219">
        <v>851</v>
      </c>
      <c r="F118" s="1" t="s">
        <v>84</v>
      </c>
      <c r="G118" s="1" t="s">
        <v>17</v>
      </c>
      <c r="H118" s="1" t="s">
        <v>560</v>
      </c>
      <c r="I118" s="15">
        <v>600</v>
      </c>
      <c r="J118" s="2">
        <f t="shared" si="63"/>
        <v>2860620</v>
      </c>
      <c r="K118" s="2">
        <f t="shared" si="63"/>
        <v>0</v>
      </c>
      <c r="L118" s="2"/>
      <c r="M118" s="2">
        <f t="shared" si="35"/>
        <v>0</v>
      </c>
      <c r="N118" s="2">
        <f t="shared" si="63"/>
        <v>0</v>
      </c>
      <c r="O118" s="15"/>
      <c r="P118" s="2">
        <f t="shared" si="36"/>
        <v>0</v>
      </c>
    </row>
    <row r="119" spans="1:16" ht="38.25" hidden="1" customHeight="1" x14ac:dyDescent="0.25">
      <c r="A119" s="276"/>
      <c r="B119" s="276" t="s">
        <v>88</v>
      </c>
      <c r="C119" s="276"/>
      <c r="D119" s="276"/>
      <c r="E119" s="219">
        <v>851</v>
      </c>
      <c r="F119" s="1" t="s">
        <v>84</v>
      </c>
      <c r="G119" s="1" t="s">
        <v>17</v>
      </c>
      <c r="H119" s="1" t="s">
        <v>560</v>
      </c>
      <c r="I119" s="15">
        <v>611</v>
      </c>
      <c r="J119" s="2">
        <f>2816100+44520</f>
        <v>2860620</v>
      </c>
      <c r="K119" s="2">
        <v>0</v>
      </c>
      <c r="L119" s="2"/>
      <c r="M119" s="2">
        <f t="shared" si="35"/>
        <v>0</v>
      </c>
      <c r="N119" s="2">
        <v>0</v>
      </c>
      <c r="O119" s="15"/>
      <c r="P119" s="2">
        <f t="shared" si="36"/>
        <v>0</v>
      </c>
    </row>
    <row r="120" spans="1:16" ht="48.75" customHeight="1" x14ac:dyDescent="0.25">
      <c r="A120" s="509" t="s">
        <v>86</v>
      </c>
      <c r="B120" s="509"/>
      <c r="C120" s="276"/>
      <c r="D120" s="276"/>
      <c r="E120" s="219">
        <v>851</v>
      </c>
      <c r="F120" s="1" t="s">
        <v>84</v>
      </c>
      <c r="G120" s="1" t="s">
        <v>17</v>
      </c>
      <c r="H120" s="1" t="s">
        <v>561</v>
      </c>
      <c r="I120" s="1"/>
      <c r="J120" s="2">
        <f t="shared" ref="J120:N121" si="64">J121</f>
        <v>9540</v>
      </c>
      <c r="K120" s="2">
        <f t="shared" si="64"/>
        <v>9540</v>
      </c>
      <c r="L120" s="2"/>
      <c r="M120" s="2">
        <f t="shared" si="35"/>
        <v>9540</v>
      </c>
      <c r="N120" s="2">
        <f t="shared" si="64"/>
        <v>9540</v>
      </c>
      <c r="O120" s="15"/>
      <c r="P120" s="2">
        <f t="shared" si="36"/>
        <v>9540</v>
      </c>
    </row>
    <row r="121" spans="1:16" ht="24" customHeight="1" x14ac:dyDescent="0.25">
      <c r="A121" s="276"/>
      <c r="B121" s="217" t="s">
        <v>91</v>
      </c>
      <c r="C121" s="276"/>
      <c r="D121" s="276"/>
      <c r="E121" s="219">
        <v>851</v>
      </c>
      <c r="F121" s="1" t="s">
        <v>84</v>
      </c>
      <c r="G121" s="1" t="s">
        <v>17</v>
      </c>
      <c r="H121" s="1" t="s">
        <v>561</v>
      </c>
      <c r="I121" s="1" t="s">
        <v>87</v>
      </c>
      <c r="J121" s="2">
        <f t="shared" si="64"/>
        <v>9540</v>
      </c>
      <c r="K121" s="2">
        <f t="shared" si="64"/>
        <v>9540</v>
      </c>
      <c r="L121" s="2"/>
      <c r="M121" s="2">
        <f t="shared" si="35"/>
        <v>9540</v>
      </c>
      <c r="N121" s="2">
        <f t="shared" si="64"/>
        <v>9540</v>
      </c>
      <c r="O121" s="15"/>
      <c r="P121" s="2">
        <f t="shared" si="36"/>
        <v>9540</v>
      </c>
    </row>
    <row r="122" spans="1:16" ht="38.25" customHeight="1" x14ac:dyDescent="0.25">
      <c r="A122" s="276"/>
      <c r="B122" s="276" t="s">
        <v>88</v>
      </c>
      <c r="C122" s="276"/>
      <c r="D122" s="276"/>
      <c r="E122" s="219">
        <v>851</v>
      </c>
      <c r="F122" s="1" t="s">
        <v>84</v>
      </c>
      <c r="G122" s="1" t="s">
        <v>17</v>
      </c>
      <c r="H122" s="1" t="s">
        <v>561</v>
      </c>
      <c r="I122" s="1" t="s">
        <v>89</v>
      </c>
      <c r="J122" s="2">
        <v>9540</v>
      </c>
      <c r="K122" s="2">
        <v>9540</v>
      </c>
      <c r="L122" s="2"/>
      <c r="M122" s="2">
        <f t="shared" si="35"/>
        <v>9540</v>
      </c>
      <c r="N122" s="2">
        <v>9540</v>
      </c>
      <c r="O122" s="15"/>
      <c r="P122" s="2">
        <f t="shared" si="36"/>
        <v>9540</v>
      </c>
    </row>
    <row r="123" spans="1:16" ht="25.5" customHeight="1" x14ac:dyDescent="0.25">
      <c r="A123" s="509" t="s">
        <v>92</v>
      </c>
      <c r="B123" s="509"/>
      <c r="C123" s="276"/>
      <c r="D123" s="276"/>
      <c r="E123" s="219">
        <v>851</v>
      </c>
      <c r="F123" s="1" t="s">
        <v>84</v>
      </c>
      <c r="G123" s="1" t="s">
        <v>17</v>
      </c>
      <c r="H123" s="1" t="s">
        <v>562</v>
      </c>
      <c r="I123" s="1"/>
      <c r="J123" s="2">
        <f t="shared" ref="J123:N124" si="65">J124</f>
        <v>100000</v>
      </c>
      <c r="K123" s="2">
        <f t="shared" si="65"/>
        <v>100000</v>
      </c>
      <c r="L123" s="2"/>
      <c r="M123" s="2">
        <f t="shared" si="35"/>
        <v>100000</v>
      </c>
      <c r="N123" s="2">
        <f t="shared" si="65"/>
        <v>100000</v>
      </c>
      <c r="O123" s="15"/>
      <c r="P123" s="2">
        <f t="shared" si="36"/>
        <v>100000</v>
      </c>
    </row>
    <row r="124" spans="1:16" ht="15" customHeight="1" x14ac:dyDescent="0.25">
      <c r="A124" s="15"/>
      <c r="B124" s="276" t="s">
        <v>27</v>
      </c>
      <c r="C124" s="275"/>
      <c r="D124" s="275"/>
      <c r="E124" s="219">
        <v>851</v>
      </c>
      <c r="F124" s="1" t="s">
        <v>84</v>
      </c>
      <c r="G124" s="1" t="s">
        <v>17</v>
      </c>
      <c r="H124" s="1" t="s">
        <v>562</v>
      </c>
      <c r="I124" s="1" t="s">
        <v>28</v>
      </c>
      <c r="J124" s="2">
        <f t="shared" si="65"/>
        <v>100000</v>
      </c>
      <c r="K124" s="2">
        <f t="shared" si="65"/>
        <v>100000</v>
      </c>
      <c r="L124" s="2"/>
      <c r="M124" s="2">
        <f t="shared" si="35"/>
        <v>100000</v>
      </c>
      <c r="N124" s="2">
        <f t="shared" si="65"/>
        <v>100000</v>
      </c>
      <c r="O124" s="15"/>
      <c r="P124" s="2">
        <f t="shared" si="36"/>
        <v>100000</v>
      </c>
    </row>
    <row r="125" spans="1:16" ht="24" customHeight="1" x14ac:dyDescent="0.25">
      <c r="A125" s="15"/>
      <c r="B125" s="276" t="s">
        <v>29</v>
      </c>
      <c r="C125" s="276"/>
      <c r="D125" s="276"/>
      <c r="E125" s="219">
        <v>851</v>
      </c>
      <c r="F125" s="1" t="s">
        <v>84</v>
      </c>
      <c r="G125" s="1" t="s">
        <v>17</v>
      </c>
      <c r="H125" s="1" t="s">
        <v>562</v>
      </c>
      <c r="I125" s="1" t="s">
        <v>30</v>
      </c>
      <c r="J125" s="2">
        <v>100000</v>
      </c>
      <c r="K125" s="2">
        <v>100000</v>
      </c>
      <c r="L125" s="2"/>
      <c r="M125" s="2">
        <f t="shared" si="35"/>
        <v>100000</v>
      </c>
      <c r="N125" s="2">
        <v>100000</v>
      </c>
      <c r="O125" s="15"/>
      <c r="P125" s="2">
        <f t="shared" si="36"/>
        <v>100000</v>
      </c>
    </row>
    <row r="126" spans="1:16" x14ac:dyDescent="0.25">
      <c r="A126" s="509" t="s">
        <v>93</v>
      </c>
      <c r="B126" s="509"/>
      <c r="C126" s="276"/>
      <c r="D126" s="276"/>
      <c r="E126" s="219">
        <v>851</v>
      </c>
      <c r="F126" s="1" t="s">
        <v>84</v>
      </c>
      <c r="G126" s="1" t="s">
        <v>17</v>
      </c>
      <c r="H126" s="1" t="s">
        <v>563</v>
      </c>
      <c r="I126" s="1"/>
      <c r="J126" s="2">
        <f>J127</f>
        <v>200000</v>
      </c>
      <c r="K126" s="2">
        <f>K127</f>
        <v>200000</v>
      </c>
      <c r="L126" s="2"/>
      <c r="M126" s="2">
        <f t="shared" si="35"/>
        <v>200000</v>
      </c>
      <c r="N126" s="2">
        <f>N127</f>
        <v>200000</v>
      </c>
      <c r="O126" s="15"/>
      <c r="P126" s="2">
        <f t="shared" si="36"/>
        <v>200000</v>
      </c>
    </row>
    <row r="127" spans="1:16" ht="15" customHeight="1" x14ac:dyDescent="0.25">
      <c r="A127" s="15"/>
      <c r="B127" s="276" t="s">
        <v>27</v>
      </c>
      <c r="C127" s="275"/>
      <c r="D127" s="275"/>
      <c r="E127" s="219">
        <v>851</v>
      </c>
      <c r="F127" s="1" t="s">
        <v>84</v>
      </c>
      <c r="G127" s="1" t="s">
        <v>17</v>
      </c>
      <c r="H127" s="1" t="s">
        <v>563</v>
      </c>
      <c r="I127" s="1" t="s">
        <v>28</v>
      </c>
      <c r="J127" s="2">
        <f t="shared" ref="J127:N127" si="66">J128</f>
        <v>200000</v>
      </c>
      <c r="K127" s="2">
        <f t="shared" si="66"/>
        <v>200000</v>
      </c>
      <c r="L127" s="2"/>
      <c r="M127" s="2">
        <f t="shared" si="35"/>
        <v>200000</v>
      </c>
      <c r="N127" s="2">
        <f t="shared" si="66"/>
        <v>200000</v>
      </c>
      <c r="O127" s="15"/>
      <c r="P127" s="2">
        <f t="shared" si="36"/>
        <v>200000</v>
      </c>
    </row>
    <row r="128" spans="1:16" ht="24.75" customHeight="1" x14ac:dyDescent="0.25">
      <c r="A128" s="15"/>
      <c r="B128" s="276" t="s">
        <v>29</v>
      </c>
      <c r="C128" s="276"/>
      <c r="D128" s="276"/>
      <c r="E128" s="219">
        <v>851</v>
      </c>
      <c r="F128" s="1" t="s">
        <v>84</v>
      </c>
      <c r="G128" s="1" t="s">
        <v>17</v>
      </c>
      <c r="H128" s="1" t="s">
        <v>563</v>
      </c>
      <c r="I128" s="1" t="s">
        <v>30</v>
      </c>
      <c r="J128" s="2">
        <v>200000</v>
      </c>
      <c r="K128" s="2">
        <v>200000</v>
      </c>
      <c r="L128" s="2"/>
      <c r="M128" s="2">
        <f t="shared" si="35"/>
        <v>200000</v>
      </c>
      <c r="N128" s="2">
        <v>200000</v>
      </c>
      <c r="O128" s="15"/>
      <c r="P128" s="2">
        <f t="shared" si="36"/>
        <v>200000</v>
      </c>
    </row>
    <row r="129" spans="1:16" ht="15.75" customHeight="1" x14ac:dyDescent="0.25">
      <c r="A129" s="508" t="s">
        <v>94</v>
      </c>
      <c r="B129" s="508"/>
      <c r="C129" s="285"/>
      <c r="D129" s="285"/>
      <c r="E129" s="219">
        <v>851</v>
      </c>
      <c r="F129" s="11" t="s">
        <v>84</v>
      </c>
      <c r="G129" s="11" t="s">
        <v>6</v>
      </c>
      <c r="H129" s="11"/>
      <c r="I129" s="11"/>
      <c r="J129" s="22">
        <f t="shared" ref="J129:P131" si="67">J130</f>
        <v>15000</v>
      </c>
      <c r="K129" s="22">
        <f t="shared" si="67"/>
        <v>15000</v>
      </c>
      <c r="L129" s="22">
        <f t="shared" si="67"/>
        <v>0</v>
      </c>
      <c r="M129" s="22">
        <f t="shared" si="67"/>
        <v>15000</v>
      </c>
      <c r="N129" s="22">
        <f t="shared" si="67"/>
        <v>15000</v>
      </c>
      <c r="O129" s="22">
        <f t="shared" si="67"/>
        <v>0</v>
      </c>
      <c r="P129" s="22">
        <f t="shared" si="67"/>
        <v>15000</v>
      </c>
    </row>
    <row r="130" spans="1:16" x14ac:dyDescent="0.25">
      <c r="A130" s="509" t="s">
        <v>95</v>
      </c>
      <c r="B130" s="509"/>
      <c r="C130" s="276"/>
      <c r="D130" s="276"/>
      <c r="E130" s="219">
        <v>851</v>
      </c>
      <c r="F130" s="1" t="s">
        <v>84</v>
      </c>
      <c r="G130" s="1" t="s">
        <v>6</v>
      </c>
      <c r="H130" s="1" t="s">
        <v>564</v>
      </c>
      <c r="I130" s="1"/>
      <c r="J130" s="2">
        <f t="shared" si="67"/>
        <v>15000</v>
      </c>
      <c r="K130" s="2">
        <f t="shared" si="67"/>
        <v>15000</v>
      </c>
      <c r="L130" s="2"/>
      <c r="M130" s="2">
        <f t="shared" si="35"/>
        <v>15000</v>
      </c>
      <c r="N130" s="2">
        <f t="shared" si="67"/>
        <v>15000</v>
      </c>
      <c r="O130" s="15"/>
      <c r="P130" s="2">
        <f t="shared" si="36"/>
        <v>15000</v>
      </c>
    </row>
    <row r="131" spans="1:16" ht="11.25" customHeight="1" x14ac:dyDescent="0.25">
      <c r="A131" s="15"/>
      <c r="B131" s="276" t="s">
        <v>27</v>
      </c>
      <c r="C131" s="275"/>
      <c r="D131" s="275"/>
      <c r="E131" s="219">
        <v>851</v>
      </c>
      <c r="F131" s="1" t="s">
        <v>84</v>
      </c>
      <c r="G131" s="1" t="s">
        <v>6</v>
      </c>
      <c r="H131" s="1" t="s">
        <v>564</v>
      </c>
      <c r="I131" s="1" t="s">
        <v>28</v>
      </c>
      <c r="J131" s="2">
        <f t="shared" si="67"/>
        <v>15000</v>
      </c>
      <c r="K131" s="2">
        <f t="shared" si="67"/>
        <v>15000</v>
      </c>
      <c r="L131" s="2"/>
      <c r="M131" s="2">
        <f t="shared" si="35"/>
        <v>15000</v>
      </c>
      <c r="N131" s="2">
        <f t="shared" si="67"/>
        <v>15000</v>
      </c>
      <c r="O131" s="15"/>
      <c r="P131" s="2">
        <f t="shared" si="36"/>
        <v>15000</v>
      </c>
    </row>
    <row r="132" spans="1:16" ht="23.25" customHeight="1" x14ac:dyDescent="0.25">
      <c r="A132" s="15"/>
      <c r="B132" s="276" t="s">
        <v>29</v>
      </c>
      <c r="C132" s="276"/>
      <c r="D132" s="276"/>
      <c r="E132" s="219">
        <v>851</v>
      </c>
      <c r="F132" s="1" t="s">
        <v>84</v>
      </c>
      <c r="G132" s="1" t="s">
        <v>6</v>
      </c>
      <c r="H132" s="1" t="s">
        <v>564</v>
      </c>
      <c r="I132" s="1" t="s">
        <v>30</v>
      </c>
      <c r="J132" s="2">
        <v>15000</v>
      </c>
      <c r="K132" s="2">
        <v>15000</v>
      </c>
      <c r="L132" s="2"/>
      <c r="M132" s="2">
        <f t="shared" si="35"/>
        <v>15000</v>
      </c>
      <c r="N132" s="2">
        <v>15000</v>
      </c>
      <c r="O132" s="15"/>
      <c r="P132" s="2">
        <f t="shared" si="36"/>
        <v>15000</v>
      </c>
    </row>
    <row r="133" spans="1:16" x14ac:dyDescent="0.25">
      <c r="A133" s="503" t="s">
        <v>96</v>
      </c>
      <c r="B133" s="503"/>
      <c r="C133" s="284"/>
      <c r="D133" s="284"/>
      <c r="E133" s="219">
        <v>851</v>
      </c>
      <c r="F133" s="7" t="s">
        <v>0</v>
      </c>
      <c r="G133" s="7"/>
      <c r="H133" s="7"/>
      <c r="I133" s="7"/>
      <c r="J133" s="8">
        <f>J134+J138+J142+J146</f>
        <v>11451235</v>
      </c>
      <c r="K133" s="8">
        <f>K134+K138+K142+K146</f>
        <v>11261460</v>
      </c>
      <c r="L133" s="8">
        <f t="shared" ref="L133:P133" si="68">L134+L138+L142+L146</f>
        <v>0</v>
      </c>
      <c r="M133" s="8">
        <f t="shared" si="68"/>
        <v>11261460</v>
      </c>
      <c r="N133" s="8">
        <f t="shared" si="68"/>
        <v>11261460</v>
      </c>
      <c r="O133" s="8">
        <f t="shared" si="68"/>
        <v>0</v>
      </c>
      <c r="P133" s="8">
        <f t="shared" si="68"/>
        <v>11261460</v>
      </c>
    </row>
    <row r="134" spans="1:16" x14ac:dyDescent="0.25">
      <c r="A134" s="508" t="s">
        <v>97</v>
      </c>
      <c r="B134" s="508"/>
      <c r="C134" s="285"/>
      <c r="D134" s="285"/>
      <c r="E134" s="219">
        <v>851</v>
      </c>
      <c r="F134" s="11" t="s">
        <v>0</v>
      </c>
      <c r="G134" s="11" t="s">
        <v>17</v>
      </c>
      <c r="H134" s="11"/>
      <c r="I134" s="11"/>
      <c r="J134" s="12">
        <f t="shared" ref="J134:P136" si="69">J135</f>
        <v>2587000</v>
      </c>
      <c r="K134" s="12">
        <f t="shared" si="69"/>
        <v>2587000</v>
      </c>
      <c r="L134" s="12">
        <f t="shared" si="69"/>
        <v>0</v>
      </c>
      <c r="M134" s="12">
        <f t="shared" si="69"/>
        <v>2587000</v>
      </c>
      <c r="N134" s="12">
        <f t="shared" si="69"/>
        <v>2587000</v>
      </c>
      <c r="O134" s="12">
        <f t="shared" si="69"/>
        <v>0</v>
      </c>
      <c r="P134" s="12">
        <f t="shared" si="69"/>
        <v>2587000</v>
      </c>
    </row>
    <row r="135" spans="1:16" ht="36.75" customHeight="1" x14ac:dyDescent="0.25">
      <c r="A135" s="509" t="s">
        <v>98</v>
      </c>
      <c r="B135" s="509"/>
      <c r="C135" s="276"/>
      <c r="D135" s="276"/>
      <c r="E135" s="219">
        <v>851</v>
      </c>
      <c r="F135" s="1" t="s">
        <v>0</v>
      </c>
      <c r="G135" s="1" t="s">
        <v>17</v>
      </c>
      <c r="H135" s="1" t="s">
        <v>567</v>
      </c>
      <c r="I135" s="1"/>
      <c r="J135" s="2">
        <f t="shared" si="69"/>
        <v>2587000</v>
      </c>
      <c r="K135" s="2">
        <f t="shared" si="69"/>
        <v>2587000</v>
      </c>
      <c r="L135" s="2"/>
      <c r="M135" s="2">
        <f t="shared" si="35"/>
        <v>2587000</v>
      </c>
      <c r="N135" s="2">
        <f t="shared" si="69"/>
        <v>2587000</v>
      </c>
      <c r="O135" s="15"/>
      <c r="P135" s="2">
        <f t="shared" si="36"/>
        <v>2587000</v>
      </c>
    </row>
    <row r="136" spans="1:16" ht="14.25" customHeight="1" x14ac:dyDescent="0.25">
      <c r="A136" s="241"/>
      <c r="B136" s="275" t="s">
        <v>99</v>
      </c>
      <c r="C136" s="275"/>
      <c r="D136" s="275"/>
      <c r="E136" s="219">
        <v>851</v>
      </c>
      <c r="F136" s="1" t="s">
        <v>0</v>
      </c>
      <c r="G136" s="1" t="s">
        <v>17</v>
      </c>
      <c r="H136" s="1" t="s">
        <v>567</v>
      </c>
      <c r="I136" s="1" t="s">
        <v>100</v>
      </c>
      <c r="J136" s="2">
        <f t="shared" si="69"/>
        <v>2587000</v>
      </c>
      <c r="K136" s="2">
        <f t="shared" si="69"/>
        <v>2587000</v>
      </c>
      <c r="L136" s="2"/>
      <c r="M136" s="2">
        <f t="shared" si="35"/>
        <v>2587000</v>
      </c>
      <c r="N136" s="2">
        <f t="shared" si="69"/>
        <v>2587000</v>
      </c>
      <c r="O136" s="15"/>
      <c r="P136" s="2">
        <f t="shared" si="36"/>
        <v>2587000</v>
      </c>
    </row>
    <row r="137" spans="1:16" ht="24.75" customHeight="1" x14ac:dyDescent="0.25">
      <c r="A137" s="241"/>
      <c r="B137" s="275" t="s">
        <v>134</v>
      </c>
      <c r="C137" s="275"/>
      <c r="D137" s="275"/>
      <c r="E137" s="219">
        <v>851</v>
      </c>
      <c r="F137" s="1" t="s">
        <v>0</v>
      </c>
      <c r="G137" s="1" t="s">
        <v>17</v>
      </c>
      <c r="H137" s="1" t="s">
        <v>567</v>
      </c>
      <c r="I137" s="1" t="s">
        <v>101</v>
      </c>
      <c r="J137" s="2">
        <v>2587000</v>
      </c>
      <c r="K137" s="2">
        <v>2587000</v>
      </c>
      <c r="L137" s="2"/>
      <c r="M137" s="2">
        <f t="shared" si="35"/>
        <v>2587000</v>
      </c>
      <c r="N137" s="2">
        <v>2587000</v>
      </c>
      <c r="O137" s="15"/>
      <c r="P137" s="2">
        <f t="shared" si="36"/>
        <v>2587000</v>
      </c>
    </row>
    <row r="138" spans="1:16" x14ac:dyDescent="0.25">
      <c r="A138" s="508" t="s">
        <v>102</v>
      </c>
      <c r="B138" s="508"/>
      <c r="C138" s="280"/>
      <c r="D138" s="280"/>
      <c r="E138" s="219">
        <v>851</v>
      </c>
      <c r="F138" s="11" t="s">
        <v>0</v>
      </c>
      <c r="G138" s="11" t="s">
        <v>3</v>
      </c>
      <c r="H138" s="11"/>
      <c r="I138" s="11"/>
      <c r="J138" s="12">
        <f>J139</f>
        <v>582660</v>
      </c>
      <c r="K138" s="12">
        <f t="shared" ref="K138:P138" si="70">K139</f>
        <v>582660</v>
      </c>
      <c r="L138" s="12">
        <f t="shared" si="70"/>
        <v>0</v>
      </c>
      <c r="M138" s="12">
        <f t="shared" si="70"/>
        <v>582660</v>
      </c>
      <c r="N138" s="12">
        <f t="shared" si="70"/>
        <v>582660</v>
      </c>
      <c r="O138" s="12">
        <f t="shared" si="70"/>
        <v>0</v>
      </c>
      <c r="P138" s="12">
        <f t="shared" si="70"/>
        <v>582660</v>
      </c>
    </row>
    <row r="139" spans="1:16" ht="27" customHeight="1" x14ac:dyDescent="0.25">
      <c r="A139" s="530" t="s">
        <v>138</v>
      </c>
      <c r="B139" s="530"/>
      <c r="C139" s="275"/>
      <c r="D139" s="275"/>
      <c r="E139" s="219">
        <v>851</v>
      </c>
      <c r="F139" s="1" t="s">
        <v>0</v>
      </c>
      <c r="G139" s="1" t="s">
        <v>3</v>
      </c>
      <c r="H139" s="1" t="s">
        <v>570</v>
      </c>
      <c r="I139" s="1"/>
      <c r="J139" s="2">
        <f t="shared" ref="J139:N140" si="71">J140</f>
        <v>582660</v>
      </c>
      <c r="K139" s="2">
        <f t="shared" si="71"/>
        <v>582660</v>
      </c>
      <c r="L139" s="2"/>
      <c r="M139" s="2">
        <f t="shared" si="35"/>
        <v>582660</v>
      </c>
      <c r="N139" s="2">
        <f t="shared" si="71"/>
        <v>582660</v>
      </c>
      <c r="O139" s="15"/>
      <c r="P139" s="2">
        <f t="shared" si="36"/>
        <v>582660</v>
      </c>
    </row>
    <row r="140" spans="1:16" ht="13.5" customHeight="1" x14ac:dyDescent="0.25">
      <c r="A140" s="241"/>
      <c r="B140" s="275" t="s">
        <v>99</v>
      </c>
      <c r="C140" s="275"/>
      <c r="D140" s="275"/>
      <c r="E140" s="219">
        <v>851</v>
      </c>
      <c r="F140" s="1" t="s">
        <v>0</v>
      </c>
      <c r="G140" s="1" t="s">
        <v>3</v>
      </c>
      <c r="H140" s="1" t="s">
        <v>570</v>
      </c>
      <c r="I140" s="1" t="s">
        <v>100</v>
      </c>
      <c r="J140" s="2">
        <f t="shared" si="71"/>
        <v>582660</v>
      </c>
      <c r="K140" s="2">
        <f t="shared" si="71"/>
        <v>582660</v>
      </c>
      <c r="L140" s="2"/>
      <c r="M140" s="2">
        <f t="shared" ref="M140:M203" si="72">K140+L140</f>
        <v>582660</v>
      </c>
      <c r="N140" s="2">
        <f t="shared" si="71"/>
        <v>582660</v>
      </c>
      <c r="O140" s="15"/>
      <c r="P140" s="2">
        <f t="shared" ref="P140:P203" si="73">N140+O140</f>
        <v>582660</v>
      </c>
    </row>
    <row r="141" spans="1:16" ht="13.5" customHeight="1" x14ac:dyDescent="0.25">
      <c r="A141" s="241"/>
      <c r="B141" s="275" t="s">
        <v>139</v>
      </c>
      <c r="C141" s="275"/>
      <c r="D141" s="275"/>
      <c r="E141" s="219">
        <v>851</v>
      </c>
      <c r="F141" s="1" t="s">
        <v>0</v>
      </c>
      <c r="G141" s="1" t="s">
        <v>3</v>
      </c>
      <c r="H141" s="1" t="s">
        <v>570</v>
      </c>
      <c r="I141" s="1" t="s">
        <v>140</v>
      </c>
      <c r="J141" s="2">
        <v>582660</v>
      </c>
      <c r="K141" s="2">
        <v>582660</v>
      </c>
      <c r="L141" s="2"/>
      <c r="M141" s="2">
        <f t="shared" si="72"/>
        <v>582660</v>
      </c>
      <c r="N141" s="2">
        <v>582660</v>
      </c>
      <c r="O141" s="15"/>
      <c r="P141" s="2">
        <f t="shared" si="73"/>
        <v>582660</v>
      </c>
    </row>
    <row r="142" spans="1:16" x14ac:dyDescent="0.25">
      <c r="A142" s="508" t="s">
        <v>103</v>
      </c>
      <c r="B142" s="508"/>
      <c r="C142" s="285"/>
      <c r="D142" s="285"/>
      <c r="E142" s="219">
        <v>851</v>
      </c>
      <c r="F142" s="11" t="s">
        <v>0</v>
      </c>
      <c r="G142" s="11" t="s">
        <v>6</v>
      </c>
      <c r="H142" s="11"/>
      <c r="I142" s="11"/>
      <c r="J142" s="12">
        <f t="shared" ref="J142:P142" si="74">J144</f>
        <v>8011575</v>
      </c>
      <c r="K142" s="12">
        <f t="shared" si="74"/>
        <v>7821800</v>
      </c>
      <c r="L142" s="12">
        <f t="shared" si="74"/>
        <v>0</v>
      </c>
      <c r="M142" s="12">
        <f t="shared" si="74"/>
        <v>7821800</v>
      </c>
      <c r="N142" s="12">
        <f t="shared" si="74"/>
        <v>7821800</v>
      </c>
      <c r="O142" s="12">
        <f t="shared" si="74"/>
        <v>0</v>
      </c>
      <c r="P142" s="12">
        <f t="shared" si="74"/>
        <v>7821800</v>
      </c>
    </row>
    <row r="143" spans="1:16" s="23" customFormat="1" ht="48" customHeight="1" x14ac:dyDescent="0.25">
      <c r="A143" s="509" t="s">
        <v>468</v>
      </c>
      <c r="B143" s="509"/>
      <c r="C143" s="278"/>
      <c r="D143" s="276"/>
      <c r="E143" s="219">
        <v>851</v>
      </c>
      <c r="F143" s="18" t="s">
        <v>0</v>
      </c>
      <c r="G143" s="18" t="s">
        <v>6</v>
      </c>
      <c r="H143" s="18" t="s">
        <v>569</v>
      </c>
      <c r="I143" s="18"/>
      <c r="J143" s="21">
        <f t="shared" ref="J143:N144" si="75">J144</f>
        <v>8011575</v>
      </c>
      <c r="K143" s="21">
        <f t="shared" si="75"/>
        <v>7821800</v>
      </c>
      <c r="L143" s="21"/>
      <c r="M143" s="2">
        <f t="shared" si="72"/>
        <v>7821800</v>
      </c>
      <c r="N143" s="21">
        <f t="shared" si="75"/>
        <v>7821800</v>
      </c>
      <c r="O143" s="328"/>
      <c r="P143" s="2">
        <f t="shared" si="73"/>
        <v>7821800</v>
      </c>
    </row>
    <row r="144" spans="1:16" ht="14.25" customHeight="1" x14ac:dyDescent="0.25">
      <c r="A144" s="15"/>
      <c r="B144" s="275" t="s">
        <v>99</v>
      </c>
      <c r="C144" s="278"/>
      <c r="D144" s="278"/>
      <c r="E144" s="219">
        <v>851</v>
      </c>
      <c r="F144" s="18" t="s">
        <v>0</v>
      </c>
      <c r="G144" s="18" t="s">
        <v>6</v>
      </c>
      <c r="H144" s="18" t="s">
        <v>569</v>
      </c>
      <c r="I144" s="1" t="s">
        <v>100</v>
      </c>
      <c r="J144" s="2">
        <f t="shared" si="75"/>
        <v>8011575</v>
      </c>
      <c r="K144" s="2">
        <f t="shared" si="75"/>
        <v>7821800</v>
      </c>
      <c r="L144" s="2"/>
      <c r="M144" s="2">
        <f t="shared" si="72"/>
        <v>7821800</v>
      </c>
      <c r="N144" s="2">
        <f t="shared" si="75"/>
        <v>7821800</v>
      </c>
      <c r="O144" s="15"/>
      <c r="P144" s="2">
        <f t="shared" si="73"/>
        <v>7821800</v>
      </c>
    </row>
    <row r="145" spans="1:16" s="23" customFormat="1" ht="24" customHeight="1" x14ac:dyDescent="0.25">
      <c r="A145" s="276"/>
      <c r="B145" s="276" t="s">
        <v>104</v>
      </c>
      <c r="C145" s="278"/>
      <c r="D145" s="278"/>
      <c r="E145" s="219">
        <v>851</v>
      </c>
      <c r="F145" s="18" t="s">
        <v>0</v>
      </c>
      <c r="G145" s="18" t="s">
        <v>6</v>
      </c>
      <c r="H145" s="18" t="s">
        <v>569</v>
      </c>
      <c r="I145" s="18" t="s">
        <v>105</v>
      </c>
      <c r="J145" s="21">
        <v>8011575</v>
      </c>
      <c r="K145" s="21">
        <v>7821800</v>
      </c>
      <c r="L145" s="21"/>
      <c r="M145" s="2">
        <f t="shared" si="72"/>
        <v>7821800</v>
      </c>
      <c r="N145" s="21">
        <v>7821800</v>
      </c>
      <c r="O145" s="328"/>
      <c r="P145" s="2">
        <f t="shared" si="73"/>
        <v>7821800</v>
      </c>
    </row>
    <row r="146" spans="1:16" x14ac:dyDescent="0.25">
      <c r="A146" s="508" t="s">
        <v>106</v>
      </c>
      <c r="B146" s="508"/>
      <c r="C146" s="285"/>
      <c r="D146" s="285"/>
      <c r="E146" s="219">
        <v>851</v>
      </c>
      <c r="F146" s="11" t="s">
        <v>0</v>
      </c>
      <c r="G146" s="11" t="s">
        <v>1</v>
      </c>
      <c r="H146" s="11"/>
      <c r="I146" s="11"/>
      <c r="J146" s="12">
        <f t="shared" ref="J146:P146" si="76">J147</f>
        <v>270000</v>
      </c>
      <c r="K146" s="12">
        <f t="shared" si="76"/>
        <v>270000</v>
      </c>
      <c r="L146" s="12">
        <f t="shared" si="76"/>
        <v>0</v>
      </c>
      <c r="M146" s="12">
        <f t="shared" si="76"/>
        <v>270000</v>
      </c>
      <c r="N146" s="12">
        <f t="shared" si="76"/>
        <v>270000</v>
      </c>
      <c r="O146" s="12">
        <f t="shared" si="76"/>
        <v>0</v>
      </c>
      <c r="P146" s="12">
        <f t="shared" si="76"/>
        <v>270000</v>
      </c>
    </row>
    <row r="147" spans="1:16" x14ac:dyDescent="0.25">
      <c r="A147" s="509" t="s">
        <v>107</v>
      </c>
      <c r="B147" s="509"/>
      <c r="C147" s="276"/>
      <c r="D147" s="276"/>
      <c r="E147" s="219">
        <v>851</v>
      </c>
      <c r="F147" s="1" t="s">
        <v>0</v>
      </c>
      <c r="G147" s="1" t="s">
        <v>1</v>
      </c>
      <c r="H147" s="18" t="s">
        <v>568</v>
      </c>
      <c r="I147" s="1"/>
      <c r="J147" s="2">
        <f t="shared" ref="J147:N147" si="77">J148+J150</f>
        <v>270000</v>
      </c>
      <c r="K147" s="2">
        <f t="shared" si="77"/>
        <v>270000</v>
      </c>
      <c r="L147" s="2"/>
      <c r="M147" s="2">
        <f t="shared" si="72"/>
        <v>270000</v>
      </c>
      <c r="N147" s="2">
        <f t="shared" si="77"/>
        <v>270000</v>
      </c>
      <c r="O147" s="15"/>
      <c r="P147" s="2">
        <f t="shared" si="73"/>
        <v>270000</v>
      </c>
    </row>
    <row r="148" spans="1:16" ht="12" customHeight="1" x14ac:dyDescent="0.25">
      <c r="A148" s="15"/>
      <c r="B148" s="276" t="s">
        <v>27</v>
      </c>
      <c r="C148" s="275"/>
      <c r="D148" s="275"/>
      <c r="E148" s="219">
        <v>851</v>
      </c>
      <c r="F148" s="18" t="s">
        <v>0</v>
      </c>
      <c r="G148" s="1" t="s">
        <v>1</v>
      </c>
      <c r="H148" s="18" t="s">
        <v>568</v>
      </c>
      <c r="I148" s="1" t="s">
        <v>28</v>
      </c>
      <c r="J148" s="2">
        <f t="shared" ref="J148:N148" si="78">J149</f>
        <v>90000</v>
      </c>
      <c r="K148" s="2">
        <f t="shared" si="78"/>
        <v>90000</v>
      </c>
      <c r="L148" s="2"/>
      <c r="M148" s="2">
        <f t="shared" si="72"/>
        <v>90000</v>
      </c>
      <c r="N148" s="2">
        <f t="shared" si="78"/>
        <v>90000</v>
      </c>
      <c r="O148" s="15"/>
      <c r="P148" s="2">
        <f t="shared" si="73"/>
        <v>90000</v>
      </c>
    </row>
    <row r="149" spans="1:16" ht="26.25" customHeight="1" x14ac:dyDescent="0.25">
      <c r="A149" s="15"/>
      <c r="B149" s="276" t="s">
        <v>29</v>
      </c>
      <c r="C149" s="276"/>
      <c r="D149" s="276"/>
      <c r="E149" s="219">
        <v>851</v>
      </c>
      <c r="F149" s="18" t="s">
        <v>0</v>
      </c>
      <c r="G149" s="1" t="s">
        <v>1</v>
      </c>
      <c r="H149" s="18" t="s">
        <v>568</v>
      </c>
      <c r="I149" s="1" t="s">
        <v>30</v>
      </c>
      <c r="J149" s="2">
        <v>90000</v>
      </c>
      <c r="K149" s="2">
        <v>90000</v>
      </c>
      <c r="L149" s="2"/>
      <c r="M149" s="2">
        <f t="shared" si="72"/>
        <v>90000</v>
      </c>
      <c r="N149" s="2">
        <v>90000</v>
      </c>
      <c r="O149" s="15"/>
      <c r="P149" s="2">
        <f t="shared" si="73"/>
        <v>90000</v>
      </c>
    </row>
    <row r="150" spans="1:16" ht="14.25" customHeight="1" x14ac:dyDescent="0.25">
      <c r="A150" s="241"/>
      <c r="B150" s="275" t="s">
        <v>99</v>
      </c>
      <c r="C150" s="275"/>
      <c r="D150" s="275"/>
      <c r="E150" s="219">
        <v>851</v>
      </c>
      <c r="F150" s="1" t="s">
        <v>0</v>
      </c>
      <c r="G150" s="1" t="s">
        <v>1</v>
      </c>
      <c r="H150" s="18" t="s">
        <v>568</v>
      </c>
      <c r="I150" s="1" t="s">
        <v>100</v>
      </c>
      <c r="J150" s="2">
        <f>J151</f>
        <v>180000</v>
      </c>
      <c r="K150" s="2">
        <f>K151</f>
        <v>180000</v>
      </c>
      <c r="L150" s="2"/>
      <c r="M150" s="2">
        <f t="shared" si="72"/>
        <v>180000</v>
      </c>
      <c r="N150" s="2">
        <f>N151</f>
        <v>180000</v>
      </c>
      <c r="O150" s="15"/>
      <c r="P150" s="2">
        <f t="shared" si="73"/>
        <v>180000</v>
      </c>
    </row>
    <row r="151" spans="1:16" ht="26.25" customHeight="1" x14ac:dyDescent="0.25">
      <c r="A151" s="241"/>
      <c r="B151" s="275" t="s">
        <v>252</v>
      </c>
      <c r="C151" s="275"/>
      <c r="D151" s="275"/>
      <c r="E151" s="219">
        <v>851</v>
      </c>
      <c r="F151" s="1" t="s">
        <v>0</v>
      </c>
      <c r="G151" s="1" t="s">
        <v>1</v>
      </c>
      <c r="H151" s="18" t="s">
        <v>568</v>
      </c>
      <c r="I151" s="1" t="s">
        <v>8</v>
      </c>
      <c r="J151" s="2">
        <v>180000</v>
      </c>
      <c r="K151" s="2">
        <v>180000</v>
      </c>
      <c r="L151" s="2"/>
      <c r="M151" s="2">
        <f t="shared" si="72"/>
        <v>180000</v>
      </c>
      <c r="N151" s="2">
        <v>180000</v>
      </c>
      <c r="O151" s="15"/>
      <c r="P151" s="2">
        <f t="shared" si="73"/>
        <v>180000</v>
      </c>
    </row>
    <row r="152" spans="1:16" x14ac:dyDescent="0.25">
      <c r="A152" s="503" t="s">
        <v>108</v>
      </c>
      <c r="B152" s="503"/>
      <c r="C152" s="284"/>
      <c r="D152" s="284"/>
      <c r="E152" s="219">
        <v>851</v>
      </c>
      <c r="F152" s="7" t="s">
        <v>38</v>
      </c>
      <c r="G152" s="7"/>
      <c r="H152" s="7"/>
      <c r="I152" s="7"/>
      <c r="J152" s="8">
        <f t="shared" ref="J152:P152" si="79">J153</f>
        <v>544000</v>
      </c>
      <c r="K152" s="8">
        <f t="shared" si="79"/>
        <v>260000</v>
      </c>
      <c r="L152" s="8">
        <f t="shared" si="79"/>
        <v>0</v>
      </c>
      <c r="M152" s="8">
        <f t="shared" si="79"/>
        <v>260000</v>
      </c>
      <c r="N152" s="8">
        <f t="shared" si="79"/>
        <v>260000</v>
      </c>
      <c r="O152" s="8">
        <f t="shared" si="79"/>
        <v>0</v>
      </c>
      <c r="P152" s="8">
        <f t="shared" si="79"/>
        <v>260000</v>
      </c>
    </row>
    <row r="153" spans="1:16" x14ac:dyDescent="0.25">
      <c r="A153" s="534" t="s">
        <v>109</v>
      </c>
      <c r="B153" s="534"/>
      <c r="C153" s="287"/>
      <c r="D153" s="287"/>
      <c r="E153" s="219">
        <v>851</v>
      </c>
      <c r="F153" s="11" t="s">
        <v>38</v>
      </c>
      <c r="G153" s="11" t="s">
        <v>72</v>
      </c>
      <c r="H153" s="11"/>
      <c r="I153" s="11"/>
      <c r="J153" s="12">
        <f t="shared" ref="J153:K153" si="80">J154+J157</f>
        <v>544000</v>
      </c>
      <c r="K153" s="12">
        <f t="shared" si="80"/>
        <v>260000</v>
      </c>
      <c r="L153" s="12">
        <f t="shared" ref="L153:P153" si="81">L154+L157</f>
        <v>0</v>
      </c>
      <c r="M153" s="12">
        <f t="shared" si="81"/>
        <v>260000</v>
      </c>
      <c r="N153" s="12">
        <f t="shared" si="81"/>
        <v>260000</v>
      </c>
      <c r="O153" s="12">
        <f t="shared" si="81"/>
        <v>0</v>
      </c>
      <c r="P153" s="12">
        <f t="shared" si="81"/>
        <v>260000</v>
      </c>
    </row>
    <row r="154" spans="1:16" s="24" customFormat="1" x14ac:dyDescent="0.25">
      <c r="A154" s="509" t="s">
        <v>110</v>
      </c>
      <c r="B154" s="509"/>
      <c r="C154" s="276"/>
      <c r="D154" s="276"/>
      <c r="E154" s="219">
        <v>851</v>
      </c>
      <c r="F154" s="1" t="s">
        <v>38</v>
      </c>
      <c r="G154" s="1" t="s">
        <v>72</v>
      </c>
      <c r="H154" s="18" t="s">
        <v>565</v>
      </c>
      <c r="I154" s="1"/>
      <c r="J154" s="2">
        <f t="shared" ref="J154:N155" si="82">J155</f>
        <v>260000</v>
      </c>
      <c r="K154" s="2">
        <f t="shared" si="82"/>
        <v>260000</v>
      </c>
      <c r="L154" s="2"/>
      <c r="M154" s="2">
        <f t="shared" si="72"/>
        <v>260000</v>
      </c>
      <c r="N154" s="2">
        <f t="shared" si="82"/>
        <v>260000</v>
      </c>
      <c r="O154" s="341"/>
      <c r="P154" s="2">
        <f t="shared" si="73"/>
        <v>260000</v>
      </c>
    </row>
    <row r="155" spans="1:16" ht="15" customHeight="1" x14ac:dyDescent="0.25">
      <c r="A155" s="15"/>
      <c r="B155" s="276" t="s">
        <v>27</v>
      </c>
      <c r="C155" s="275"/>
      <c r="D155" s="275"/>
      <c r="E155" s="219">
        <v>851</v>
      </c>
      <c r="F155" s="1" t="s">
        <v>38</v>
      </c>
      <c r="G155" s="1" t="s">
        <v>72</v>
      </c>
      <c r="H155" s="18" t="s">
        <v>565</v>
      </c>
      <c r="I155" s="1" t="s">
        <v>28</v>
      </c>
      <c r="J155" s="2">
        <f t="shared" si="82"/>
        <v>260000</v>
      </c>
      <c r="K155" s="2">
        <f t="shared" si="82"/>
        <v>260000</v>
      </c>
      <c r="L155" s="2"/>
      <c r="M155" s="2">
        <f t="shared" si="72"/>
        <v>260000</v>
      </c>
      <c r="N155" s="2">
        <f t="shared" si="82"/>
        <v>260000</v>
      </c>
      <c r="O155" s="15"/>
      <c r="P155" s="2">
        <f t="shared" si="73"/>
        <v>260000</v>
      </c>
    </row>
    <row r="156" spans="1:16" ht="26.25" customHeight="1" x14ac:dyDescent="0.25">
      <c r="A156" s="15"/>
      <c r="B156" s="276" t="s">
        <v>29</v>
      </c>
      <c r="C156" s="276"/>
      <c r="D156" s="276"/>
      <c r="E156" s="219">
        <v>851</v>
      </c>
      <c r="F156" s="1" t="s">
        <v>38</v>
      </c>
      <c r="G156" s="1" t="s">
        <v>72</v>
      </c>
      <c r="H156" s="18" t="s">
        <v>565</v>
      </c>
      <c r="I156" s="1" t="s">
        <v>30</v>
      </c>
      <c r="J156" s="2">
        <v>260000</v>
      </c>
      <c r="K156" s="2">
        <v>260000</v>
      </c>
      <c r="L156" s="2"/>
      <c r="M156" s="2">
        <f t="shared" si="72"/>
        <v>260000</v>
      </c>
      <c r="N156" s="2">
        <v>260000</v>
      </c>
      <c r="O156" s="15"/>
      <c r="P156" s="2">
        <f t="shared" si="73"/>
        <v>260000</v>
      </c>
    </row>
    <row r="157" spans="1:16" ht="38.25" hidden="1" customHeight="1" x14ac:dyDescent="0.25">
      <c r="A157" s="509" t="s">
        <v>478</v>
      </c>
      <c r="B157" s="509"/>
      <c r="C157" s="287"/>
      <c r="D157" s="287"/>
      <c r="E157" s="219">
        <v>851</v>
      </c>
      <c r="F157" s="1" t="s">
        <v>38</v>
      </c>
      <c r="G157" s="1" t="s">
        <v>72</v>
      </c>
      <c r="H157" s="1" t="s">
        <v>566</v>
      </c>
      <c r="I157" s="1"/>
      <c r="J157" s="2">
        <f t="shared" ref="J157:N158" si="83">J158</f>
        <v>284000</v>
      </c>
      <c r="K157" s="2">
        <f t="shared" si="83"/>
        <v>0</v>
      </c>
      <c r="L157" s="2"/>
      <c r="M157" s="2">
        <f t="shared" si="72"/>
        <v>0</v>
      </c>
      <c r="N157" s="2">
        <f t="shared" si="83"/>
        <v>0</v>
      </c>
      <c r="O157" s="15"/>
      <c r="P157" s="2">
        <f t="shared" si="73"/>
        <v>0</v>
      </c>
    </row>
    <row r="158" spans="1:16" ht="14.25" hidden="1" customHeight="1" x14ac:dyDescent="0.25">
      <c r="A158" s="15"/>
      <c r="B158" s="276" t="s">
        <v>27</v>
      </c>
      <c r="C158" s="287"/>
      <c r="D158" s="287"/>
      <c r="E158" s="219">
        <v>851</v>
      </c>
      <c r="F158" s="1" t="s">
        <v>38</v>
      </c>
      <c r="G158" s="1" t="s">
        <v>72</v>
      </c>
      <c r="H158" s="1" t="s">
        <v>566</v>
      </c>
      <c r="I158" s="1" t="s">
        <v>28</v>
      </c>
      <c r="J158" s="2">
        <f t="shared" si="83"/>
        <v>284000</v>
      </c>
      <c r="K158" s="2">
        <f t="shared" si="83"/>
        <v>0</v>
      </c>
      <c r="L158" s="2"/>
      <c r="M158" s="2">
        <f t="shared" si="72"/>
        <v>0</v>
      </c>
      <c r="N158" s="2">
        <f t="shared" si="83"/>
        <v>0</v>
      </c>
      <c r="O158" s="15"/>
      <c r="P158" s="2">
        <f t="shared" si="73"/>
        <v>0</v>
      </c>
    </row>
    <row r="159" spans="1:16" ht="25.5" hidden="1" customHeight="1" x14ac:dyDescent="0.25">
      <c r="A159" s="15"/>
      <c r="B159" s="276" t="s">
        <v>29</v>
      </c>
      <c r="C159" s="287"/>
      <c r="D159" s="287"/>
      <c r="E159" s="219">
        <v>851</v>
      </c>
      <c r="F159" s="1" t="s">
        <v>38</v>
      </c>
      <c r="G159" s="1" t="s">
        <v>72</v>
      </c>
      <c r="H159" s="1" t="s">
        <v>566</v>
      </c>
      <c r="I159" s="1" t="s">
        <v>30</v>
      </c>
      <c r="J159" s="2">
        <v>284000</v>
      </c>
      <c r="K159" s="2"/>
      <c r="L159" s="2"/>
      <c r="M159" s="2">
        <f t="shared" si="72"/>
        <v>0</v>
      </c>
      <c r="N159" s="2"/>
      <c r="O159" s="15"/>
      <c r="P159" s="2">
        <f t="shared" si="73"/>
        <v>0</v>
      </c>
    </row>
    <row r="160" spans="1:16" ht="27" customHeight="1" x14ac:dyDescent="0.25">
      <c r="A160" s="531" t="s">
        <v>111</v>
      </c>
      <c r="B160" s="531"/>
      <c r="C160" s="293"/>
      <c r="D160" s="293"/>
      <c r="E160" s="293">
        <v>852</v>
      </c>
      <c r="F160" s="18"/>
      <c r="G160" s="18"/>
      <c r="H160" s="18"/>
      <c r="I160" s="1"/>
      <c r="J160" s="8">
        <f>J161+J214</f>
        <v>148946959</v>
      </c>
      <c r="K160" s="8">
        <f>K161+K214</f>
        <v>154829959</v>
      </c>
      <c r="L160" s="8">
        <f t="shared" ref="L160:P160" si="84">L161+L214</f>
        <v>0</v>
      </c>
      <c r="M160" s="8">
        <f t="shared" si="84"/>
        <v>154829959</v>
      </c>
      <c r="N160" s="8">
        <f t="shared" si="84"/>
        <v>154823759</v>
      </c>
      <c r="O160" s="8">
        <f t="shared" si="84"/>
        <v>0</v>
      </c>
      <c r="P160" s="8">
        <f t="shared" si="84"/>
        <v>154823759</v>
      </c>
    </row>
    <row r="161" spans="1:16" s="10" customFormat="1" x14ac:dyDescent="0.25">
      <c r="A161" s="503" t="s">
        <v>78</v>
      </c>
      <c r="B161" s="503"/>
      <c r="C161" s="284"/>
      <c r="D161" s="284"/>
      <c r="E161" s="219">
        <v>852</v>
      </c>
      <c r="F161" s="7" t="s">
        <v>36</v>
      </c>
      <c r="G161" s="7"/>
      <c r="H161" s="7"/>
      <c r="I161" s="7"/>
      <c r="J161" s="8">
        <f>J162+J175+J194+J198</f>
        <v>139714123</v>
      </c>
      <c r="K161" s="8">
        <f>K162+K175+K194+K198</f>
        <v>145452723</v>
      </c>
      <c r="L161" s="8">
        <f t="shared" ref="L161:P161" si="85">L162+L175+L194+L198</f>
        <v>0</v>
      </c>
      <c r="M161" s="8">
        <f t="shared" si="85"/>
        <v>145452723</v>
      </c>
      <c r="N161" s="8">
        <f t="shared" si="85"/>
        <v>145452723</v>
      </c>
      <c r="O161" s="8">
        <f t="shared" si="85"/>
        <v>0</v>
      </c>
      <c r="P161" s="8">
        <f t="shared" si="85"/>
        <v>145452723</v>
      </c>
    </row>
    <row r="162" spans="1:16" s="13" customFormat="1" x14ac:dyDescent="0.25">
      <c r="A162" s="508" t="s">
        <v>79</v>
      </c>
      <c r="B162" s="508"/>
      <c r="C162" s="285"/>
      <c r="D162" s="285"/>
      <c r="E162" s="219">
        <v>852</v>
      </c>
      <c r="F162" s="11" t="s">
        <v>36</v>
      </c>
      <c r="G162" s="11" t="s">
        <v>17</v>
      </c>
      <c r="H162" s="11"/>
      <c r="I162" s="11"/>
      <c r="J162" s="12">
        <f>J166+J169+J163+J172</f>
        <v>33975927</v>
      </c>
      <c r="K162" s="12">
        <f t="shared" ref="K162" si="86">K166+K169+K163+K172</f>
        <v>33664927</v>
      </c>
      <c r="L162" s="12">
        <f t="shared" ref="L162:P162" si="87">L166+L169+L163+L172</f>
        <v>0</v>
      </c>
      <c r="M162" s="12">
        <f t="shared" si="87"/>
        <v>33664927</v>
      </c>
      <c r="N162" s="12">
        <f t="shared" si="87"/>
        <v>33664927</v>
      </c>
      <c r="O162" s="12">
        <f t="shared" si="87"/>
        <v>0</v>
      </c>
      <c r="P162" s="12">
        <f t="shared" si="87"/>
        <v>33664927</v>
      </c>
    </row>
    <row r="163" spans="1:16" s="23" customFormat="1" x14ac:dyDescent="0.25">
      <c r="A163" s="509" t="s">
        <v>115</v>
      </c>
      <c r="B163" s="509"/>
      <c r="C163" s="276"/>
      <c r="D163" s="275"/>
      <c r="E163" s="219">
        <v>852</v>
      </c>
      <c r="F163" s="18" t="s">
        <v>36</v>
      </c>
      <c r="G163" s="18" t="s">
        <v>17</v>
      </c>
      <c r="H163" s="18" t="s">
        <v>116</v>
      </c>
      <c r="I163" s="18"/>
      <c r="J163" s="21">
        <f t="shared" ref="J163:N164" si="88">J164</f>
        <v>11495900</v>
      </c>
      <c r="K163" s="21">
        <f t="shared" si="88"/>
        <v>11495900</v>
      </c>
      <c r="L163" s="21"/>
      <c r="M163" s="2">
        <f t="shared" si="72"/>
        <v>11495900</v>
      </c>
      <c r="N163" s="21">
        <f t="shared" si="88"/>
        <v>11495900</v>
      </c>
      <c r="O163" s="328"/>
      <c r="P163" s="2">
        <f t="shared" si="73"/>
        <v>11495900</v>
      </c>
    </row>
    <row r="164" spans="1:16" s="23" customFormat="1" ht="25.5" customHeight="1" x14ac:dyDescent="0.25">
      <c r="A164" s="276"/>
      <c r="B164" s="276" t="s">
        <v>91</v>
      </c>
      <c r="C164" s="276"/>
      <c r="D164" s="276"/>
      <c r="E164" s="219">
        <v>852</v>
      </c>
      <c r="F164" s="18" t="s">
        <v>36</v>
      </c>
      <c r="G164" s="18" t="s">
        <v>17</v>
      </c>
      <c r="H164" s="18" t="s">
        <v>116</v>
      </c>
      <c r="I164" s="18" t="s">
        <v>87</v>
      </c>
      <c r="J164" s="21">
        <f t="shared" si="88"/>
        <v>11495900</v>
      </c>
      <c r="K164" s="21">
        <f t="shared" si="88"/>
        <v>11495900</v>
      </c>
      <c r="L164" s="21"/>
      <c r="M164" s="2">
        <f t="shared" si="72"/>
        <v>11495900</v>
      </c>
      <c r="N164" s="21">
        <f t="shared" si="88"/>
        <v>11495900</v>
      </c>
      <c r="O164" s="328"/>
      <c r="P164" s="2">
        <f t="shared" si="73"/>
        <v>11495900</v>
      </c>
    </row>
    <row r="165" spans="1:16" ht="36.75" customHeight="1" x14ac:dyDescent="0.25">
      <c r="A165" s="276"/>
      <c r="B165" s="276" t="s">
        <v>88</v>
      </c>
      <c r="C165" s="276"/>
      <c r="D165" s="276"/>
      <c r="E165" s="219">
        <v>852</v>
      </c>
      <c r="F165" s="1" t="s">
        <v>36</v>
      </c>
      <c r="G165" s="1" t="s">
        <v>17</v>
      </c>
      <c r="H165" s="18" t="s">
        <v>116</v>
      </c>
      <c r="I165" s="1" t="s">
        <v>89</v>
      </c>
      <c r="J165" s="2">
        <f>11396000+99900</f>
        <v>11495900</v>
      </c>
      <c r="K165" s="2">
        <f t="shared" ref="K165:N165" si="89">11396000+99900</f>
        <v>11495900</v>
      </c>
      <c r="L165" s="2"/>
      <c r="M165" s="2">
        <f t="shared" si="72"/>
        <v>11495900</v>
      </c>
      <c r="N165" s="2">
        <f t="shared" si="89"/>
        <v>11495900</v>
      </c>
      <c r="O165" s="15"/>
      <c r="P165" s="2">
        <f t="shared" si="73"/>
        <v>11495900</v>
      </c>
    </row>
    <row r="166" spans="1:16" s="13" customFormat="1" ht="25.5" customHeight="1" x14ac:dyDescent="0.25">
      <c r="A166" s="533" t="s">
        <v>500</v>
      </c>
      <c r="B166" s="533"/>
      <c r="C166" s="285"/>
      <c r="D166" s="285"/>
      <c r="E166" s="219">
        <v>852</v>
      </c>
      <c r="F166" s="1" t="s">
        <v>36</v>
      </c>
      <c r="G166" s="1" t="s">
        <v>17</v>
      </c>
      <c r="H166" s="1" t="s">
        <v>112</v>
      </c>
      <c r="I166" s="1"/>
      <c r="J166" s="2">
        <f t="shared" ref="J166:N167" si="90">J167</f>
        <v>21495027</v>
      </c>
      <c r="K166" s="2">
        <f t="shared" si="90"/>
        <v>21495027</v>
      </c>
      <c r="L166" s="2"/>
      <c r="M166" s="2">
        <f t="shared" si="72"/>
        <v>21495027</v>
      </c>
      <c r="N166" s="2">
        <f t="shared" si="90"/>
        <v>21495027</v>
      </c>
      <c r="O166" s="329"/>
      <c r="P166" s="2">
        <f t="shared" si="73"/>
        <v>21495027</v>
      </c>
    </row>
    <row r="167" spans="1:16" s="13" customFormat="1" ht="24" customHeight="1" x14ac:dyDescent="0.25">
      <c r="A167" s="285"/>
      <c r="B167" s="276" t="s">
        <v>91</v>
      </c>
      <c r="C167" s="285"/>
      <c r="D167" s="285"/>
      <c r="E167" s="219">
        <v>852</v>
      </c>
      <c r="F167" s="1" t="s">
        <v>36</v>
      </c>
      <c r="G167" s="1" t="s">
        <v>17</v>
      </c>
      <c r="H167" s="1" t="s">
        <v>112</v>
      </c>
      <c r="I167" s="1" t="s">
        <v>87</v>
      </c>
      <c r="J167" s="2">
        <f t="shared" si="90"/>
        <v>21495027</v>
      </c>
      <c r="K167" s="2">
        <f t="shared" si="90"/>
        <v>21495027</v>
      </c>
      <c r="L167" s="2"/>
      <c r="M167" s="2">
        <f t="shared" si="72"/>
        <v>21495027</v>
      </c>
      <c r="N167" s="2">
        <f t="shared" si="90"/>
        <v>21495027</v>
      </c>
      <c r="O167" s="329"/>
      <c r="P167" s="2">
        <f t="shared" si="73"/>
        <v>21495027</v>
      </c>
    </row>
    <row r="168" spans="1:16" s="13" customFormat="1" ht="36" x14ac:dyDescent="0.25">
      <c r="A168" s="285"/>
      <c r="B168" s="276" t="s">
        <v>88</v>
      </c>
      <c r="C168" s="285"/>
      <c r="D168" s="285"/>
      <c r="E168" s="219">
        <v>852</v>
      </c>
      <c r="F168" s="1" t="s">
        <v>36</v>
      </c>
      <c r="G168" s="1" t="s">
        <v>17</v>
      </c>
      <c r="H168" s="1" t="s">
        <v>112</v>
      </c>
      <c r="I168" s="1" t="s">
        <v>89</v>
      </c>
      <c r="J168" s="2">
        <f>20548915+946112</f>
        <v>21495027</v>
      </c>
      <c r="K168" s="2">
        <f t="shared" ref="K168:N168" si="91">20548915+946112</f>
        <v>21495027</v>
      </c>
      <c r="L168" s="2"/>
      <c r="M168" s="2">
        <f t="shared" si="72"/>
        <v>21495027</v>
      </c>
      <c r="N168" s="2">
        <f t="shared" si="91"/>
        <v>21495027</v>
      </c>
      <c r="O168" s="329"/>
      <c r="P168" s="2">
        <f t="shared" si="73"/>
        <v>21495027</v>
      </c>
    </row>
    <row r="169" spans="1:16" s="13" customFormat="1" ht="37.5" customHeight="1" x14ac:dyDescent="0.25">
      <c r="A169" s="509" t="s">
        <v>113</v>
      </c>
      <c r="B169" s="509"/>
      <c r="C169" s="285"/>
      <c r="D169" s="285"/>
      <c r="E169" s="219">
        <v>852</v>
      </c>
      <c r="F169" s="1" t="s">
        <v>36</v>
      </c>
      <c r="G169" s="1" t="s">
        <v>17</v>
      </c>
      <c r="H169" s="1" t="s">
        <v>114</v>
      </c>
      <c r="I169" s="1"/>
      <c r="J169" s="2">
        <f t="shared" ref="J169:N170" si="92">J170</f>
        <v>624000</v>
      </c>
      <c r="K169" s="2">
        <f t="shared" si="92"/>
        <v>624000</v>
      </c>
      <c r="L169" s="2"/>
      <c r="M169" s="2">
        <f t="shared" si="72"/>
        <v>624000</v>
      </c>
      <c r="N169" s="2">
        <f t="shared" si="92"/>
        <v>624000</v>
      </c>
      <c r="O169" s="329"/>
      <c r="P169" s="2">
        <f t="shared" si="73"/>
        <v>624000</v>
      </c>
    </row>
    <row r="170" spans="1:16" s="13" customFormat="1" ht="24" x14ac:dyDescent="0.25">
      <c r="A170" s="285"/>
      <c r="B170" s="276" t="s">
        <v>91</v>
      </c>
      <c r="C170" s="285"/>
      <c r="D170" s="285"/>
      <c r="E170" s="219">
        <v>852</v>
      </c>
      <c r="F170" s="1" t="s">
        <v>36</v>
      </c>
      <c r="G170" s="1" t="s">
        <v>17</v>
      </c>
      <c r="H170" s="1" t="s">
        <v>114</v>
      </c>
      <c r="I170" s="1" t="s">
        <v>87</v>
      </c>
      <c r="J170" s="2">
        <f t="shared" si="92"/>
        <v>624000</v>
      </c>
      <c r="K170" s="2">
        <f t="shared" si="92"/>
        <v>624000</v>
      </c>
      <c r="L170" s="2"/>
      <c r="M170" s="2">
        <f t="shared" si="72"/>
        <v>624000</v>
      </c>
      <c r="N170" s="2">
        <f t="shared" si="92"/>
        <v>624000</v>
      </c>
      <c r="O170" s="329"/>
      <c r="P170" s="2">
        <f t="shared" si="73"/>
        <v>624000</v>
      </c>
    </row>
    <row r="171" spans="1:16" s="13" customFormat="1" ht="36" x14ac:dyDescent="0.25">
      <c r="A171" s="285"/>
      <c r="B171" s="276" t="s">
        <v>88</v>
      </c>
      <c r="C171" s="285"/>
      <c r="D171" s="285"/>
      <c r="E171" s="219">
        <v>852</v>
      </c>
      <c r="F171" s="1" t="s">
        <v>36</v>
      </c>
      <c r="G171" s="1" t="s">
        <v>17</v>
      </c>
      <c r="H171" s="1" t="s">
        <v>114</v>
      </c>
      <c r="I171" s="1" t="s">
        <v>89</v>
      </c>
      <c r="J171" s="2">
        <v>624000</v>
      </c>
      <c r="K171" s="2">
        <v>624000</v>
      </c>
      <c r="L171" s="2"/>
      <c r="M171" s="2">
        <f t="shared" si="72"/>
        <v>624000</v>
      </c>
      <c r="N171" s="2">
        <v>624000</v>
      </c>
      <c r="O171" s="329"/>
      <c r="P171" s="2">
        <f t="shared" si="73"/>
        <v>624000</v>
      </c>
    </row>
    <row r="172" spans="1:16" ht="26.25" customHeight="1" x14ac:dyDescent="0.25">
      <c r="A172" s="509" t="s">
        <v>121</v>
      </c>
      <c r="B172" s="509"/>
      <c r="C172" s="276"/>
      <c r="D172" s="276"/>
      <c r="E172" s="219">
        <v>852</v>
      </c>
      <c r="F172" s="18" t="s">
        <v>36</v>
      </c>
      <c r="G172" s="1" t="s">
        <v>17</v>
      </c>
      <c r="H172" s="18" t="s">
        <v>122</v>
      </c>
      <c r="I172" s="1"/>
      <c r="J172" s="2">
        <f t="shared" ref="J172:N173" si="93">J173</f>
        <v>361000</v>
      </c>
      <c r="K172" s="2">
        <f t="shared" si="93"/>
        <v>50000</v>
      </c>
      <c r="L172" s="2"/>
      <c r="M172" s="2">
        <f t="shared" si="72"/>
        <v>50000</v>
      </c>
      <c r="N172" s="2">
        <f t="shared" si="93"/>
        <v>50000</v>
      </c>
      <c r="O172" s="15"/>
      <c r="P172" s="2">
        <f t="shared" si="73"/>
        <v>50000</v>
      </c>
    </row>
    <row r="173" spans="1:16" ht="24" x14ac:dyDescent="0.25">
      <c r="A173" s="276"/>
      <c r="B173" s="217" t="s">
        <v>91</v>
      </c>
      <c r="C173" s="276"/>
      <c r="D173" s="276"/>
      <c r="E173" s="219">
        <v>852</v>
      </c>
      <c r="F173" s="1" t="s">
        <v>36</v>
      </c>
      <c r="G173" s="1" t="s">
        <v>17</v>
      </c>
      <c r="H173" s="18" t="s">
        <v>122</v>
      </c>
      <c r="I173" s="1" t="s">
        <v>87</v>
      </c>
      <c r="J173" s="2">
        <f t="shared" si="93"/>
        <v>361000</v>
      </c>
      <c r="K173" s="2">
        <f>K174</f>
        <v>50000</v>
      </c>
      <c r="L173" s="2"/>
      <c r="M173" s="2">
        <f t="shared" si="72"/>
        <v>50000</v>
      </c>
      <c r="N173" s="2">
        <f>N174</f>
        <v>50000</v>
      </c>
      <c r="O173" s="15"/>
      <c r="P173" s="2">
        <f t="shared" si="73"/>
        <v>50000</v>
      </c>
    </row>
    <row r="174" spans="1:16" x14ac:dyDescent="0.25">
      <c r="A174" s="276"/>
      <c r="B174" s="217" t="s">
        <v>119</v>
      </c>
      <c r="C174" s="276"/>
      <c r="D174" s="276"/>
      <c r="E174" s="219">
        <v>852</v>
      </c>
      <c r="F174" s="1" t="s">
        <v>36</v>
      </c>
      <c r="G174" s="1" t="s">
        <v>17</v>
      </c>
      <c r="H174" s="18" t="s">
        <v>122</v>
      </c>
      <c r="I174" s="1" t="s">
        <v>120</v>
      </c>
      <c r="J174" s="2">
        <v>361000</v>
      </c>
      <c r="K174" s="2">
        <f>361000-311000</f>
        <v>50000</v>
      </c>
      <c r="L174" s="2"/>
      <c r="M174" s="2">
        <f t="shared" si="72"/>
        <v>50000</v>
      </c>
      <c r="N174" s="2">
        <f>361000-311000</f>
        <v>50000</v>
      </c>
      <c r="O174" s="15"/>
      <c r="P174" s="2">
        <f t="shared" si="73"/>
        <v>50000</v>
      </c>
    </row>
    <row r="175" spans="1:16" s="13" customFormat="1" x14ac:dyDescent="0.25">
      <c r="A175" s="508" t="s">
        <v>82</v>
      </c>
      <c r="B175" s="508"/>
      <c r="C175" s="285"/>
      <c r="D175" s="285"/>
      <c r="E175" s="219">
        <v>852</v>
      </c>
      <c r="F175" s="11" t="s">
        <v>36</v>
      </c>
      <c r="G175" s="11" t="s">
        <v>72</v>
      </c>
      <c r="H175" s="11"/>
      <c r="I175" s="11"/>
      <c r="J175" s="12">
        <f>J176+J179+J182+J185+J188+J191</f>
        <v>93548636</v>
      </c>
      <c r="K175" s="12">
        <f>K176+K179+K182+K185+K188+K191</f>
        <v>99609636</v>
      </c>
      <c r="L175" s="12"/>
      <c r="M175" s="2">
        <f t="shared" si="72"/>
        <v>99609636</v>
      </c>
      <c r="N175" s="12">
        <f>N176+N179+N182+N185+N188+N191</f>
        <v>99609636</v>
      </c>
      <c r="O175" s="329"/>
      <c r="P175" s="2">
        <f t="shared" si="73"/>
        <v>99609636</v>
      </c>
    </row>
    <row r="176" spans="1:16" x14ac:dyDescent="0.25">
      <c r="A176" s="509" t="s">
        <v>123</v>
      </c>
      <c r="B176" s="509"/>
      <c r="C176" s="276"/>
      <c r="D176" s="276"/>
      <c r="E176" s="219">
        <v>852</v>
      </c>
      <c r="F176" s="1" t="s">
        <v>36</v>
      </c>
      <c r="G176" s="1" t="s">
        <v>72</v>
      </c>
      <c r="H176" s="1" t="s">
        <v>124</v>
      </c>
      <c r="I176" s="1"/>
      <c r="J176" s="2">
        <f t="shared" ref="J176:N177" si="94">J177</f>
        <v>13985000</v>
      </c>
      <c r="K176" s="2">
        <f t="shared" si="94"/>
        <v>18485000</v>
      </c>
      <c r="L176" s="2"/>
      <c r="M176" s="2">
        <f t="shared" si="72"/>
        <v>18485000</v>
      </c>
      <c r="N176" s="2">
        <f t="shared" si="94"/>
        <v>18485000</v>
      </c>
      <c r="O176" s="15"/>
      <c r="P176" s="2">
        <f t="shared" si="73"/>
        <v>18485000</v>
      </c>
    </row>
    <row r="177" spans="1:16" ht="24.75" customHeight="1" x14ac:dyDescent="0.25">
      <c r="A177" s="276"/>
      <c r="B177" s="276" t="s">
        <v>91</v>
      </c>
      <c r="C177" s="276"/>
      <c r="D177" s="276"/>
      <c r="E177" s="219">
        <v>852</v>
      </c>
      <c r="F177" s="1" t="s">
        <v>36</v>
      </c>
      <c r="G177" s="18" t="s">
        <v>72</v>
      </c>
      <c r="H177" s="1" t="s">
        <v>124</v>
      </c>
      <c r="I177" s="1" t="s">
        <v>87</v>
      </c>
      <c r="J177" s="2">
        <f t="shared" si="94"/>
        <v>13985000</v>
      </c>
      <c r="K177" s="2">
        <f t="shared" si="94"/>
        <v>18485000</v>
      </c>
      <c r="L177" s="2"/>
      <c r="M177" s="2">
        <f t="shared" si="72"/>
        <v>18485000</v>
      </c>
      <c r="N177" s="2">
        <f t="shared" si="94"/>
        <v>18485000</v>
      </c>
      <c r="O177" s="15"/>
      <c r="P177" s="2">
        <f t="shared" si="73"/>
        <v>18485000</v>
      </c>
    </row>
    <row r="178" spans="1:16" ht="36" x14ac:dyDescent="0.25">
      <c r="A178" s="276"/>
      <c r="B178" s="276" t="s">
        <v>88</v>
      </c>
      <c r="C178" s="276"/>
      <c r="D178" s="276"/>
      <c r="E178" s="219">
        <v>852</v>
      </c>
      <c r="F178" s="1" t="s">
        <v>36</v>
      </c>
      <c r="G178" s="18" t="s">
        <v>72</v>
      </c>
      <c r="H178" s="1" t="s">
        <v>124</v>
      </c>
      <c r="I178" s="1" t="s">
        <v>89</v>
      </c>
      <c r="J178" s="2">
        <v>13985000</v>
      </c>
      <c r="K178" s="2">
        <f>13985000+4500000</f>
        <v>18485000</v>
      </c>
      <c r="L178" s="2"/>
      <c r="M178" s="2">
        <f t="shared" si="72"/>
        <v>18485000</v>
      </c>
      <c r="N178" s="2">
        <f>13985000+4500000</f>
        <v>18485000</v>
      </c>
      <c r="O178" s="15"/>
      <c r="P178" s="2">
        <f t="shared" si="73"/>
        <v>18485000</v>
      </c>
    </row>
    <row r="179" spans="1:16" x14ac:dyDescent="0.25">
      <c r="A179" s="509" t="s">
        <v>125</v>
      </c>
      <c r="B179" s="509"/>
      <c r="C179" s="276"/>
      <c r="D179" s="276"/>
      <c r="E179" s="219">
        <v>852</v>
      </c>
      <c r="F179" s="18" t="s">
        <v>36</v>
      </c>
      <c r="G179" s="18" t="s">
        <v>72</v>
      </c>
      <c r="H179" s="18" t="s">
        <v>126</v>
      </c>
      <c r="I179" s="1"/>
      <c r="J179" s="2">
        <f t="shared" ref="J179:N180" si="95">J180</f>
        <v>8331600</v>
      </c>
      <c r="K179" s="2">
        <f t="shared" si="95"/>
        <v>9581600</v>
      </c>
      <c r="L179" s="2"/>
      <c r="M179" s="2">
        <f t="shared" si="72"/>
        <v>9581600</v>
      </c>
      <c r="N179" s="2">
        <f t="shared" si="95"/>
        <v>9581600</v>
      </c>
      <c r="O179" s="15"/>
      <c r="P179" s="2">
        <f t="shared" si="73"/>
        <v>9581600</v>
      </c>
    </row>
    <row r="180" spans="1:16" ht="22.5" customHeight="1" x14ac:dyDescent="0.25">
      <c r="A180" s="276"/>
      <c r="B180" s="276" t="s">
        <v>91</v>
      </c>
      <c r="C180" s="276"/>
      <c r="D180" s="276"/>
      <c r="E180" s="219">
        <v>852</v>
      </c>
      <c r="F180" s="1" t="s">
        <v>36</v>
      </c>
      <c r="G180" s="18" t="s">
        <v>72</v>
      </c>
      <c r="H180" s="18" t="s">
        <v>126</v>
      </c>
      <c r="I180" s="1" t="s">
        <v>87</v>
      </c>
      <c r="J180" s="2">
        <f t="shared" si="95"/>
        <v>8331600</v>
      </c>
      <c r="K180" s="2">
        <f t="shared" si="95"/>
        <v>9581600</v>
      </c>
      <c r="L180" s="2"/>
      <c r="M180" s="2">
        <f t="shared" si="72"/>
        <v>9581600</v>
      </c>
      <c r="N180" s="2">
        <f t="shared" si="95"/>
        <v>9581600</v>
      </c>
      <c r="O180" s="15"/>
      <c r="P180" s="2">
        <f t="shared" si="73"/>
        <v>9581600</v>
      </c>
    </row>
    <row r="181" spans="1:16" ht="35.25" customHeight="1" x14ac:dyDescent="0.25">
      <c r="A181" s="276"/>
      <c r="B181" s="276" t="s">
        <v>88</v>
      </c>
      <c r="C181" s="276"/>
      <c r="D181" s="276"/>
      <c r="E181" s="219">
        <v>852</v>
      </c>
      <c r="F181" s="1" t="s">
        <v>36</v>
      </c>
      <c r="G181" s="18" t="s">
        <v>72</v>
      </c>
      <c r="H181" s="18" t="s">
        <v>126</v>
      </c>
      <c r="I181" s="1" t="s">
        <v>89</v>
      </c>
      <c r="J181" s="2">
        <v>8331600</v>
      </c>
      <c r="K181" s="2">
        <f>8331600+1250000</f>
        <v>9581600</v>
      </c>
      <c r="L181" s="2"/>
      <c r="M181" s="2">
        <f t="shared" si="72"/>
        <v>9581600</v>
      </c>
      <c r="N181" s="2">
        <f>8331600+1250000</f>
        <v>9581600</v>
      </c>
      <c r="O181" s="15"/>
      <c r="P181" s="2">
        <f t="shared" si="73"/>
        <v>9581600</v>
      </c>
    </row>
    <row r="182" spans="1:16" s="13" customFormat="1" ht="48.75" customHeight="1" x14ac:dyDescent="0.25">
      <c r="A182" s="509" t="s">
        <v>127</v>
      </c>
      <c r="B182" s="509"/>
      <c r="C182" s="285"/>
      <c r="D182" s="285"/>
      <c r="E182" s="219">
        <v>852</v>
      </c>
      <c r="F182" s="1" t="s">
        <v>36</v>
      </c>
      <c r="G182" s="1" t="s">
        <v>72</v>
      </c>
      <c r="H182" s="18" t="s">
        <v>128</v>
      </c>
      <c r="I182" s="1"/>
      <c r="J182" s="2">
        <f t="shared" ref="J182:N183" si="96">J183</f>
        <v>66777336</v>
      </c>
      <c r="K182" s="2">
        <f t="shared" si="96"/>
        <v>66777336</v>
      </c>
      <c r="L182" s="2"/>
      <c r="M182" s="2">
        <f t="shared" si="72"/>
        <v>66777336</v>
      </c>
      <c r="N182" s="2">
        <f t="shared" si="96"/>
        <v>66777336</v>
      </c>
      <c r="O182" s="329"/>
      <c r="P182" s="2">
        <f t="shared" si="73"/>
        <v>66777336</v>
      </c>
    </row>
    <row r="183" spans="1:16" s="13" customFormat="1" ht="24" customHeight="1" x14ac:dyDescent="0.25">
      <c r="A183" s="276"/>
      <c r="B183" s="276" t="s">
        <v>91</v>
      </c>
      <c r="C183" s="285"/>
      <c r="D183" s="285"/>
      <c r="E183" s="219">
        <v>852</v>
      </c>
      <c r="F183" s="1" t="s">
        <v>36</v>
      </c>
      <c r="G183" s="1" t="s">
        <v>72</v>
      </c>
      <c r="H183" s="1" t="s">
        <v>128</v>
      </c>
      <c r="I183" s="1" t="s">
        <v>87</v>
      </c>
      <c r="J183" s="2">
        <f t="shared" si="96"/>
        <v>66777336</v>
      </c>
      <c r="K183" s="2">
        <f t="shared" si="96"/>
        <v>66777336</v>
      </c>
      <c r="L183" s="2"/>
      <c r="M183" s="2">
        <f t="shared" si="72"/>
        <v>66777336</v>
      </c>
      <c r="N183" s="2">
        <f t="shared" si="96"/>
        <v>66777336</v>
      </c>
      <c r="O183" s="329"/>
      <c r="P183" s="2">
        <f t="shared" si="73"/>
        <v>66777336</v>
      </c>
    </row>
    <row r="184" spans="1:16" s="13" customFormat="1" ht="36.75" customHeight="1" x14ac:dyDescent="0.25">
      <c r="A184" s="276"/>
      <c r="B184" s="276" t="s">
        <v>88</v>
      </c>
      <c r="C184" s="285"/>
      <c r="D184" s="285"/>
      <c r="E184" s="219">
        <v>852</v>
      </c>
      <c r="F184" s="1" t="s">
        <v>36</v>
      </c>
      <c r="G184" s="1" t="s">
        <v>72</v>
      </c>
      <c r="H184" s="1" t="s">
        <v>128</v>
      </c>
      <c r="I184" s="1" t="s">
        <v>89</v>
      </c>
      <c r="J184" s="2">
        <v>66777336</v>
      </c>
      <c r="K184" s="2">
        <v>66777336</v>
      </c>
      <c r="L184" s="2"/>
      <c r="M184" s="2">
        <f t="shared" si="72"/>
        <v>66777336</v>
      </c>
      <c r="N184" s="2">
        <v>66777336</v>
      </c>
      <c r="O184" s="329"/>
      <c r="P184" s="2">
        <f t="shared" si="73"/>
        <v>66777336</v>
      </c>
    </row>
    <row r="185" spans="1:16" s="13" customFormat="1" ht="37.5" customHeight="1" x14ac:dyDescent="0.25">
      <c r="A185" s="509" t="s">
        <v>113</v>
      </c>
      <c r="B185" s="509"/>
      <c r="C185" s="285"/>
      <c r="D185" s="285"/>
      <c r="E185" s="219">
        <v>852</v>
      </c>
      <c r="F185" s="1" t="s">
        <v>36</v>
      </c>
      <c r="G185" s="1" t="s">
        <v>72</v>
      </c>
      <c r="H185" s="1" t="s">
        <v>114</v>
      </c>
      <c r="I185" s="1"/>
      <c r="J185" s="2">
        <f t="shared" ref="J185:N186" si="97">J186</f>
        <v>2667200</v>
      </c>
      <c r="K185" s="2">
        <f t="shared" si="97"/>
        <v>2667200</v>
      </c>
      <c r="L185" s="2"/>
      <c r="M185" s="2">
        <f t="shared" si="72"/>
        <v>2667200</v>
      </c>
      <c r="N185" s="2">
        <f t="shared" si="97"/>
        <v>2667200</v>
      </c>
      <c r="O185" s="329"/>
      <c r="P185" s="2">
        <f t="shared" si="73"/>
        <v>2667200</v>
      </c>
    </row>
    <row r="186" spans="1:16" s="13" customFormat="1" ht="24.75" customHeight="1" x14ac:dyDescent="0.25">
      <c r="A186" s="285"/>
      <c r="B186" s="217" t="s">
        <v>91</v>
      </c>
      <c r="C186" s="25"/>
      <c r="D186" s="25"/>
      <c r="E186" s="26">
        <v>852</v>
      </c>
      <c r="F186" s="27" t="s">
        <v>36</v>
      </c>
      <c r="G186" s="1" t="s">
        <v>72</v>
      </c>
      <c r="H186" s="27" t="s">
        <v>114</v>
      </c>
      <c r="I186" s="1" t="s">
        <v>87</v>
      </c>
      <c r="J186" s="2">
        <f t="shared" si="97"/>
        <v>2667200</v>
      </c>
      <c r="K186" s="2">
        <f t="shared" si="97"/>
        <v>2667200</v>
      </c>
      <c r="L186" s="2"/>
      <c r="M186" s="2">
        <f t="shared" si="72"/>
        <v>2667200</v>
      </c>
      <c r="N186" s="2">
        <f t="shared" si="97"/>
        <v>2667200</v>
      </c>
      <c r="O186" s="329"/>
      <c r="P186" s="2">
        <f t="shared" si="73"/>
        <v>2667200</v>
      </c>
    </row>
    <row r="187" spans="1:16" s="13" customFormat="1" ht="36" customHeight="1" x14ac:dyDescent="0.25">
      <c r="A187" s="285"/>
      <c r="B187" s="276" t="s">
        <v>88</v>
      </c>
      <c r="C187" s="285"/>
      <c r="D187" s="285"/>
      <c r="E187" s="219">
        <v>852</v>
      </c>
      <c r="F187" s="1" t="s">
        <v>36</v>
      </c>
      <c r="G187" s="18" t="s">
        <v>72</v>
      </c>
      <c r="H187" s="1" t="s">
        <v>114</v>
      </c>
      <c r="I187" s="1" t="s">
        <v>89</v>
      </c>
      <c r="J187" s="2">
        <v>2667200</v>
      </c>
      <c r="K187" s="2">
        <v>2667200</v>
      </c>
      <c r="L187" s="2"/>
      <c r="M187" s="2">
        <f t="shared" si="72"/>
        <v>2667200</v>
      </c>
      <c r="N187" s="2">
        <v>2667200</v>
      </c>
      <c r="O187" s="329"/>
      <c r="P187" s="2">
        <f t="shared" si="73"/>
        <v>2667200</v>
      </c>
    </row>
    <row r="188" spans="1:16" ht="15" customHeight="1" x14ac:dyDescent="0.25">
      <c r="A188" s="509" t="s">
        <v>117</v>
      </c>
      <c r="B188" s="509"/>
      <c r="C188" s="276"/>
      <c r="D188" s="276"/>
      <c r="E188" s="219">
        <v>852</v>
      </c>
      <c r="F188" s="1" t="s">
        <v>36</v>
      </c>
      <c r="G188" s="18" t="s">
        <v>72</v>
      </c>
      <c r="H188" s="1" t="s">
        <v>118</v>
      </c>
      <c r="I188" s="1"/>
      <c r="J188" s="2">
        <f t="shared" ref="J188:N189" si="98">J189</f>
        <v>1110000</v>
      </c>
      <c r="K188" s="2">
        <f t="shared" si="98"/>
        <v>1421000</v>
      </c>
      <c r="L188" s="2"/>
      <c r="M188" s="2">
        <f t="shared" si="72"/>
        <v>1421000</v>
      </c>
      <c r="N188" s="2">
        <f t="shared" si="98"/>
        <v>1421000</v>
      </c>
      <c r="O188" s="15"/>
      <c r="P188" s="2">
        <f t="shared" si="73"/>
        <v>1421000</v>
      </c>
    </row>
    <row r="189" spans="1:16" ht="24.75" customHeight="1" x14ac:dyDescent="0.25">
      <c r="A189" s="276"/>
      <c r="B189" s="217" t="s">
        <v>91</v>
      </c>
      <c r="C189" s="276"/>
      <c r="D189" s="276"/>
      <c r="E189" s="219">
        <v>852</v>
      </c>
      <c r="F189" s="1" t="s">
        <v>36</v>
      </c>
      <c r="G189" s="18" t="s">
        <v>72</v>
      </c>
      <c r="H189" s="1" t="s">
        <v>118</v>
      </c>
      <c r="I189" s="1" t="s">
        <v>87</v>
      </c>
      <c r="J189" s="2">
        <f t="shared" si="98"/>
        <v>1110000</v>
      </c>
      <c r="K189" s="2">
        <f t="shared" si="98"/>
        <v>1421000</v>
      </c>
      <c r="L189" s="2"/>
      <c r="M189" s="2">
        <f t="shared" si="72"/>
        <v>1421000</v>
      </c>
      <c r="N189" s="2">
        <f t="shared" si="98"/>
        <v>1421000</v>
      </c>
      <c r="O189" s="15"/>
      <c r="P189" s="2">
        <f t="shared" si="73"/>
        <v>1421000</v>
      </c>
    </row>
    <row r="190" spans="1:16" x14ac:dyDescent="0.25">
      <c r="A190" s="276"/>
      <c r="B190" s="217" t="s">
        <v>119</v>
      </c>
      <c r="C190" s="276"/>
      <c r="D190" s="276"/>
      <c r="E190" s="219">
        <v>852</v>
      </c>
      <c r="F190" s="1" t="s">
        <v>36</v>
      </c>
      <c r="G190" s="18" t="s">
        <v>72</v>
      </c>
      <c r="H190" s="1" t="s">
        <v>118</v>
      </c>
      <c r="I190" s="1" t="s">
        <v>120</v>
      </c>
      <c r="J190" s="2">
        <f>1110000</f>
        <v>1110000</v>
      </c>
      <c r="K190" s="2">
        <f>1110000+311000</f>
        <v>1421000</v>
      </c>
      <c r="L190" s="2"/>
      <c r="M190" s="2">
        <f t="shared" si="72"/>
        <v>1421000</v>
      </c>
      <c r="N190" s="2">
        <f>1110000+311000</f>
        <v>1421000</v>
      </c>
      <c r="O190" s="15"/>
      <c r="P190" s="2">
        <f t="shared" si="73"/>
        <v>1421000</v>
      </c>
    </row>
    <row r="191" spans="1:16" ht="26.25" customHeight="1" x14ac:dyDescent="0.25">
      <c r="A191" s="509" t="s">
        <v>121</v>
      </c>
      <c r="B191" s="509"/>
      <c r="C191" s="276"/>
      <c r="D191" s="276"/>
      <c r="E191" s="219">
        <v>852</v>
      </c>
      <c r="F191" s="18" t="s">
        <v>36</v>
      </c>
      <c r="G191" s="18" t="s">
        <v>72</v>
      </c>
      <c r="H191" s="18" t="s">
        <v>122</v>
      </c>
      <c r="I191" s="1"/>
      <c r="J191" s="2">
        <f t="shared" ref="J191:N192" si="99">J192</f>
        <v>677500</v>
      </c>
      <c r="K191" s="2">
        <f t="shared" si="99"/>
        <v>677500</v>
      </c>
      <c r="L191" s="2"/>
      <c r="M191" s="2">
        <f t="shared" si="72"/>
        <v>677500</v>
      </c>
      <c r="N191" s="2">
        <f t="shared" si="99"/>
        <v>677500</v>
      </c>
      <c r="O191" s="15"/>
      <c r="P191" s="2">
        <f t="shared" si="73"/>
        <v>677500</v>
      </c>
    </row>
    <row r="192" spans="1:16" ht="27" customHeight="1" x14ac:dyDescent="0.25">
      <c r="A192" s="276"/>
      <c r="B192" s="217" t="s">
        <v>91</v>
      </c>
      <c r="C192" s="276"/>
      <c r="D192" s="276"/>
      <c r="E192" s="219">
        <v>852</v>
      </c>
      <c r="F192" s="1" t="s">
        <v>36</v>
      </c>
      <c r="G192" s="18" t="s">
        <v>72</v>
      </c>
      <c r="H192" s="18" t="s">
        <v>122</v>
      </c>
      <c r="I192" s="1" t="s">
        <v>87</v>
      </c>
      <c r="J192" s="2">
        <f t="shared" si="99"/>
        <v>677500</v>
      </c>
      <c r="K192" s="2">
        <f t="shared" si="99"/>
        <v>677500</v>
      </c>
      <c r="L192" s="2"/>
      <c r="M192" s="2">
        <f t="shared" si="72"/>
        <v>677500</v>
      </c>
      <c r="N192" s="2">
        <f t="shared" si="99"/>
        <v>677500</v>
      </c>
      <c r="O192" s="15"/>
      <c r="P192" s="2">
        <f t="shared" si="73"/>
        <v>677500</v>
      </c>
    </row>
    <row r="193" spans="1:16" x14ac:dyDescent="0.25">
      <c r="A193" s="276"/>
      <c r="B193" s="217" t="s">
        <v>119</v>
      </c>
      <c r="C193" s="276"/>
      <c r="D193" s="276"/>
      <c r="E193" s="219">
        <v>852</v>
      </c>
      <c r="F193" s="1" t="s">
        <v>36</v>
      </c>
      <c r="G193" s="18" t="s">
        <v>72</v>
      </c>
      <c r="H193" s="18" t="s">
        <v>122</v>
      </c>
      <c r="I193" s="1" t="s">
        <v>120</v>
      </c>
      <c r="J193" s="2">
        <v>677500</v>
      </c>
      <c r="K193" s="2">
        <v>677500</v>
      </c>
      <c r="L193" s="2"/>
      <c r="M193" s="2">
        <f t="shared" si="72"/>
        <v>677500</v>
      </c>
      <c r="N193" s="2">
        <v>677500</v>
      </c>
      <c r="O193" s="15"/>
      <c r="P193" s="2">
        <f t="shared" si="73"/>
        <v>677500</v>
      </c>
    </row>
    <row r="194" spans="1:16" x14ac:dyDescent="0.25">
      <c r="A194" s="508" t="s">
        <v>129</v>
      </c>
      <c r="B194" s="508"/>
      <c r="C194" s="285"/>
      <c r="D194" s="285"/>
      <c r="E194" s="219">
        <v>852</v>
      </c>
      <c r="F194" s="11" t="s">
        <v>36</v>
      </c>
      <c r="G194" s="11" t="s">
        <v>36</v>
      </c>
      <c r="H194" s="11"/>
      <c r="I194" s="11"/>
      <c r="J194" s="12">
        <f t="shared" ref="J194:N196" si="100">J195</f>
        <v>122200</v>
      </c>
      <c r="K194" s="12">
        <f t="shared" si="100"/>
        <v>122200</v>
      </c>
      <c r="L194" s="12"/>
      <c r="M194" s="2">
        <f t="shared" si="72"/>
        <v>122200</v>
      </c>
      <c r="N194" s="12">
        <f t="shared" si="100"/>
        <v>122200</v>
      </c>
      <c r="O194" s="15"/>
      <c r="P194" s="2">
        <f t="shared" si="73"/>
        <v>122200</v>
      </c>
    </row>
    <row r="195" spans="1:16" ht="26.25" customHeight="1" x14ac:dyDescent="0.25">
      <c r="A195" s="509" t="s">
        <v>130</v>
      </c>
      <c r="B195" s="509"/>
      <c r="C195" s="276"/>
      <c r="D195" s="276"/>
      <c r="E195" s="219">
        <v>852</v>
      </c>
      <c r="F195" s="1" t="s">
        <v>36</v>
      </c>
      <c r="G195" s="1" t="s">
        <v>36</v>
      </c>
      <c r="H195" s="18" t="s">
        <v>430</v>
      </c>
      <c r="I195" s="1"/>
      <c r="J195" s="2">
        <f t="shared" si="100"/>
        <v>122200</v>
      </c>
      <c r="K195" s="2">
        <f t="shared" si="100"/>
        <v>122200</v>
      </c>
      <c r="L195" s="2"/>
      <c r="M195" s="2">
        <f t="shared" si="72"/>
        <v>122200</v>
      </c>
      <c r="N195" s="2">
        <f t="shared" si="100"/>
        <v>122200</v>
      </c>
      <c r="O195" s="15"/>
      <c r="P195" s="2">
        <f t="shared" si="73"/>
        <v>122200</v>
      </c>
    </row>
    <row r="196" spans="1:16" ht="14.25" customHeight="1" x14ac:dyDescent="0.25">
      <c r="A196" s="15"/>
      <c r="B196" s="276" t="s">
        <v>27</v>
      </c>
      <c r="C196" s="275"/>
      <c r="D196" s="275"/>
      <c r="E196" s="219">
        <v>852</v>
      </c>
      <c r="F196" s="1" t="s">
        <v>36</v>
      </c>
      <c r="G196" s="1" t="s">
        <v>36</v>
      </c>
      <c r="H196" s="18" t="s">
        <v>430</v>
      </c>
      <c r="I196" s="1" t="s">
        <v>28</v>
      </c>
      <c r="J196" s="2">
        <f t="shared" si="100"/>
        <v>122200</v>
      </c>
      <c r="K196" s="2">
        <f t="shared" si="100"/>
        <v>122200</v>
      </c>
      <c r="L196" s="2"/>
      <c r="M196" s="2">
        <f t="shared" si="72"/>
        <v>122200</v>
      </c>
      <c r="N196" s="2">
        <f t="shared" si="100"/>
        <v>122200</v>
      </c>
      <c r="O196" s="15"/>
      <c r="P196" s="2">
        <f t="shared" si="73"/>
        <v>122200</v>
      </c>
    </row>
    <row r="197" spans="1:16" ht="24" x14ac:dyDescent="0.25">
      <c r="A197" s="15"/>
      <c r="B197" s="276" t="s">
        <v>29</v>
      </c>
      <c r="C197" s="276"/>
      <c r="D197" s="276"/>
      <c r="E197" s="219">
        <v>852</v>
      </c>
      <c r="F197" s="1" t="s">
        <v>36</v>
      </c>
      <c r="G197" s="1" t="s">
        <v>36</v>
      </c>
      <c r="H197" s="18" t="s">
        <v>430</v>
      </c>
      <c r="I197" s="1" t="s">
        <v>30</v>
      </c>
      <c r="J197" s="2">
        <v>122200</v>
      </c>
      <c r="K197" s="2">
        <v>122200</v>
      </c>
      <c r="L197" s="2"/>
      <c r="M197" s="2">
        <f t="shared" si="72"/>
        <v>122200</v>
      </c>
      <c r="N197" s="2">
        <v>122200</v>
      </c>
      <c r="O197" s="15"/>
      <c r="P197" s="2">
        <f t="shared" si="73"/>
        <v>122200</v>
      </c>
    </row>
    <row r="198" spans="1:16" x14ac:dyDescent="0.25">
      <c r="A198" s="508" t="s">
        <v>131</v>
      </c>
      <c r="B198" s="508"/>
      <c r="C198" s="285"/>
      <c r="D198" s="285"/>
      <c r="E198" s="219">
        <v>852</v>
      </c>
      <c r="F198" s="11" t="s">
        <v>36</v>
      </c>
      <c r="G198" s="11" t="s">
        <v>57</v>
      </c>
      <c r="H198" s="11"/>
      <c r="I198" s="11"/>
      <c r="J198" s="12">
        <f>J199+J202+J211</f>
        <v>12067360</v>
      </c>
      <c r="K198" s="12">
        <f>K199+K202+K211</f>
        <v>12055960</v>
      </c>
      <c r="L198" s="12"/>
      <c r="M198" s="2">
        <f t="shared" si="72"/>
        <v>12055960</v>
      </c>
      <c r="N198" s="12">
        <f>N199+N202+N211</f>
        <v>12055960</v>
      </c>
      <c r="O198" s="15"/>
      <c r="P198" s="2">
        <f t="shared" si="73"/>
        <v>12055960</v>
      </c>
    </row>
    <row r="199" spans="1:16" ht="25.5" customHeight="1" x14ac:dyDescent="0.25">
      <c r="A199" s="509" t="s">
        <v>26</v>
      </c>
      <c r="B199" s="509"/>
      <c r="C199" s="219"/>
      <c r="D199" s="219"/>
      <c r="E199" s="219">
        <v>852</v>
      </c>
      <c r="F199" s="1" t="s">
        <v>36</v>
      </c>
      <c r="G199" s="1" t="s">
        <v>57</v>
      </c>
      <c r="H199" s="1" t="s">
        <v>434</v>
      </c>
      <c r="I199" s="1"/>
      <c r="J199" s="2">
        <f t="shared" ref="J199:N200" si="101">J200</f>
        <v>836500</v>
      </c>
      <c r="K199" s="2">
        <f t="shared" si="101"/>
        <v>825100</v>
      </c>
      <c r="L199" s="2"/>
      <c r="M199" s="2">
        <f t="shared" si="72"/>
        <v>825100</v>
      </c>
      <c r="N199" s="2">
        <f t="shared" si="101"/>
        <v>825100</v>
      </c>
      <c r="O199" s="15"/>
      <c r="P199" s="2">
        <f t="shared" si="73"/>
        <v>825100</v>
      </c>
    </row>
    <row r="200" spans="1:16" ht="36.75" customHeight="1" x14ac:dyDescent="0.25">
      <c r="A200" s="15"/>
      <c r="B200" s="275" t="s">
        <v>21</v>
      </c>
      <c r="C200" s="219"/>
      <c r="D200" s="219"/>
      <c r="E200" s="219">
        <v>852</v>
      </c>
      <c r="F200" s="1" t="s">
        <v>36</v>
      </c>
      <c r="G200" s="1" t="s">
        <v>57</v>
      </c>
      <c r="H200" s="1" t="s">
        <v>434</v>
      </c>
      <c r="I200" s="1" t="s">
        <v>23</v>
      </c>
      <c r="J200" s="2">
        <f t="shared" si="101"/>
        <v>836500</v>
      </c>
      <c r="K200" s="2">
        <f t="shared" si="101"/>
        <v>825100</v>
      </c>
      <c r="L200" s="2"/>
      <c r="M200" s="2">
        <f t="shared" si="72"/>
        <v>825100</v>
      </c>
      <c r="N200" s="2">
        <f t="shared" si="101"/>
        <v>825100</v>
      </c>
      <c r="O200" s="15"/>
      <c r="P200" s="2">
        <f t="shared" si="73"/>
        <v>825100</v>
      </c>
    </row>
    <row r="201" spans="1:16" ht="15.75" customHeight="1" x14ac:dyDescent="0.25">
      <c r="A201" s="15"/>
      <c r="B201" s="275" t="s">
        <v>24</v>
      </c>
      <c r="C201" s="219"/>
      <c r="D201" s="219"/>
      <c r="E201" s="219">
        <v>852</v>
      </c>
      <c r="F201" s="1" t="s">
        <v>36</v>
      </c>
      <c r="G201" s="1" t="s">
        <v>57</v>
      </c>
      <c r="H201" s="1" t="s">
        <v>434</v>
      </c>
      <c r="I201" s="1" t="s">
        <v>25</v>
      </c>
      <c r="J201" s="2">
        <f>825100+11400</f>
        <v>836500</v>
      </c>
      <c r="K201" s="2">
        <v>825100</v>
      </c>
      <c r="L201" s="2"/>
      <c r="M201" s="2">
        <f t="shared" si="72"/>
        <v>825100</v>
      </c>
      <c r="N201" s="2">
        <v>825100</v>
      </c>
      <c r="O201" s="15"/>
      <c r="P201" s="2">
        <f t="shared" si="73"/>
        <v>825100</v>
      </c>
    </row>
    <row r="202" spans="1:16" x14ac:dyDescent="0.25">
      <c r="A202" s="509" t="s">
        <v>132</v>
      </c>
      <c r="B202" s="509"/>
      <c r="C202" s="276"/>
      <c r="D202" s="276"/>
      <c r="E202" s="219">
        <v>852</v>
      </c>
      <c r="F202" s="1" t="s">
        <v>36</v>
      </c>
      <c r="G202" s="1" t="s">
        <v>57</v>
      </c>
      <c r="H202" s="1" t="s">
        <v>133</v>
      </c>
      <c r="I202" s="1"/>
      <c r="J202" s="2">
        <f>J203+J205+J207+J209</f>
        <v>9831800</v>
      </c>
      <c r="K202" s="2">
        <f t="shared" ref="K202:N202" si="102">K203+K205+K207+K209</f>
        <v>9831800</v>
      </c>
      <c r="L202" s="2"/>
      <c r="M202" s="2">
        <f t="shared" si="72"/>
        <v>9831800</v>
      </c>
      <c r="N202" s="2">
        <f t="shared" si="102"/>
        <v>9831800</v>
      </c>
      <c r="O202" s="15"/>
      <c r="P202" s="2">
        <f t="shared" si="73"/>
        <v>9831800</v>
      </c>
    </row>
    <row r="203" spans="1:16" ht="36.75" customHeight="1" x14ac:dyDescent="0.25">
      <c r="A203" s="15"/>
      <c r="B203" s="275" t="s">
        <v>21</v>
      </c>
      <c r="C203" s="219"/>
      <c r="D203" s="219"/>
      <c r="E203" s="219">
        <v>852</v>
      </c>
      <c r="F203" s="1" t="s">
        <v>36</v>
      </c>
      <c r="G203" s="1" t="s">
        <v>57</v>
      </c>
      <c r="H203" s="1" t="s">
        <v>133</v>
      </c>
      <c r="I203" s="1" t="s">
        <v>23</v>
      </c>
      <c r="J203" s="2">
        <f t="shared" ref="J203:N203" si="103">J204</f>
        <v>2427300</v>
      </c>
      <c r="K203" s="2">
        <f t="shared" si="103"/>
        <v>2427300</v>
      </c>
      <c r="L203" s="2"/>
      <c r="M203" s="2">
        <f t="shared" si="72"/>
        <v>2427300</v>
      </c>
      <c r="N203" s="2">
        <f t="shared" si="103"/>
        <v>2427300</v>
      </c>
      <c r="O203" s="15"/>
      <c r="P203" s="2">
        <f t="shared" si="73"/>
        <v>2427300</v>
      </c>
    </row>
    <row r="204" spans="1:16" ht="15" customHeight="1" x14ac:dyDescent="0.25">
      <c r="A204" s="15"/>
      <c r="B204" s="275" t="s">
        <v>24</v>
      </c>
      <c r="C204" s="219"/>
      <c r="D204" s="219"/>
      <c r="E204" s="219">
        <v>852</v>
      </c>
      <c r="F204" s="1" t="s">
        <v>36</v>
      </c>
      <c r="G204" s="1" t="s">
        <v>57</v>
      </c>
      <c r="H204" s="1" t="s">
        <v>133</v>
      </c>
      <c r="I204" s="1" t="s">
        <v>25</v>
      </c>
      <c r="J204" s="2">
        <f>1864300+563000</f>
        <v>2427300</v>
      </c>
      <c r="K204" s="2">
        <f t="shared" ref="K204:N204" si="104">1864300+563000</f>
        <v>2427300</v>
      </c>
      <c r="L204" s="2"/>
      <c r="M204" s="2">
        <f t="shared" ref="M204:M266" si="105">K204+L204</f>
        <v>2427300</v>
      </c>
      <c r="N204" s="2">
        <f t="shared" si="104"/>
        <v>2427300</v>
      </c>
      <c r="O204" s="15"/>
      <c r="P204" s="2">
        <f t="shared" ref="P204:P266" si="106">N204+O204</f>
        <v>2427300</v>
      </c>
    </row>
    <row r="205" spans="1:16" ht="15" customHeight="1" x14ac:dyDescent="0.25">
      <c r="A205" s="275"/>
      <c r="B205" s="276" t="s">
        <v>27</v>
      </c>
      <c r="C205" s="275"/>
      <c r="D205" s="275"/>
      <c r="E205" s="219">
        <v>852</v>
      </c>
      <c r="F205" s="1" t="s">
        <v>36</v>
      </c>
      <c r="G205" s="1" t="s">
        <v>57</v>
      </c>
      <c r="H205" s="1" t="s">
        <v>133</v>
      </c>
      <c r="I205" s="1" t="s">
        <v>28</v>
      </c>
      <c r="J205" s="2">
        <f t="shared" ref="J205:N207" si="107">J206</f>
        <v>505100</v>
      </c>
      <c r="K205" s="2">
        <f t="shared" si="107"/>
        <v>505100</v>
      </c>
      <c r="L205" s="2"/>
      <c r="M205" s="2">
        <f t="shared" si="105"/>
        <v>505100</v>
      </c>
      <c r="N205" s="2">
        <f t="shared" si="107"/>
        <v>505100</v>
      </c>
      <c r="O205" s="15"/>
      <c r="P205" s="2">
        <f t="shared" si="106"/>
        <v>505100</v>
      </c>
    </row>
    <row r="206" spans="1:16" ht="26.25" customHeight="1" x14ac:dyDescent="0.25">
      <c r="A206" s="275"/>
      <c r="B206" s="276" t="s">
        <v>29</v>
      </c>
      <c r="C206" s="276"/>
      <c r="D206" s="276"/>
      <c r="E206" s="219">
        <v>852</v>
      </c>
      <c r="F206" s="1" t="s">
        <v>36</v>
      </c>
      <c r="G206" s="1" t="s">
        <v>57</v>
      </c>
      <c r="H206" s="1" t="s">
        <v>133</v>
      </c>
      <c r="I206" s="1" t="s">
        <v>30</v>
      </c>
      <c r="J206" s="2">
        <f>2944406-J204-J210-6</f>
        <v>505100</v>
      </c>
      <c r="K206" s="2">
        <f t="shared" ref="K206:N206" si="108">2944406-K204-K210-6</f>
        <v>505100</v>
      </c>
      <c r="L206" s="2"/>
      <c r="M206" s="2">
        <f t="shared" si="105"/>
        <v>505100</v>
      </c>
      <c r="N206" s="2">
        <f t="shared" si="108"/>
        <v>505100</v>
      </c>
      <c r="O206" s="15"/>
      <c r="P206" s="2">
        <f t="shared" si="106"/>
        <v>505100</v>
      </c>
    </row>
    <row r="207" spans="1:16" ht="24" customHeight="1" x14ac:dyDescent="0.25">
      <c r="A207" s="276"/>
      <c r="B207" s="276" t="s">
        <v>91</v>
      </c>
      <c r="C207" s="276"/>
      <c r="D207" s="276"/>
      <c r="E207" s="219">
        <v>852</v>
      </c>
      <c r="F207" s="1" t="s">
        <v>36</v>
      </c>
      <c r="G207" s="1" t="s">
        <v>57</v>
      </c>
      <c r="H207" s="1" t="s">
        <v>133</v>
      </c>
      <c r="I207" s="1" t="s">
        <v>87</v>
      </c>
      <c r="J207" s="2">
        <f t="shared" si="107"/>
        <v>6887400</v>
      </c>
      <c r="K207" s="2">
        <f t="shared" si="107"/>
        <v>6887400</v>
      </c>
      <c r="L207" s="2"/>
      <c r="M207" s="2">
        <f t="shared" si="105"/>
        <v>6887400</v>
      </c>
      <c r="N207" s="2">
        <f t="shared" si="107"/>
        <v>6887400</v>
      </c>
      <c r="O207" s="15"/>
      <c r="P207" s="2">
        <f t="shared" si="106"/>
        <v>6887400</v>
      </c>
    </row>
    <row r="208" spans="1:16" ht="36.75" customHeight="1" x14ac:dyDescent="0.25">
      <c r="A208" s="276"/>
      <c r="B208" s="276" t="s">
        <v>88</v>
      </c>
      <c r="C208" s="276"/>
      <c r="D208" s="276"/>
      <c r="E208" s="219">
        <v>852</v>
      </c>
      <c r="F208" s="1" t="s">
        <v>36</v>
      </c>
      <c r="G208" s="1" t="s">
        <v>57</v>
      </c>
      <c r="H208" s="1" t="s">
        <v>133</v>
      </c>
      <c r="I208" s="1" t="s">
        <v>89</v>
      </c>
      <c r="J208" s="2">
        <v>6887400</v>
      </c>
      <c r="K208" s="2">
        <v>6887400</v>
      </c>
      <c r="L208" s="2"/>
      <c r="M208" s="2">
        <f t="shared" si="105"/>
        <v>6887400</v>
      </c>
      <c r="N208" s="2">
        <v>6887400</v>
      </c>
      <c r="O208" s="15"/>
      <c r="P208" s="2">
        <f t="shared" si="106"/>
        <v>6887400</v>
      </c>
    </row>
    <row r="209" spans="1:16" x14ac:dyDescent="0.25">
      <c r="A209" s="276"/>
      <c r="B209" s="276" t="s">
        <v>31</v>
      </c>
      <c r="C209" s="276"/>
      <c r="D209" s="276"/>
      <c r="E209" s="219">
        <v>852</v>
      </c>
      <c r="F209" s="1" t="s">
        <v>36</v>
      </c>
      <c r="G209" s="1" t="s">
        <v>57</v>
      </c>
      <c r="H209" s="1" t="s">
        <v>133</v>
      </c>
      <c r="I209" s="1" t="s">
        <v>32</v>
      </c>
      <c r="J209" s="2">
        <f t="shared" ref="J209:N209" si="109">J210</f>
        <v>12000</v>
      </c>
      <c r="K209" s="2">
        <f t="shared" si="109"/>
        <v>12000</v>
      </c>
      <c r="L209" s="2"/>
      <c r="M209" s="2">
        <f t="shared" si="105"/>
        <v>12000</v>
      </c>
      <c r="N209" s="2">
        <f t="shared" si="109"/>
        <v>12000</v>
      </c>
      <c r="O209" s="15"/>
      <c r="P209" s="2">
        <f t="shared" si="106"/>
        <v>12000</v>
      </c>
    </row>
    <row r="210" spans="1:16" ht="14.25" customHeight="1" x14ac:dyDescent="0.25">
      <c r="A210" s="276"/>
      <c r="B210" s="276" t="s">
        <v>33</v>
      </c>
      <c r="C210" s="276"/>
      <c r="D210" s="276"/>
      <c r="E210" s="219">
        <v>852</v>
      </c>
      <c r="F210" s="1" t="s">
        <v>36</v>
      </c>
      <c r="G210" s="1" t="s">
        <v>57</v>
      </c>
      <c r="H210" s="1" t="s">
        <v>133</v>
      </c>
      <c r="I210" s="1" t="s">
        <v>34</v>
      </c>
      <c r="J210" s="2">
        <v>12000</v>
      </c>
      <c r="K210" s="2">
        <v>12000</v>
      </c>
      <c r="L210" s="2"/>
      <c r="M210" s="2">
        <f t="shared" si="105"/>
        <v>12000</v>
      </c>
      <c r="N210" s="2">
        <v>12000</v>
      </c>
      <c r="O210" s="15"/>
      <c r="P210" s="2">
        <f t="shared" si="106"/>
        <v>12000</v>
      </c>
    </row>
    <row r="211" spans="1:16" s="13" customFormat="1" ht="38.25" customHeight="1" x14ac:dyDescent="0.25">
      <c r="A211" s="509" t="s">
        <v>113</v>
      </c>
      <c r="B211" s="509"/>
      <c r="C211" s="285"/>
      <c r="D211" s="285"/>
      <c r="E211" s="219">
        <v>852</v>
      </c>
      <c r="F211" s="1" t="s">
        <v>36</v>
      </c>
      <c r="G211" s="1" t="s">
        <v>57</v>
      </c>
      <c r="H211" s="1" t="s">
        <v>114</v>
      </c>
      <c r="I211" s="1"/>
      <c r="J211" s="2">
        <f>J212</f>
        <v>1399060</v>
      </c>
      <c r="K211" s="2">
        <f>K212</f>
        <v>1399060</v>
      </c>
      <c r="L211" s="2"/>
      <c r="M211" s="2">
        <f t="shared" si="105"/>
        <v>1399060</v>
      </c>
      <c r="N211" s="2">
        <f>N212</f>
        <v>1399060</v>
      </c>
      <c r="O211" s="329"/>
      <c r="P211" s="2">
        <f t="shared" si="106"/>
        <v>1399060</v>
      </c>
    </row>
    <row r="212" spans="1:16" s="13" customFormat="1" ht="14.25" customHeight="1" x14ac:dyDescent="0.25">
      <c r="A212" s="276"/>
      <c r="B212" s="276" t="s">
        <v>99</v>
      </c>
      <c r="C212" s="285"/>
      <c r="D212" s="285"/>
      <c r="E212" s="219">
        <v>852</v>
      </c>
      <c r="F212" s="1" t="s">
        <v>36</v>
      </c>
      <c r="G212" s="1" t="s">
        <v>57</v>
      </c>
      <c r="H212" s="1" t="s">
        <v>114</v>
      </c>
      <c r="I212" s="1" t="s">
        <v>100</v>
      </c>
      <c r="J212" s="2">
        <f t="shared" ref="J212:N212" si="110">J213</f>
        <v>1399060</v>
      </c>
      <c r="K212" s="2">
        <f t="shared" si="110"/>
        <v>1399060</v>
      </c>
      <c r="L212" s="2"/>
      <c r="M212" s="2">
        <f t="shared" si="105"/>
        <v>1399060</v>
      </c>
      <c r="N212" s="2">
        <f t="shared" si="110"/>
        <v>1399060</v>
      </c>
      <c r="O212" s="329"/>
      <c r="P212" s="2">
        <f t="shared" si="106"/>
        <v>1399060</v>
      </c>
    </row>
    <row r="213" spans="1:16" s="13" customFormat="1" ht="26.25" customHeight="1" x14ac:dyDescent="0.25">
      <c r="A213" s="276"/>
      <c r="B213" s="276" t="s">
        <v>134</v>
      </c>
      <c r="C213" s="285"/>
      <c r="D213" s="285"/>
      <c r="E213" s="219">
        <v>852</v>
      </c>
      <c r="F213" s="1" t="s">
        <v>36</v>
      </c>
      <c r="G213" s="1" t="s">
        <v>57</v>
      </c>
      <c r="H213" s="1" t="s">
        <v>114</v>
      </c>
      <c r="I213" s="1" t="s">
        <v>101</v>
      </c>
      <c r="J213" s="2">
        <v>1399060</v>
      </c>
      <c r="K213" s="2">
        <v>1399060</v>
      </c>
      <c r="L213" s="2"/>
      <c r="M213" s="2">
        <f t="shared" si="105"/>
        <v>1399060</v>
      </c>
      <c r="N213" s="2">
        <v>1399060</v>
      </c>
      <c r="O213" s="329"/>
      <c r="P213" s="2">
        <f t="shared" si="106"/>
        <v>1399060</v>
      </c>
    </row>
    <row r="214" spans="1:16" x14ac:dyDescent="0.25">
      <c r="A214" s="503" t="s">
        <v>96</v>
      </c>
      <c r="B214" s="503"/>
      <c r="C214" s="284"/>
      <c r="D214" s="284"/>
      <c r="E214" s="219">
        <v>852</v>
      </c>
      <c r="F214" s="7" t="s">
        <v>0</v>
      </c>
      <c r="G214" s="7"/>
      <c r="H214" s="7"/>
      <c r="I214" s="7"/>
      <c r="J214" s="8">
        <f>J215+J219+J231</f>
        <v>9232836</v>
      </c>
      <c r="K214" s="8">
        <f>K215+K219+K231</f>
        <v>9377236</v>
      </c>
      <c r="L214" s="8">
        <f t="shared" ref="L214:P214" si="111">L215+L219+L231</f>
        <v>0</v>
      </c>
      <c r="M214" s="8">
        <f t="shared" si="111"/>
        <v>9377236</v>
      </c>
      <c r="N214" s="8">
        <f t="shared" si="111"/>
        <v>9371036</v>
      </c>
      <c r="O214" s="8">
        <f t="shared" si="111"/>
        <v>0</v>
      </c>
      <c r="P214" s="8">
        <f t="shared" si="111"/>
        <v>9371036</v>
      </c>
    </row>
    <row r="215" spans="1:16" x14ac:dyDescent="0.25">
      <c r="A215" s="508" t="s">
        <v>102</v>
      </c>
      <c r="B215" s="508"/>
      <c r="C215" s="280"/>
      <c r="D215" s="280"/>
      <c r="E215" s="219">
        <v>852</v>
      </c>
      <c r="F215" s="11" t="s">
        <v>0</v>
      </c>
      <c r="G215" s="11" t="s">
        <v>3</v>
      </c>
      <c r="H215" s="11"/>
      <c r="I215" s="11"/>
      <c r="J215" s="12">
        <f>J216</f>
        <v>93000</v>
      </c>
      <c r="K215" s="12">
        <f>K216</f>
        <v>87000</v>
      </c>
      <c r="L215" s="12">
        <f t="shared" ref="L215:P215" si="112">L216</f>
        <v>0</v>
      </c>
      <c r="M215" s="12">
        <f t="shared" si="112"/>
        <v>87000</v>
      </c>
      <c r="N215" s="12">
        <f t="shared" si="112"/>
        <v>87000</v>
      </c>
      <c r="O215" s="12">
        <f t="shared" si="112"/>
        <v>0</v>
      </c>
      <c r="P215" s="12">
        <f t="shared" si="112"/>
        <v>87000</v>
      </c>
    </row>
    <row r="216" spans="1:16" ht="24" customHeight="1" x14ac:dyDescent="0.25">
      <c r="A216" s="509" t="s">
        <v>135</v>
      </c>
      <c r="B216" s="509"/>
      <c r="C216" s="280"/>
      <c r="D216" s="280"/>
      <c r="E216" s="219">
        <v>852</v>
      </c>
      <c r="F216" s="1" t="s">
        <v>0</v>
      </c>
      <c r="G216" s="1" t="s">
        <v>3</v>
      </c>
      <c r="H216" s="1" t="s">
        <v>136</v>
      </c>
      <c r="I216" s="11"/>
      <c r="J216" s="2">
        <f t="shared" ref="J216:N217" si="113">J217</f>
        <v>93000</v>
      </c>
      <c r="K216" s="2">
        <f t="shared" si="113"/>
        <v>87000</v>
      </c>
      <c r="L216" s="2"/>
      <c r="M216" s="2">
        <f t="shared" si="105"/>
        <v>87000</v>
      </c>
      <c r="N216" s="2">
        <f t="shared" si="113"/>
        <v>87000</v>
      </c>
      <c r="O216" s="15"/>
      <c r="P216" s="2">
        <f t="shared" si="106"/>
        <v>87000</v>
      </c>
    </row>
    <row r="217" spans="1:16" ht="15" customHeight="1" x14ac:dyDescent="0.25">
      <c r="A217" s="15"/>
      <c r="B217" s="275" t="s">
        <v>99</v>
      </c>
      <c r="C217" s="275"/>
      <c r="D217" s="275"/>
      <c r="E217" s="219">
        <v>852</v>
      </c>
      <c r="F217" s="1" t="s">
        <v>0</v>
      </c>
      <c r="G217" s="1" t="s">
        <v>3</v>
      </c>
      <c r="H217" s="1" t="s">
        <v>136</v>
      </c>
      <c r="I217" s="1" t="s">
        <v>100</v>
      </c>
      <c r="J217" s="2">
        <f t="shared" si="113"/>
        <v>93000</v>
      </c>
      <c r="K217" s="2">
        <f t="shared" si="113"/>
        <v>87000</v>
      </c>
      <c r="L217" s="2"/>
      <c r="M217" s="2">
        <f t="shared" si="105"/>
        <v>87000</v>
      </c>
      <c r="N217" s="2">
        <f t="shared" si="113"/>
        <v>87000</v>
      </c>
      <c r="O217" s="15"/>
      <c r="P217" s="2">
        <f t="shared" si="106"/>
        <v>87000</v>
      </c>
    </row>
    <row r="218" spans="1:16" ht="24.75" customHeight="1" x14ac:dyDescent="0.25">
      <c r="A218" s="276"/>
      <c r="B218" s="275" t="s">
        <v>134</v>
      </c>
      <c r="C218" s="275"/>
      <c r="D218" s="275"/>
      <c r="E218" s="219">
        <v>852</v>
      </c>
      <c r="F218" s="1" t="s">
        <v>0</v>
      </c>
      <c r="G218" s="1" t="s">
        <v>3</v>
      </c>
      <c r="H218" s="1" t="s">
        <v>136</v>
      </c>
      <c r="I218" s="1" t="s">
        <v>101</v>
      </c>
      <c r="J218" s="2">
        <v>93000</v>
      </c>
      <c r="K218" s="2">
        <v>87000</v>
      </c>
      <c r="L218" s="2"/>
      <c r="M218" s="2">
        <f t="shared" si="105"/>
        <v>87000</v>
      </c>
      <c r="N218" s="2">
        <v>87000</v>
      </c>
      <c r="O218" s="15"/>
      <c r="P218" s="2">
        <f t="shared" si="106"/>
        <v>87000</v>
      </c>
    </row>
    <row r="219" spans="1:16" x14ac:dyDescent="0.25">
      <c r="A219" s="508" t="s">
        <v>103</v>
      </c>
      <c r="B219" s="508"/>
      <c r="C219" s="285"/>
      <c r="D219" s="285"/>
      <c r="E219" s="219">
        <v>852</v>
      </c>
      <c r="F219" s="11" t="s">
        <v>0</v>
      </c>
      <c r="G219" s="11" t="s">
        <v>6</v>
      </c>
      <c r="H219" s="11"/>
      <c r="I219" s="11"/>
      <c r="J219" s="12">
        <f t="shared" ref="J219:P219" si="114">J220+J223+J228</f>
        <v>7971036</v>
      </c>
      <c r="K219" s="12">
        <f t="shared" si="114"/>
        <v>8121436</v>
      </c>
      <c r="L219" s="12">
        <f t="shared" si="114"/>
        <v>0</v>
      </c>
      <c r="M219" s="12">
        <f t="shared" si="114"/>
        <v>8121436</v>
      </c>
      <c r="N219" s="12">
        <f t="shared" si="114"/>
        <v>8115236</v>
      </c>
      <c r="O219" s="12">
        <f t="shared" si="114"/>
        <v>0</v>
      </c>
      <c r="P219" s="12">
        <f t="shared" si="114"/>
        <v>8115236</v>
      </c>
    </row>
    <row r="220" spans="1:16" ht="35.25" customHeight="1" x14ac:dyDescent="0.25">
      <c r="A220" s="509" t="s">
        <v>469</v>
      </c>
      <c r="B220" s="509"/>
      <c r="C220" s="285"/>
      <c r="D220" s="285"/>
      <c r="E220" s="219">
        <v>852</v>
      </c>
      <c r="F220" s="1" t="s">
        <v>0</v>
      </c>
      <c r="G220" s="1" t="s">
        <v>6</v>
      </c>
      <c r="H220" s="1" t="s">
        <v>141</v>
      </c>
      <c r="I220" s="11"/>
      <c r="J220" s="2">
        <f t="shared" ref="J220:N221" si="115">J221</f>
        <v>836736</v>
      </c>
      <c r="K220" s="2">
        <f t="shared" si="115"/>
        <v>836736</v>
      </c>
      <c r="L220" s="2"/>
      <c r="M220" s="2">
        <f t="shared" si="105"/>
        <v>836736</v>
      </c>
      <c r="N220" s="2">
        <f t="shared" si="115"/>
        <v>836736</v>
      </c>
      <c r="O220" s="15"/>
      <c r="P220" s="2">
        <f t="shared" si="106"/>
        <v>836736</v>
      </c>
    </row>
    <row r="221" spans="1:16" ht="13.5" customHeight="1" x14ac:dyDescent="0.25">
      <c r="A221" s="15"/>
      <c r="B221" s="275" t="s">
        <v>99</v>
      </c>
      <c r="C221" s="275"/>
      <c r="D221" s="275"/>
      <c r="E221" s="219">
        <v>852</v>
      </c>
      <c r="F221" s="1" t="s">
        <v>0</v>
      </c>
      <c r="G221" s="1" t="s">
        <v>6</v>
      </c>
      <c r="H221" s="1" t="s">
        <v>141</v>
      </c>
      <c r="I221" s="1" t="s">
        <v>100</v>
      </c>
      <c r="J221" s="2">
        <f t="shared" si="115"/>
        <v>836736</v>
      </c>
      <c r="K221" s="2">
        <f t="shared" si="115"/>
        <v>836736</v>
      </c>
      <c r="L221" s="2"/>
      <c r="M221" s="2">
        <f t="shared" si="105"/>
        <v>836736</v>
      </c>
      <c r="N221" s="2">
        <f t="shared" si="115"/>
        <v>836736</v>
      </c>
      <c r="O221" s="15"/>
      <c r="P221" s="2">
        <f t="shared" si="106"/>
        <v>836736</v>
      </c>
    </row>
    <row r="222" spans="1:16" ht="24" customHeight="1" x14ac:dyDescent="0.25">
      <c r="A222" s="276"/>
      <c r="B222" s="275" t="s">
        <v>134</v>
      </c>
      <c r="C222" s="275"/>
      <c r="D222" s="275"/>
      <c r="E222" s="219">
        <v>852</v>
      </c>
      <c r="F222" s="1" t="s">
        <v>0</v>
      </c>
      <c r="G222" s="1" t="s">
        <v>6</v>
      </c>
      <c r="H222" s="1" t="s">
        <v>141</v>
      </c>
      <c r="I222" s="1" t="s">
        <v>101</v>
      </c>
      <c r="J222" s="2">
        <v>836736</v>
      </c>
      <c r="K222" s="2">
        <v>836736</v>
      </c>
      <c r="L222" s="2"/>
      <c r="M222" s="2">
        <f t="shared" si="105"/>
        <v>836736</v>
      </c>
      <c r="N222" s="2">
        <v>836736</v>
      </c>
      <c r="O222" s="15"/>
      <c r="P222" s="2">
        <f t="shared" si="106"/>
        <v>836736</v>
      </c>
    </row>
    <row r="223" spans="1:16" ht="48" customHeight="1" x14ac:dyDescent="0.25">
      <c r="A223" s="530" t="s">
        <v>2</v>
      </c>
      <c r="B223" s="530"/>
      <c r="C223" s="275"/>
      <c r="D223" s="275"/>
      <c r="E223" s="219">
        <v>852</v>
      </c>
      <c r="F223" s="1" t="s">
        <v>0</v>
      </c>
      <c r="G223" s="1" t="s">
        <v>6</v>
      </c>
      <c r="H223" s="1" t="s">
        <v>4</v>
      </c>
      <c r="I223" s="1"/>
      <c r="J223" s="2">
        <f t="shared" ref="J223:N223" si="116">J224+J226</f>
        <v>6976300</v>
      </c>
      <c r="K223" s="2">
        <f t="shared" si="116"/>
        <v>7074600</v>
      </c>
      <c r="L223" s="2"/>
      <c r="M223" s="2">
        <f t="shared" si="105"/>
        <v>7074600</v>
      </c>
      <c r="N223" s="2">
        <f t="shared" si="116"/>
        <v>7074600</v>
      </c>
      <c r="O223" s="15"/>
      <c r="P223" s="2">
        <f t="shared" si="106"/>
        <v>7074600</v>
      </c>
    </row>
    <row r="224" spans="1:16" ht="12.75" customHeight="1" x14ac:dyDescent="0.25">
      <c r="A224" s="15"/>
      <c r="B224" s="276" t="s">
        <v>27</v>
      </c>
      <c r="C224" s="275"/>
      <c r="D224" s="275"/>
      <c r="E224" s="219">
        <v>852</v>
      </c>
      <c r="F224" s="1" t="s">
        <v>137</v>
      </c>
      <c r="G224" s="1" t="s">
        <v>6</v>
      </c>
      <c r="H224" s="1" t="s">
        <v>4</v>
      </c>
      <c r="I224" s="1" t="s">
        <v>28</v>
      </c>
      <c r="J224" s="2">
        <f t="shared" ref="J224:N224" si="117">J225</f>
        <v>1795108</v>
      </c>
      <c r="K224" s="2">
        <f t="shared" si="117"/>
        <v>1795108</v>
      </c>
      <c r="L224" s="2"/>
      <c r="M224" s="2">
        <f t="shared" si="105"/>
        <v>1795108</v>
      </c>
      <c r="N224" s="2">
        <f t="shared" si="117"/>
        <v>1795108</v>
      </c>
      <c r="O224" s="15"/>
      <c r="P224" s="2">
        <f t="shared" si="106"/>
        <v>1795108</v>
      </c>
    </row>
    <row r="225" spans="1:16" ht="25.5" customHeight="1" x14ac:dyDescent="0.25">
      <c r="A225" s="15"/>
      <c r="B225" s="276" t="s">
        <v>29</v>
      </c>
      <c r="C225" s="276"/>
      <c r="D225" s="276"/>
      <c r="E225" s="219">
        <v>852</v>
      </c>
      <c r="F225" s="1" t="s">
        <v>137</v>
      </c>
      <c r="G225" s="1" t="s">
        <v>6</v>
      </c>
      <c r="H225" s="1" t="s">
        <v>4</v>
      </c>
      <c r="I225" s="1" t="s">
        <v>30</v>
      </c>
      <c r="J225" s="2">
        <f>1697810+97298</f>
        <v>1795108</v>
      </c>
      <c r="K225" s="2">
        <f>1697810+97298</f>
        <v>1795108</v>
      </c>
      <c r="L225" s="2"/>
      <c r="M225" s="2">
        <f t="shared" si="105"/>
        <v>1795108</v>
      </c>
      <c r="N225" s="2">
        <f>1697810+97298</f>
        <v>1795108</v>
      </c>
      <c r="O225" s="15"/>
      <c r="P225" s="2">
        <f t="shared" si="106"/>
        <v>1795108</v>
      </c>
    </row>
    <row r="226" spans="1:16" ht="12.75" customHeight="1" x14ac:dyDescent="0.25">
      <c r="A226" s="241"/>
      <c r="B226" s="275" t="s">
        <v>99</v>
      </c>
      <c r="C226" s="275"/>
      <c r="D226" s="275"/>
      <c r="E226" s="219">
        <v>852</v>
      </c>
      <c r="F226" s="1" t="s">
        <v>0</v>
      </c>
      <c r="G226" s="1" t="s">
        <v>6</v>
      </c>
      <c r="H226" s="1" t="s">
        <v>4</v>
      </c>
      <c r="I226" s="1" t="s">
        <v>100</v>
      </c>
      <c r="J226" s="2">
        <f t="shared" ref="J226:N226" si="118">J227</f>
        <v>5181192</v>
      </c>
      <c r="K226" s="2">
        <f t="shared" si="118"/>
        <v>5279492</v>
      </c>
      <c r="L226" s="2"/>
      <c r="M226" s="2">
        <f t="shared" si="105"/>
        <v>5279492</v>
      </c>
      <c r="N226" s="2">
        <f t="shared" si="118"/>
        <v>5279492</v>
      </c>
      <c r="O226" s="15"/>
      <c r="P226" s="2">
        <f t="shared" si="106"/>
        <v>5279492</v>
      </c>
    </row>
    <row r="227" spans="1:16" ht="27.75" customHeight="1" x14ac:dyDescent="0.25">
      <c r="A227" s="241"/>
      <c r="B227" s="275" t="s">
        <v>252</v>
      </c>
      <c r="C227" s="275"/>
      <c r="D227" s="275"/>
      <c r="E227" s="219">
        <v>852</v>
      </c>
      <c r="F227" s="1" t="s">
        <v>0</v>
      </c>
      <c r="G227" s="1" t="s">
        <v>6</v>
      </c>
      <c r="H227" s="1" t="s">
        <v>4</v>
      </c>
      <c r="I227" s="1" t="s">
        <v>8</v>
      </c>
      <c r="J227" s="2">
        <f>3238668+1942569-45</f>
        <v>5181192</v>
      </c>
      <c r="K227" s="2">
        <f>3238668+1942569-45+98300</f>
        <v>5279492</v>
      </c>
      <c r="L227" s="2"/>
      <c r="M227" s="2">
        <f t="shared" si="105"/>
        <v>5279492</v>
      </c>
      <c r="N227" s="2">
        <f>3238668+1942569-45+98300</f>
        <v>5279492</v>
      </c>
      <c r="O227" s="15"/>
      <c r="P227" s="2">
        <f t="shared" si="106"/>
        <v>5279492</v>
      </c>
    </row>
    <row r="228" spans="1:16" ht="35.25" customHeight="1" x14ac:dyDescent="0.25">
      <c r="A228" s="509" t="s">
        <v>5</v>
      </c>
      <c r="B228" s="509"/>
      <c r="C228" s="275"/>
      <c r="D228" s="275"/>
      <c r="E228" s="219">
        <v>852</v>
      </c>
      <c r="F228" s="1" t="s">
        <v>0</v>
      </c>
      <c r="G228" s="1" t="s">
        <v>6</v>
      </c>
      <c r="H228" s="1" t="s">
        <v>7</v>
      </c>
      <c r="I228" s="1"/>
      <c r="J228" s="2">
        <f t="shared" ref="J228:N229" si="119">J229</f>
        <v>158000</v>
      </c>
      <c r="K228" s="2">
        <f t="shared" si="119"/>
        <v>210100</v>
      </c>
      <c r="L228" s="2"/>
      <c r="M228" s="2">
        <f t="shared" si="105"/>
        <v>210100</v>
      </c>
      <c r="N228" s="2">
        <f t="shared" si="119"/>
        <v>203900</v>
      </c>
      <c r="O228" s="15"/>
      <c r="P228" s="2">
        <f t="shared" si="106"/>
        <v>203900</v>
      </c>
    </row>
    <row r="229" spans="1:16" ht="15" customHeight="1" x14ac:dyDescent="0.25">
      <c r="A229" s="241"/>
      <c r="B229" s="275" t="s">
        <v>99</v>
      </c>
      <c r="C229" s="275"/>
      <c r="D229" s="275"/>
      <c r="E229" s="219">
        <v>852</v>
      </c>
      <c r="F229" s="1" t="s">
        <v>0</v>
      </c>
      <c r="G229" s="1" t="s">
        <v>6</v>
      </c>
      <c r="H229" s="1" t="s">
        <v>7</v>
      </c>
      <c r="I229" s="1" t="s">
        <v>100</v>
      </c>
      <c r="J229" s="2">
        <f t="shared" si="119"/>
        <v>158000</v>
      </c>
      <c r="K229" s="2">
        <f t="shared" si="119"/>
        <v>210100</v>
      </c>
      <c r="L229" s="2"/>
      <c r="M229" s="2">
        <f t="shared" si="105"/>
        <v>210100</v>
      </c>
      <c r="N229" s="2">
        <f t="shared" si="119"/>
        <v>203900</v>
      </c>
      <c r="O229" s="15"/>
      <c r="P229" s="2">
        <f t="shared" si="106"/>
        <v>203900</v>
      </c>
    </row>
    <row r="230" spans="1:16" ht="27" customHeight="1" x14ac:dyDescent="0.25">
      <c r="A230" s="241"/>
      <c r="B230" s="275" t="s">
        <v>252</v>
      </c>
      <c r="C230" s="275"/>
      <c r="D230" s="275"/>
      <c r="E230" s="219">
        <v>852</v>
      </c>
      <c r="F230" s="1" t="s">
        <v>0</v>
      </c>
      <c r="G230" s="1" t="s">
        <v>6</v>
      </c>
      <c r="H230" s="1" t="s">
        <v>7</v>
      </c>
      <c r="I230" s="1" t="s">
        <v>8</v>
      </c>
      <c r="J230" s="2">
        <v>158000</v>
      </c>
      <c r="K230" s="2">
        <v>210100</v>
      </c>
      <c r="L230" s="2"/>
      <c r="M230" s="2">
        <f t="shared" si="105"/>
        <v>210100</v>
      </c>
      <c r="N230" s="2">
        <v>203900</v>
      </c>
      <c r="O230" s="15"/>
      <c r="P230" s="2">
        <f t="shared" si="106"/>
        <v>203900</v>
      </c>
    </row>
    <row r="231" spans="1:16" x14ac:dyDescent="0.25">
      <c r="A231" s="508" t="s">
        <v>106</v>
      </c>
      <c r="B231" s="508"/>
      <c r="C231" s="285"/>
      <c r="D231" s="285"/>
      <c r="E231" s="219">
        <v>852</v>
      </c>
      <c r="F231" s="11" t="s">
        <v>0</v>
      </c>
      <c r="G231" s="11" t="s">
        <v>1</v>
      </c>
      <c r="H231" s="11"/>
      <c r="I231" s="11"/>
      <c r="J231" s="12">
        <f t="shared" ref="J231:P231" si="120">J232+J237</f>
        <v>1168800</v>
      </c>
      <c r="K231" s="12">
        <f t="shared" si="120"/>
        <v>1168800</v>
      </c>
      <c r="L231" s="12">
        <f t="shared" si="120"/>
        <v>0</v>
      </c>
      <c r="M231" s="12">
        <f t="shared" si="120"/>
        <v>1168800</v>
      </c>
      <c r="N231" s="12">
        <f t="shared" si="120"/>
        <v>1168800</v>
      </c>
      <c r="O231" s="12">
        <f t="shared" si="120"/>
        <v>0</v>
      </c>
      <c r="P231" s="12">
        <f t="shared" si="120"/>
        <v>1168800</v>
      </c>
    </row>
    <row r="232" spans="1:16" ht="45" customHeight="1" x14ac:dyDescent="0.25">
      <c r="A232" s="509" t="s">
        <v>45</v>
      </c>
      <c r="B232" s="509"/>
      <c r="C232" s="219"/>
      <c r="D232" s="219"/>
      <c r="E232" s="219">
        <v>852</v>
      </c>
      <c r="F232" s="1" t="s">
        <v>0</v>
      </c>
      <c r="G232" s="1" t="s">
        <v>1</v>
      </c>
      <c r="H232" s="1" t="s">
        <v>142</v>
      </c>
      <c r="I232" s="1"/>
      <c r="J232" s="2">
        <f t="shared" ref="J232:N232" si="121">J233+J235</f>
        <v>510800</v>
      </c>
      <c r="K232" s="2">
        <f t="shared" si="121"/>
        <v>510800</v>
      </c>
      <c r="L232" s="2"/>
      <c r="M232" s="2">
        <f t="shared" si="105"/>
        <v>510800</v>
      </c>
      <c r="N232" s="2">
        <f t="shared" si="121"/>
        <v>510800</v>
      </c>
      <c r="O232" s="15"/>
      <c r="P232" s="2">
        <f t="shared" si="106"/>
        <v>510800</v>
      </c>
    </row>
    <row r="233" spans="1:16" ht="36.75" customHeight="1" x14ac:dyDescent="0.25">
      <c r="A233" s="15"/>
      <c r="B233" s="275" t="s">
        <v>21</v>
      </c>
      <c r="C233" s="219"/>
      <c r="D233" s="219"/>
      <c r="E233" s="219">
        <v>852</v>
      </c>
      <c r="F233" s="18" t="s">
        <v>0</v>
      </c>
      <c r="G233" s="18" t="s">
        <v>1</v>
      </c>
      <c r="H233" s="1" t="s">
        <v>142</v>
      </c>
      <c r="I233" s="1" t="s">
        <v>23</v>
      </c>
      <c r="J233" s="2">
        <f t="shared" ref="J233:N233" si="122">J234</f>
        <v>379550</v>
      </c>
      <c r="K233" s="2">
        <f t="shared" si="122"/>
        <v>431934</v>
      </c>
      <c r="L233" s="2"/>
      <c r="M233" s="2">
        <f t="shared" si="105"/>
        <v>431934</v>
      </c>
      <c r="N233" s="2">
        <f t="shared" si="122"/>
        <v>431934</v>
      </c>
      <c r="O233" s="15"/>
      <c r="P233" s="2">
        <f t="shared" si="106"/>
        <v>431934</v>
      </c>
    </row>
    <row r="234" spans="1:16" ht="15" customHeight="1" x14ac:dyDescent="0.25">
      <c r="A234" s="15"/>
      <c r="B234" s="275" t="s">
        <v>24</v>
      </c>
      <c r="C234" s="219"/>
      <c r="D234" s="219"/>
      <c r="E234" s="219">
        <v>852</v>
      </c>
      <c r="F234" s="18" t="s">
        <v>0</v>
      </c>
      <c r="G234" s="18" t="s">
        <v>1</v>
      </c>
      <c r="H234" s="1" t="s">
        <v>142</v>
      </c>
      <c r="I234" s="1" t="s">
        <v>25</v>
      </c>
      <c r="J234" s="2">
        <f>431934-52384</f>
        <v>379550</v>
      </c>
      <c r="K234" s="2">
        <v>431934</v>
      </c>
      <c r="L234" s="2"/>
      <c r="M234" s="2">
        <f t="shared" si="105"/>
        <v>431934</v>
      </c>
      <c r="N234" s="2">
        <v>431934</v>
      </c>
      <c r="O234" s="197"/>
      <c r="P234" s="2">
        <f t="shared" si="106"/>
        <v>431934</v>
      </c>
    </row>
    <row r="235" spans="1:16" ht="15" customHeight="1" x14ac:dyDescent="0.25">
      <c r="A235" s="15"/>
      <c r="B235" s="276" t="s">
        <v>27</v>
      </c>
      <c r="C235" s="219"/>
      <c r="D235" s="219"/>
      <c r="E235" s="219">
        <v>852</v>
      </c>
      <c r="F235" s="18" t="s">
        <v>0</v>
      </c>
      <c r="G235" s="18" t="s">
        <v>1</v>
      </c>
      <c r="H235" s="1" t="s">
        <v>142</v>
      </c>
      <c r="I235" s="1" t="s">
        <v>28</v>
      </c>
      <c r="J235" s="2">
        <f t="shared" ref="J235:N235" si="123">J236</f>
        <v>131250</v>
      </c>
      <c r="K235" s="2">
        <f t="shared" si="123"/>
        <v>78866</v>
      </c>
      <c r="L235" s="2"/>
      <c r="M235" s="2">
        <f t="shared" si="105"/>
        <v>78866</v>
      </c>
      <c r="N235" s="2">
        <f t="shared" si="123"/>
        <v>78866</v>
      </c>
      <c r="O235" s="15"/>
      <c r="P235" s="2">
        <f t="shared" si="106"/>
        <v>78866</v>
      </c>
    </row>
    <row r="236" spans="1:16" ht="24" customHeight="1" x14ac:dyDescent="0.25">
      <c r="A236" s="15"/>
      <c r="B236" s="276" t="s">
        <v>29</v>
      </c>
      <c r="C236" s="219"/>
      <c r="D236" s="219"/>
      <c r="E236" s="219">
        <v>852</v>
      </c>
      <c r="F236" s="18" t="s">
        <v>0</v>
      </c>
      <c r="G236" s="18" t="s">
        <v>1</v>
      </c>
      <c r="H236" s="1" t="s">
        <v>142</v>
      </c>
      <c r="I236" s="1" t="s">
        <v>30</v>
      </c>
      <c r="J236" s="2">
        <f>78866+52384</f>
        <v>131250</v>
      </c>
      <c r="K236" s="2">
        <v>78866</v>
      </c>
      <c r="L236" s="2"/>
      <c r="M236" s="2">
        <f t="shared" si="105"/>
        <v>78866</v>
      </c>
      <c r="N236" s="2">
        <v>78866</v>
      </c>
      <c r="O236" s="197"/>
      <c r="P236" s="2">
        <f t="shared" si="106"/>
        <v>78866</v>
      </c>
    </row>
    <row r="237" spans="1:16" ht="44.25" customHeight="1" x14ac:dyDescent="0.25">
      <c r="A237" s="530" t="s">
        <v>2</v>
      </c>
      <c r="B237" s="530"/>
      <c r="C237" s="275"/>
      <c r="D237" s="275"/>
      <c r="E237" s="219">
        <v>852</v>
      </c>
      <c r="F237" s="1" t="s">
        <v>0</v>
      </c>
      <c r="G237" s="1" t="s">
        <v>1</v>
      </c>
      <c r="H237" s="1" t="s">
        <v>4</v>
      </c>
      <c r="I237" s="1"/>
      <c r="J237" s="2">
        <f t="shared" ref="J237:N237" si="124">J238+J240</f>
        <v>658000</v>
      </c>
      <c r="K237" s="2">
        <f t="shared" si="124"/>
        <v>658000</v>
      </c>
      <c r="L237" s="2"/>
      <c r="M237" s="2">
        <f t="shared" si="105"/>
        <v>658000</v>
      </c>
      <c r="N237" s="2">
        <f t="shared" si="124"/>
        <v>658000</v>
      </c>
      <c r="O237" s="15"/>
      <c r="P237" s="2">
        <f t="shared" si="106"/>
        <v>658000</v>
      </c>
    </row>
    <row r="238" spans="1:16" ht="36" customHeight="1" x14ac:dyDescent="0.25">
      <c r="A238" s="276"/>
      <c r="B238" s="275" t="s">
        <v>21</v>
      </c>
      <c r="C238" s="276"/>
      <c r="D238" s="276"/>
      <c r="E238" s="219">
        <v>852</v>
      </c>
      <c r="F238" s="18" t="s">
        <v>0</v>
      </c>
      <c r="G238" s="18" t="s">
        <v>1</v>
      </c>
      <c r="H238" s="1" t="s">
        <v>4</v>
      </c>
      <c r="I238" s="1" t="s">
        <v>23</v>
      </c>
      <c r="J238" s="2">
        <f t="shared" ref="J238:N238" si="125">J239</f>
        <v>420900</v>
      </c>
      <c r="K238" s="2">
        <f t="shared" si="125"/>
        <v>420900</v>
      </c>
      <c r="L238" s="2"/>
      <c r="M238" s="2">
        <f t="shared" si="105"/>
        <v>420900</v>
      </c>
      <c r="N238" s="2">
        <f t="shared" si="125"/>
        <v>420900</v>
      </c>
      <c r="O238" s="15"/>
      <c r="P238" s="2">
        <f t="shared" si="106"/>
        <v>420900</v>
      </c>
    </row>
    <row r="239" spans="1:16" ht="15" customHeight="1" x14ac:dyDescent="0.25">
      <c r="A239" s="15"/>
      <c r="B239" s="275" t="s">
        <v>24</v>
      </c>
      <c r="C239" s="275"/>
      <c r="D239" s="275"/>
      <c r="E239" s="219">
        <v>852</v>
      </c>
      <c r="F239" s="18" t="s">
        <v>0</v>
      </c>
      <c r="G239" s="18" t="s">
        <v>1</v>
      </c>
      <c r="H239" s="1" t="s">
        <v>4</v>
      </c>
      <c r="I239" s="1" t="s">
        <v>25</v>
      </c>
      <c r="J239" s="2">
        <v>420900</v>
      </c>
      <c r="K239" s="2">
        <v>420900</v>
      </c>
      <c r="L239" s="2"/>
      <c r="M239" s="2">
        <f t="shared" si="105"/>
        <v>420900</v>
      </c>
      <c r="N239" s="2">
        <v>420900</v>
      </c>
      <c r="O239" s="15"/>
      <c r="P239" s="2">
        <f t="shared" si="106"/>
        <v>420900</v>
      </c>
    </row>
    <row r="240" spans="1:16" ht="15" customHeight="1" x14ac:dyDescent="0.25">
      <c r="A240" s="15"/>
      <c r="B240" s="276" t="s">
        <v>27</v>
      </c>
      <c r="C240" s="275"/>
      <c r="D240" s="275"/>
      <c r="E240" s="219">
        <v>852</v>
      </c>
      <c r="F240" s="18" t="s">
        <v>0</v>
      </c>
      <c r="G240" s="18" t="s">
        <v>1</v>
      </c>
      <c r="H240" s="1" t="s">
        <v>4</v>
      </c>
      <c r="I240" s="1" t="s">
        <v>28</v>
      </c>
      <c r="J240" s="2">
        <f t="shared" ref="J240:N240" si="126">J241</f>
        <v>237100</v>
      </c>
      <c r="K240" s="2">
        <f t="shared" si="126"/>
        <v>237100</v>
      </c>
      <c r="L240" s="2"/>
      <c r="M240" s="2">
        <f t="shared" si="105"/>
        <v>237100</v>
      </c>
      <c r="N240" s="2">
        <f t="shared" si="126"/>
        <v>237100</v>
      </c>
      <c r="O240" s="15"/>
      <c r="P240" s="2">
        <f t="shared" si="106"/>
        <v>237100</v>
      </c>
    </row>
    <row r="241" spans="1:16" ht="14.25" customHeight="1" x14ac:dyDescent="0.25">
      <c r="A241" s="15"/>
      <c r="B241" s="276" t="s">
        <v>29</v>
      </c>
      <c r="C241" s="276"/>
      <c r="D241" s="276"/>
      <c r="E241" s="219">
        <v>852</v>
      </c>
      <c r="F241" s="18" t="s">
        <v>0</v>
      </c>
      <c r="G241" s="18" t="s">
        <v>1</v>
      </c>
      <c r="H241" s="1" t="s">
        <v>4</v>
      </c>
      <c r="I241" s="1" t="s">
        <v>30</v>
      </c>
      <c r="J241" s="2">
        <v>237100</v>
      </c>
      <c r="K241" s="2">
        <v>237100</v>
      </c>
      <c r="L241" s="2"/>
      <c r="M241" s="2">
        <f t="shared" si="105"/>
        <v>237100</v>
      </c>
      <c r="N241" s="2">
        <v>237100</v>
      </c>
      <c r="O241" s="15"/>
      <c r="P241" s="2">
        <f t="shared" si="106"/>
        <v>237100</v>
      </c>
    </row>
    <row r="242" spans="1:16" ht="18" customHeight="1" x14ac:dyDescent="0.25">
      <c r="A242" s="531" t="s">
        <v>143</v>
      </c>
      <c r="B242" s="531"/>
      <c r="C242" s="293"/>
      <c r="D242" s="293"/>
      <c r="E242" s="288">
        <v>853</v>
      </c>
      <c r="F242" s="1"/>
      <c r="G242" s="1"/>
      <c r="H242" s="1"/>
      <c r="I242" s="1"/>
      <c r="J242" s="8">
        <f>J243+J257+J262+J267+J276</f>
        <v>19120517</v>
      </c>
      <c r="K242" s="8">
        <f>K243+K257+K262+K267+K276</f>
        <v>26959641</v>
      </c>
      <c r="L242" s="8">
        <f t="shared" ref="L242:P242" si="127">L243+L257+L262+L267+L276</f>
        <v>-1278900</v>
      </c>
      <c r="M242" s="8">
        <f t="shared" si="127"/>
        <v>25680741</v>
      </c>
      <c r="N242" s="8">
        <f t="shared" si="127"/>
        <v>26629614</v>
      </c>
      <c r="O242" s="8">
        <f t="shared" si="127"/>
        <v>-883900</v>
      </c>
      <c r="P242" s="8">
        <f t="shared" si="127"/>
        <v>25745714</v>
      </c>
    </row>
    <row r="243" spans="1:16" s="10" customFormat="1" x14ac:dyDescent="0.25">
      <c r="A243" s="503" t="s">
        <v>16</v>
      </c>
      <c r="B243" s="503"/>
      <c r="C243" s="281"/>
      <c r="D243" s="281"/>
      <c r="E243" s="28">
        <v>853</v>
      </c>
      <c r="F243" s="7" t="s">
        <v>17</v>
      </c>
      <c r="G243" s="7"/>
      <c r="H243" s="7"/>
      <c r="I243" s="7"/>
      <c r="J243" s="8">
        <f>J244+J253</f>
        <v>3735500</v>
      </c>
      <c r="K243" s="8">
        <f>K244+K253</f>
        <v>3735500</v>
      </c>
      <c r="L243" s="8">
        <f t="shared" ref="L243:P243" si="128">L244+L253</f>
        <v>0</v>
      </c>
      <c r="M243" s="8">
        <f t="shared" si="128"/>
        <v>3735500</v>
      </c>
      <c r="N243" s="8">
        <f t="shared" si="128"/>
        <v>3735500</v>
      </c>
      <c r="O243" s="8">
        <f t="shared" si="128"/>
        <v>0</v>
      </c>
      <c r="P243" s="8">
        <f t="shared" si="128"/>
        <v>3735500</v>
      </c>
    </row>
    <row r="244" spans="1:16" s="13" customFormat="1" ht="27.75" customHeight="1" x14ac:dyDescent="0.25">
      <c r="A244" s="508" t="s">
        <v>144</v>
      </c>
      <c r="B244" s="508"/>
      <c r="C244" s="279"/>
      <c r="D244" s="279"/>
      <c r="E244" s="28">
        <v>853</v>
      </c>
      <c r="F244" s="11" t="s">
        <v>17</v>
      </c>
      <c r="G244" s="11" t="s">
        <v>1</v>
      </c>
      <c r="H244" s="11"/>
      <c r="I244" s="11"/>
      <c r="J244" s="12">
        <f>J245</f>
        <v>3735300</v>
      </c>
      <c r="K244" s="12">
        <f>K245</f>
        <v>3735300</v>
      </c>
      <c r="L244" s="12">
        <f t="shared" ref="L244:P244" si="129">L245</f>
        <v>0</v>
      </c>
      <c r="M244" s="12">
        <f t="shared" si="129"/>
        <v>3735300</v>
      </c>
      <c r="N244" s="12">
        <f t="shared" si="129"/>
        <v>3735300</v>
      </c>
      <c r="O244" s="12">
        <f t="shared" si="129"/>
        <v>0</v>
      </c>
      <c r="P244" s="12">
        <f t="shared" si="129"/>
        <v>3735300</v>
      </c>
    </row>
    <row r="245" spans="1:16" ht="27.75" customHeight="1" x14ac:dyDescent="0.25">
      <c r="A245" s="509" t="s">
        <v>26</v>
      </c>
      <c r="B245" s="509"/>
      <c r="C245" s="219"/>
      <c r="D245" s="219"/>
      <c r="E245" s="28">
        <v>853</v>
      </c>
      <c r="F245" s="1" t="s">
        <v>22</v>
      </c>
      <c r="G245" s="1" t="s">
        <v>1</v>
      </c>
      <c r="H245" s="1" t="s">
        <v>251</v>
      </c>
      <c r="I245" s="1"/>
      <c r="J245" s="2">
        <f t="shared" ref="J245:N245" si="130">J246+J248+J250</f>
        <v>3735300</v>
      </c>
      <c r="K245" s="2">
        <f t="shared" si="130"/>
        <v>3735300</v>
      </c>
      <c r="L245" s="2"/>
      <c r="M245" s="2">
        <f t="shared" si="105"/>
        <v>3735300</v>
      </c>
      <c r="N245" s="2">
        <f t="shared" si="130"/>
        <v>3735300</v>
      </c>
      <c r="O245" s="15"/>
      <c r="P245" s="2">
        <f t="shared" si="106"/>
        <v>3735300</v>
      </c>
    </row>
    <row r="246" spans="1:16" ht="36" customHeight="1" x14ac:dyDescent="0.25">
      <c r="A246" s="15"/>
      <c r="B246" s="275" t="s">
        <v>21</v>
      </c>
      <c r="C246" s="219"/>
      <c r="D246" s="219"/>
      <c r="E246" s="28">
        <v>853</v>
      </c>
      <c r="F246" s="1" t="s">
        <v>17</v>
      </c>
      <c r="G246" s="1" t="s">
        <v>1</v>
      </c>
      <c r="H246" s="1" t="s">
        <v>251</v>
      </c>
      <c r="I246" s="1" t="s">
        <v>23</v>
      </c>
      <c r="J246" s="2">
        <f t="shared" ref="J246:N246" si="131">J247</f>
        <v>3406500</v>
      </c>
      <c r="K246" s="2">
        <f t="shared" si="131"/>
        <v>3406500</v>
      </c>
      <c r="L246" s="2"/>
      <c r="M246" s="2">
        <f t="shared" si="105"/>
        <v>3406500</v>
      </c>
      <c r="N246" s="2">
        <f t="shared" si="131"/>
        <v>3406500</v>
      </c>
      <c r="O246" s="15"/>
      <c r="P246" s="2">
        <f t="shared" si="106"/>
        <v>3406500</v>
      </c>
    </row>
    <row r="247" spans="1:16" ht="14.25" customHeight="1" x14ac:dyDescent="0.25">
      <c r="A247" s="15"/>
      <c r="B247" s="275" t="s">
        <v>24</v>
      </c>
      <c r="C247" s="219"/>
      <c r="D247" s="219"/>
      <c r="E247" s="28">
        <v>853</v>
      </c>
      <c r="F247" s="1" t="s">
        <v>17</v>
      </c>
      <c r="G247" s="1" t="s">
        <v>1</v>
      </c>
      <c r="H247" s="1" t="s">
        <v>251</v>
      </c>
      <c r="I247" s="1" t="s">
        <v>25</v>
      </c>
      <c r="J247" s="2">
        <f>3406447+53</f>
        <v>3406500</v>
      </c>
      <c r="K247" s="2">
        <f t="shared" ref="K247:N247" si="132">3406447+53</f>
        <v>3406500</v>
      </c>
      <c r="L247" s="2"/>
      <c r="M247" s="2">
        <f t="shared" si="105"/>
        <v>3406500</v>
      </c>
      <c r="N247" s="2">
        <f t="shared" si="132"/>
        <v>3406500</v>
      </c>
      <c r="O247" s="15"/>
      <c r="P247" s="2">
        <f t="shared" si="106"/>
        <v>3406500</v>
      </c>
    </row>
    <row r="248" spans="1:16" ht="14.25" customHeight="1" x14ac:dyDescent="0.25">
      <c r="A248" s="15"/>
      <c r="B248" s="276" t="s">
        <v>27</v>
      </c>
      <c r="C248" s="219"/>
      <c r="D248" s="219"/>
      <c r="E248" s="28">
        <v>853</v>
      </c>
      <c r="F248" s="1" t="s">
        <v>17</v>
      </c>
      <c r="G248" s="1" t="s">
        <v>1</v>
      </c>
      <c r="H248" s="1" t="s">
        <v>251</v>
      </c>
      <c r="I248" s="1" t="s">
        <v>28</v>
      </c>
      <c r="J248" s="2">
        <f t="shared" ref="J248:N248" si="133">J249</f>
        <v>314800</v>
      </c>
      <c r="K248" s="2">
        <f t="shared" si="133"/>
        <v>314800</v>
      </c>
      <c r="L248" s="2"/>
      <c r="M248" s="2">
        <f t="shared" si="105"/>
        <v>314800</v>
      </c>
      <c r="N248" s="2">
        <f t="shared" si="133"/>
        <v>314800</v>
      </c>
      <c r="O248" s="15"/>
      <c r="P248" s="2">
        <f t="shared" si="106"/>
        <v>314800</v>
      </c>
    </row>
    <row r="249" spans="1:16" ht="26.25" customHeight="1" x14ac:dyDescent="0.25">
      <c r="A249" s="15"/>
      <c r="B249" s="276" t="s">
        <v>29</v>
      </c>
      <c r="C249" s="219"/>
      <c r="D249" s="219"/>
      <c r="E249" s="28">
        <v>853</v>
      </c>
      <c r="F249" s="1" t="s">
        <v>17</v>
      </c>
      <c r="G249" s="1" t="s">
        <v>1</v>
      </c>
      <c r="H249" s="1" t="s">
        <v>251</v>
      </c>
      <c r="I249" s="1" t="s">
        <v>30</v>
      </c>
      <c r="J249" s="2">
        <f>318400-3600</f>
        <v>314800</v>
      </c>
      <c r="K249" s="2">
        <f t="shared" ref="K249:N249" si="134">318400-3600</f>
        <v>314800</v>
      </c>
      <c r="L249" s="2"/>
      <c r="M249" s="2">
        <f t="shared" si="105"/>
        <v>314800</v>
      </c>
      <c r="N249" s="2">
        <f t="shared" si="134"/>
        <v>314800</v>
      </c>
      <c r="O249" s="15"/>
      <c r="P249" s="2">
        <f t="shared" si="106"/>
        <v>314800</v>
      </c>
    </row>
    <row r="250" spans="1:16" x14ac:dyDescent="0.25">
      <c r="A250" s="15"/>
      <c r="B250" s="276" t="s">
        <v>31</v>
      </c>
      <c r="C250" s="219"/>
      <c r="D250" s="219"/>
      <c r="E250" s="28">
        <v>853</v>
      </c>
      <c r="F250" s="1" t="s">
        <v>17</v>
      </c>
      <c r="G250" s="1" t="s">
        <v>1</v>
      </c>
      <c r="H250" s="1" t="s">
        <v>251</v>
      </c>
      <c r="I250" s="1" t="s">
        <v>32</v>
      </c>
      <c r="J250" s="2">
        <f>J251+J252</f>
        <v>14000</v>
      </c>
      <c r="K250" s="2">
        <f t="shared" ref="K250:N250" si="135">K251</f>
        <v>14000</v>
      </c>
      <c r="L250" s="2"/>
      <c r="M250" s="2">
        <f t="shared" si="105"/>
        <v>14000</v>
      </c>
      <c r="N250" s="2">
        <f t="shared" si="135"/>
        <v>14000</v>
      </c>
      <c r="O250" s="15"/>
      <c r="P250" s="2">
        <f t="shared" si="106"/>
        <v>14000</v>
      </c>
    </row>
    <row r="251" spans="1:16" ht="13.5" customHeight="1" x14ac:dyDescent="0.25">
      <c r="A251" s="15"/>
      <c r="B251" s="276" t="s">
        <v>33</v>
      </c>
      <c r="C251" s="219"/>
      <c r="D251" s="219"/>
      <c r="E251" s="63">
        <v>853</v>
      </c>
      <c r="F251" s="1" t="s">
        <v>17</v>
      </c>
      <c r="G251" s="1" t="s">
        <v>1</v>
      </c>
      <c r="H251" s="1" t="s">
        <v>251</v>
      </c>
      <c r="I251" s="1" t="s">
        <v>34</v>
      </c>
      <c r="J251" s="2">
        <f>14000-130</f>
        <v>13870</v>
      </c>
      <c r="K251" s="2">
        <v>14000</v>
      </c>
      <c r="L251" s="2"/>
      <c r="M251" s="2">
        <f t="shared" si="105"/>
        <v>14000</v>
      </c>
      <c r="N251" s="2">
        <v>14000</v>
      </c>
      <c r="O251" s="15"/>
      <c r="P251" s="2">
        <f t="shared" si="106"/>
        <v>14000</v>
      </c>
    </row>
    <row r="252" spans="1:16" ht="13.5" customHeight="1" x14ac:dyDescent="0.25">
      <c r="A252" s="15"/>
      <c r="B252" s="275" t="s">
        <v>466</v>
      </c>
      <c r="C252" s="219"/>
      <c r="D252" s="219"/>
      <c r="E252" s="63">
        <v>853</v>
      </c>
      <c r="F252" s="1" t="s">
        <v>17</v>
      </c>
      <c r="G252" s="1" t="s">
        <v>1</v>
      </c>
      <c r="H252" s="1" t="s">
        <v>251</v>
      </c>
      <c r="I252" s="1" t="s">
        <v>35</v>
      </c>
      <c r="J252" s="2">
        <v>130</v>
      </c>
      <c r="K252" s="2"/>
      <c r="L252" s="2"/>
      <c r="M252" s="2">
        <f t="shared" si="105"/>
        <v>0</v>
      </c>
      <c r="N252" s="2"/>
      <c r="O252" s="15"/>
      <c r="P252" s="2">
        <f t="shared" si="106"/>
        <v>0</v>
      </c>
    </row>
    <row r="253" spans="1:16" s="13" customFormat="1" x14ac:dyDescent="0.25">
      <c r="A253" s="508" t="s">
        <v>43</v>
      </c>
      <c r="B253" s="508"/>
      <c r="C253" s="285"/>
      <c r="D253" s="285"/>
      <c r="E253" s="63">
        <v>853</v>
      </c>
      <c r="F253" s="11" t="s">
        <v>17</v>
      </c>
      <c r="G253" s="11" t="s">
        <v>44</v>
      </c>
      <c r="H253" s="11"/>
      <c r="I253" s="11"/>
      <c r="J253" s="12">
        <f t="shared" ref="J253:P255" si="136">J254</f>
        <v>200</v>
      </c>
      <c r="K253" s="12">
        <f t="shared" si="136"/>
        <v>200</v>
      </c>
      <c r="L253" s="12">
        <f t="shared" si="136"/>
        <v>0</v>
      </c>
      <c r="M253" s="12">
        <f t="shared" si="136"/>
        <v>200</v>
      </c>
      <c r="N253" s="12">
        <f t="shared" si="136"/>
        <v>200</v>
      </c>
      <c r="O253" s="12">
        <f t="shared" si="136"/>
        <v>0</v>
      </c>
      <c r="P253" s="12">
        <f t="shared" si="136"/>
        <v>200</v>
      </c>
    </row>
    <row r="254" spans="1:16" ht="44.25" customHeight="1" x14ac:dyDescent="0.25">
      <c r="A254" s="509" t="s">
        <v>45</v>
      </c>
      <c r="B254" s="509"/>
      <c r="C254" s="219"/>
      <c r="D254" s="219"/>
      <c r="E254" s="63">
        <v>853</v>
      </c>
      <c r="F254" s="1" t="s">
        <v>17</v>
      </c>
      <c r="G254" s="1" t="s">
        <v>44</v>
      </c>
      <c r="H254" s="1" t="s">
        <v>46</v>
      </c>
      <c r="I254" s="1"/>
      <c r="J254" s="2">
        <f t="shared" si="136"/>
        <v>200</v>
      </c>
      <c r="K254" s="2">
        <f t="shared" si="136"/>
        <v>200</v>
      </c>
      <c r="L254" s="2"/>
      <c r="M254" s="2">
        <f t="shared" si="105"/>
        <v>200</v>
      </c>
      <c r="N254" s="2">
        <f t="shared" si="136"/>
        <v>200</v>
      </c>
      <c r="O254" s="15"/>
      <c r="P254" s="2">
        <f t="shared" si="106"/>
        <v>200</v>
      </c>
    </row>
    <row r="255" spans="1:16" x14ac:dyDescent="0.25">
      <c r="A255" s="15"/>
      <c r="B255" s="275" t="s">
        <v>145</v>
      </c>
      <c r="C255" s="283"/>
      <c r="D255" s="283"/>
      <c r="E255" s="28">
        <v>853</v>
      </c>
      <c r="F255" s="1" t="s">
        <v>17</v>
      </c>
      <c r="G255" s="18" t="s">
        <v>44</v>
      </c>
      <c r="H255" s="1" t="s">
        <v>46</v>
      </c>
      <c r="I255" s="1" t="s">
        <v>146</v>
      </c>
      <c r="J255" s="2">
        <f t="shared" si="136"/>
        <v>200</v>
      </c>
      <c r="K255" s="2">
        <f t="shared" si="136"/>
        <v>200</v>
      </c>
      <c r="L255" s="2"/>
      <c r="M255" s="2">
        <f t="shared" si="105"/>
        <v>200</v>
      </c>
      <c r="N255" s="2">
        <f t="shared" si="136"/>
        <v>200</v>
      </c>
      <c r="O255" s="15"/>
      <c r="P255" s="2">
        <f t="shared" si="106"/>
        <v>200</v>
      </c>
    </row>
    <row r="256" spans="1:16" x14ac:dyDescent="0.25">
      <c r="A256" s="15"/>
      <c r="B256" s="275" t="s">
        <v>147</v>
      </c>
      <c r="C256" s="283"/>
      <c r="D256" s="283"/>
      <c r="E256" s="28">
        <v>853</v>
      </c>
      <c r="F256" s="1" t="s">
        <v>17</v>
      </c>
      <c r="G256" s="18" t="s">
        <v>44</v>
      </c>
      <c r="H256" s="1" t="s">
        <v>46</v>
      </c>
      <c r="I256" s="1" t="s">
        <v>148</v>
      </c>
      <c r="J256" s="2">
        <v>200</v>
      </c>
      <c r="K256" s="2">
        <v>200</v>
      </c>
      <c r="L256" s="2"/>
      <c r="M256" s="2">
        <f t="shared" si="105"/>
        <v>200</v>
      </c>
      <c r="N256" s="2">
        <v>200</v>
      </c>
      <c r="O256" s="15"/>
      <c r="P256" s="2">
        <f t="shared" si="106"/>
        <v>200</v>
      </c>
    </row>
    <row r="257" spans="1:16" s="10" customFormat="1" x14ac:dyDescent="0.25">
      <c r="A257" s="503" t="s">
        <v>149</v>
      </c>
      <c r="B257" s="503"/>
      <c r="C257" s="284"/>
      <c r="D257" s="29"/>
      <c r="E257" s="28">
        <v>853</v>
      </c>
      <c r="F257" s="7" t="s">
        <v>72</v>
      </c>
      <c r="G257" s="7"/>
      <c r="H257" s="7"/>
      <c r="I257" s="7"/>
      <c r="J257" s="8">
        <f t="shared" ref="J257:P260" si="137">J258</f>
        <v>800617</v>
      </c>
      <c r="K257" s="8">
        <f t="shared" si="137"/>
        <v>810399</v>
      </c>
      <c r="L257" s="8">
        <f t="shared" si="137"/>
        <v>0</v>
      </c>
      <c r="M257" s="8">
        <f t="shared" si="137"/>
        <v>810399</v>
      </c>
      <c r="N257" s="8">
        <f t="shared" si="137"/>
        <v>774567</v>
      </c>
      <c r="O257" s="8">
        <f t="shared" si="137"/>
        <v>0</v>
      </c>
      <c r="P257" s="8">
        <f t="shared" si="137"/>
        <v>774567</v>
      </c>
    </row>
    <row r="258" spans="1:16" s="31" customFormat="1" x14ac:dyDescent="0.25">
      <c r="A258" s="532" t="s">
        <v>150</v>
      </c>
      <c r="B258" s="532"/>
      <c r="C258" s="289"/>
      <c r="D258" s="30"/>
      <c r="E258" s="28">
        <v>853</v>
      </c>
      <c r="F258" s="11" t="s">
        <v>72</v>
      </c>
      <c r="G258" s="11" t="s">
        <v>3</v>
      </c>
      <c r="H258" s="11"/>
      <c r="I258" s="11"/>
      <c r="J258" s="12">
        <f t="shared" si="137"/>
        <v>800617</v>
      </c>
      <c r="K258" s="12">
        <f t="shared" si="137"/>
        <v>810399</v>
      </c>
      <c r="L258" s="12">
        <f t="shared" si="137"/>
        <v>0</v>
      </c>
      <c r="M258" s="12">
        <f t="shared" si="137"/>
        <v>810399</v>
      </c>
      <c r="N258" s="12">
        <f t="shared" si="137"/>
        <v>774567</v>
      </c>
      <c r="O258" s="12">
        <f t="shared" si="137"/>
        <v>0</v>
      </c>
      <c r="P258" s="12">
        <f t="shared" si="137"/>
        <v>774567</v>
      </c>
    </row>
    <row r="259" spans="1:16" s="23" customFormat="1" ht="40.5" customHeight="1" x14ac:dyDescent="0.25">
      <c r="A259" s="533" t="s">
        <v>499</v>
      </c>
      <c r="B259" s="533"/>
      <c r="C259" s="275"/>
      <c r="E259" s="28">
        <v>853</v>
      </c>
      <c r="F259" s="111" t="s">
        <v>72</v>
      </c>
      <c r="G259" s="111" t="s">
        <v>3</v>
      </c>
      <c r="H259" s="111" t="s">
        <v>438</v>
      </c>
      <c r="I259" s="178" t="s">
        <v>151</v>
      </c>
      <c r="J259" s="37">
        <f t="shared" si="137"/>
        <v>800617</v>
      </c>
      <c r="K259" s="37">
        <f t="shared" si="137"/>
        <v>810399</v>
      </c>
      <c r="L259" s="37"/>
      <c r="M259" s="2">
        <f t="shared" si="105"/>
        <v>810399</v>
      </c>
      <c r="N259" s="37">
        <f t="shared" si="137"/>
        <v>774567</v>
      </c>
      <c r="O259" s="328"/>
      <c r="P259" s="2">
        <f t="shared" si="106"/>
        <v>774567</v>
      </c>
    </row>
    <row r="260" spans="1:16" s="23" customFormat="1" x14ac:dyDescent="0.25">
      <c r="A260" s="275"/>
      <c r="B260" s="276" t="s">
        <v>145</v>
      </c>
      <c r="C260" s="275"/>
      <c r="E260" s="28">
        <v>853</v>
      </c>
      <c r="F260" s="111" t="s">
        <v>72</v>
      </c>
      <c r="G260" s="111" t="s">
        <v>3</v>
      </c>
      <c r="H260" s="111" t="s">
        <v>438</v>
      </c>
      <c r="I260" s="111" t="s">
        <v>146</v>
      </c>
      <c r="J260" s="37">
        <f t="shared" si="137"/>
        <v>800617</v>
      </c>
      <c r="K260" s="37">
        <f t="shared" si="137"/>
        <v>810399</v>
      </c>
      <c r="L260" s="37"/>
      <c r="M260" s="2">
        <f t="shared" si="105"/>
        <v>810399</v>
      </c>
      <c r="N260" s="37">
        <f t="shared" si="137"/>
        <v>774567</v>
      </c>
      <c r="O260" s="328"/>
      <c r="P260" s="2">
        <f t="shared" si="106"/>
        <v>774567</v>
      </c>
    </row>
    <row r="261" spans="1:16" s="23" customFormat="1" x14ac:dyDescent="0.25">
      <c r="A261" s="275"/>
      <c r="B261" s="276" t="s">
        <v>147</v>
      </c>
      <c r="C261" s="275"/>
      <c r="E261" s="28">
        <v>853</v>
      </c>
      <c r="F261" s="111" t="s">
        <v>72</v>
      </c>
      <c r="G261" s="111" t="s">
        <v>3</v>
      </c>
      <c r="H261" s="111" t="s">
        <v>438</v>
      </c>
      <c r="I261" s="111" t="s">
        <v>148</v>
      </c>
      <c r="J261" s="37">
        <v>800617</v>
      </c>
      <c r="K261" s="37">
        <v>810399</v>
      </c>
      <c r="L261" s="37"/>
      <c r="M261" s="2">
        <f t="shared" si="105"/>
        <v>810399</v>
      </c>
      <c r="N261" s="37">
        <v>774567</v>
      </c>
      <c r="O261" s="328"/>
      <c r="P261" s="2">
        <f t="shared" si="106"/>
        <v>774567</v>
      </c>
    </row>
    <row r="262" spans="1:16" x14ac:dyDescent="0.25">
      <c r="A262" s="503" t="s">
        <v>83</v>
      </c>
      <c r="B262" s="503"/>
      <c r="C262" s="281"/>
      <c r="D262" s="281"/>
      <c r="E262" s="28">
        <v>853</v>
      </c>
      <c r="F262" s="7" t="s">
        <v>84</v>
      </c>
      <c r="G262" s="7"/>
      <c r="H262" s="7"/>
      <c r="I262" s="7"/>
      <c r="J262" s="8">
        <f>J263</f>
        <v>95400</v>
      </c>
      <c r="K262" s="8">
        <f>K263</f>
        <v>95400</v>
      </c>
      <c r="L262" s="8">
        <f t="shared" ref="L262:P262" si="138">L263</f>
        <v>0</v>
      </c>
      <c r="M262" s="8">
        <f t="shared" si="138"/>
        <v>95400</v>
      </c>
      <c r="N262" s="8">
        <f t="shared" si="138"/>
        <v>95400</v>
      </c>
      <c r="O262" s="8">
        <f t="shared" si="138"/>
        <v>0</v>
      </c>
      <c r="P262" s="8">
        <f t="shared" si="138"/>
        <v>95400</v>
      </c>
    </row>
    <row r="263" spans="1:16" x14ac:dyDescent="0.25">
      <c r="A263" s="508" t="s">
        <v>94</v>
      </c>
      <c r="B263" s="508"/>
      <c r="C263" s="279"/>
      <c r="D263" s="279"/>
      <c r="E263" s="28">
        <v>853</v>
      </c>
      <c r="F263" s="11" t="s">
        <v>84</v>
      </c>
      <c r="G263" s="11" t="s">
        <v>6</v>
      </c>
      <c r="H263" s="11"/>
      <c r="I263" s="11"/>
      <c r="J263" s="22">
        <f t="shared" ref="J263:P265" si="139">J264</f>
        <v>95400</v>
      </c>
      <c r="K263" s="22">
        <f t="shared" si="139"/>
        <v>95400</v>
      </c>
      <c r="L263" s="22">
        <f t="shared" si="139"/>
        <v>0</v>
      </c>
      <c r="M263" s="22">
        <f t="shared" si="139"/>
        <v>95400</v>
      </c>
      <c r="N263" s="22">
        <f t="shared" si="139"/>
        <v>95400</v>
      </c>
      <c r="O263" s="22">
        <f t="shared" si="139"/>
        <v>0</v>
      </c>
      <c r="P263" s="22">
        <f t="shared" si="139"/>
        <v>95400</v>
      </c>
    </row>
    <row r="264" spans="1:16" ht="36.75" customHeight="1" x14ac:dyDescent="0.25">
      <c r="A264" s="509" t="s">
        <v>86</v>
      </c>
      <c r="B264" s="509"/>
      <c r="C264" s="276"/>
      <c r="D264" s="276"/>
      <c r="E264" s="219">
        <v>853</v>
      </c>
      <c r="F264" s="1" t="s">
        <v>84</v>
      </c>
      <c r="G264" s="1" t="s">
        <v>17</v>
      </c>
      <c r="H264" s="1" t="s">
        <v>152</v>
      </c>
      <c r="I264" s="1"/>
      <c r="J264" s="2">
        <f t="shared" si="139"/>
        <v>95400</v>
      </c>
      <c r="K264" s="2">
        <f t="shared" si="139"/>
        <v>95400</v>
      </c>
      <c r="L264" s="2"/>
      <c r="M264" s="2">
        <f t="shared" si="105"/>
        <v>95400</v>
      </c>
      <c r="N264" s="2">
        <f t="shared" si="139"/>
        <v>95400</v>
      </c>
      <c r="O264" s="15"/>
      <c r="P264" s="2">
        <f t="shared" si="106"/>
        <v>95400</v>
      </c>
    </row>
    <row r="265" spans="1:16" x14ac:dyDescent="0.25">
      <c r="A265" s="15"/>
      <c r="B265" s="276" t="s">
        <v>145</v>
      </c>
      <c r="C265" s="275"/>
      <c r="D265" s="275"/>
      <c r="E265" s="28">
        <v>853</v>
      </c>
      <c r="F265" s="1" t="s">
        <v>84</v>
      </c>
      <c r="G265" s="1" t="s">
        <v>6</v>
      </c>
      <c r="H265" s="1" t="s">
        <v>152</v>
      </c>
      <c r="I265" s="1" t="s">
        <v>146</v>
      </c>
      <c r="J265" s="2">
        <f t="shared" si="139"/>
        <v>95400</v>
      </c>
      <c r="K265" s="2">
        <f t="shared" si="139"/>
        <v>95400</v>
      </c>
      <c r="L265" s="2"/>
      <c r="M265" s="2">
        <f t="shared" si="105"/>
        <v>95400</v>
      </c>
      <c r="N265" s="2">
        <f t="shared" si="139"/>
        <v>95400</v>
      </c>
      <c r="O265" s="15"/>
      <c r="P265" s="2">
        <f t="shared" si="106"/>
        <v>95400</v>
      </c>
    </row>
    <row r="266" spans="1:16" x14ac:dyDescent="0.25">
      <c r="A266" s="276"/>
      <c r="B266" s="276" t="s">
        <v>147</v>
      </c>
      <c r="C266" s="276"/>
      <c r="D266" s="276"/>
      <c r="E266" s="28">
        <v>853</v>
      </c>
      <c r="F266" s="1" t="s">
        <v>84</v>
      </c>
      <c r="G266" s="1" t="s">
        <v>6</v>
      </c>
      <c r="H266" s="1" t="s">
        <v>152</v>
      </c>
      <c r="I266" s="1" t="s">
        <v>148</v>
      </c>
      <c r="J266" s="2">
        <v>95400</v>
      </c>
      <c r="K266" s="2">
        <v>95400</v>
      </c>
      <c r="L266" s="2"/>
      <c r="M266" s="2">
        <f t="shared" si="105"/>
        <v>95400</v>
      </c>
      <c r="N266" s="2">
        <v>95400</v>
      </c>
      <c r="O266" s="15"/>
      <c r="P266" s="2">
        <f t="shared" si="106"/>
        <v>95400</v>
      </c>
    </row>
    <row r="267" spans="1:16" ht="28.5" customHeight="1" x14ac:dyDescent="0.25">
      <c r="A267" s="503" t="s">
        <v>658</v>
      </c>
      <c r="B267" s="503"/>
      <c r="C267" s="281"/>
      <c r="D267" s="281"/>
      <c r="E267" s="28">
        <v>853</v>
      </c>
      <c r="F267" s="34" t="s">
        <v>153</v>
      </c>
      <c r="G267" s="34"/>
      <c r="H267" s="34"/>
      <c r="I267" s="34"/>
      <c r="J267" s="35">
        <f t="shared" ref="J267:K267" si="140">J268+J272</f>
        <v>14489000</v>
      </c>
      <c r="K267" s="35">
        <f t="shared" si="140"/>
        <v>18671000</v>
      </c>
      <c r="L267" s="35">
        <f t="shared" ref="L267:P267" si="141">L268+L272</f>
        <v>-1278900</v>
      </c>
      <c r="M267" s="35">
        <f t="shared" si="141"/>
        <v>17392100</v>
      </c>
      <c r="N267" s="35">
        <f t="shared" si="141"/>
        <v>14721000</v>
      </c>
      <c r="O267" s="35">
        <f t="shared" si="141"/>
        <v>-883900</v>
      </c>
      <c r="P267" s="35">
        <f t="shared" si="141"/>
        <v>13837100</v>
      </c>
    </row>
    <row r="268" spans="1:16" ht="24" customHeight="1" x14ac:dyDescent="0.25">
      <c r="A268" s="508" t="s">
        <v>154</v>
      </c>
      <c r="B268" s="508"/>
      <c r="C268" s="279"/>
      <c r="D268" s="279"/>
      <c r="E268" s="28">
        <v>853</v>
      </c>
      <c r="F268" s="20" t="s">
        <v>153</v>
      </c>
      <c r="G268" s="20" t="s">
        <v>17</v>
      </c>
      <c r="H268" s="177"/>
      <c r="I268" s="20"/>
      <c r="J268" s="36">
        <f t="shared" ref="J268:P270" si="142">J269</f>
        <v>5882000</v>
      </c>
      <c r="K268" s="36">
        <f t="shared" si="142"/>
        <v>5882000</v>
      </c>
      <c r="L268" s="36">
        <f t="shared" si="142"/>
        <v>0</v>
      </c>
      <c r="M268" s="36">
        <f t="shared" si="142"/>
        <v>5882000</v>
      </c>
      <c r="N268" s="36">
        <f t="shared" si="142"/>
        <v>5882000</v>
      </c>
      <c r="O268" s="36">
        <f t="shared" si="142"/>
        <v>0</v>
      </c>
      <c r="P268" s="36">
        <f t="shared" si="142"/>
        <v>5882000</v>
      </c>
    </row>
    <row r="269" spans="1:16" x14ac:dyDescent="0.25">
      <c r="A269" s="509" t="s">
        <v>155</v>
      </c>
      <c r="B269" s="509"/>
      <c r="C269" s="279"/>
      <c r="D269" s="279"/>
      <c r="E269" s="28">
        <v>853</v>
      </c>
      <c r="F269" s="20" t="s">
        <v>153</v>
      </c>
      <c r="G269" s="20" t="s">
        <v>17</v>
      </c>
      <c r="H269" s="18" t="s">
        <v>156</v>
      </c>
      <c r="I269" s="20"/>
      <c r="J269" s="37">
        <f t="shared" si="142"/>
        <v>5882000</v>
      </c>
      <c r="K269" s="37">
        <f t="shared" si="142"/>
        <v>5882000</v>
      </c>
      <c r="L269" s="37">
        <f t="shared" si="142"/>
        <v>0</v>
      </c>
      <c r="M269" s="37">
        <f t="shared" si="142"/>
        <v>5882000</v>
      </c>
      <c r="N269" s="37">
        <f t="shared" si="142"/>
        <v>5882000</v>
      </c>
      <c r="O269" s="37">
        <f t="shared" si="142"/>
        <v>0</v>
      </c>
      <c r="P269" s="37">
        <f t="shared" si="142"/>
        <v>5882000</v>
      </c>
    </row>
    <row r="270" spans="1:16" x14ac:dyDescent="0.25">
      <c r="A270" s="15"/>
      <c r="B270" s="275" t="s">
        <v>145</v>
      </c>
      <c r="C270" s="283"/>
      <c r="D270" s="283"/>
      <c r="E270" s="28">
        <v>853</v>
      </c>
      <c r="F270" s="1" t="s">
        <v>153</v>
      </c>
      <c r="G270" s="1" t="s">
        <v>17</v>
      </c>
      <c r="H270" s="18" t="s">
        <v>156</v>
      </c>
      <c r="I270" s="1" t="s">
        <v>146</v>
      </c>
      <c r="J270" s="2">
        <f t="shared" si="142"/>
        <v>5882000</v>
      </c>
      <c r="K270" s="2">
        <f t="shared" si="142"/>
        <v>5882000</v>
      </c>
      <c r="L270" s="2">
        <f t="shared" si="142"/>
        <v>0</v>
      </c>
      <c r="M270" s="2">
        <f t="shared" si="142"/>
        <v>5882000</v>
      </c>
      <c r="N270" s="2">
        <f t="shared" si="142"/>
        <v>5882000</v>
      </c>
      <c r="O270" s="2">
        <f t="shared" si="142"/>
        <v>0</v>
      </c>
      <c r="P270" s="2">
        <f t="shared" si="142"/>
        <v>5882000</v>
      </c>
    </row>
    <row r="271" spans="1:16" x14ac:dyDescent="0.25">
      <c r="A271" s="15"/>
      <c r="B271" s="276" t="s">
        <v>157</v>
      </c>
      <c r="C271" s="277"/>
      <c r="D271" s="277"/>
      <c r="E271" s="28">
        <v>853</v>
      </c>
      <c r="F271" s="1" t="s">
        <v>153</v>
      </c>
      <c r="G271" s="1" t="s">
        <v>17</v>
      </c>
      <c r="H271" s="18" t="s">
        <v>156</v>
      </c>
      <c r="I271" s="1" t="s">
        <v>158</v>
      </c>
      <c r="J271" s="2">
        <v>5882000</v>
      </c>
      <c r="K271" s="2">
        <v>5882000</v>
      </c>
      <c r="L271" s="2"/>
      <c r="M271" s="2">
        <f t="shared" ref="M271:M301" si="143">K271+L271</f>
        <v>5882000</v>
      </c>
      <c r="N271" s="2">
        <v>5882000</v>
      </c>
      <c r="O271" s="15"/>
      <c r="P271" s="2">
        <f t="shared" ref="P271:P301" si="144">N271+O271</f>
        <v>5882000</v>
      </c>
    </row>
    <row r="272" spans="1:16" x14ac:dyDescent="0.25">
      <c r="A272" s="512" t="s">
        <v>159</v>
      </c>
      <c r="B272" s="512"/>
      <c r="C272" s="282"/>
      <c r="D272" s="282"/>
      <c r="E272" s="28">
        <v>853</v>
      </c>
      <c r="F272" s="11" t="s">
        <v>153</v>
      </c>
      <c r="G272" s="11" t="s">
        <v>72</v>
      </c>
      <c r="H272" s="11"/>
      <c r="I272" s="11"/>
      <c r="J272" s="12">
        <f>J273</f>
        <v>8607000</v>
      </c>
      <c r="K272" s="12">
        <f>K273</f>
        <v>12789000</v>
      </c>
      <c r="L272" s="12">
        <f t="shared" ref="L272:P272" si="145">L273</f>
        <v>-1278900</v>
      </c>
      <c r="M272" s="12">
        <f t="shared" si="145"/>
        <v>11510100</v>
      </c>
      <c r="N272" s="12">
        <f t="shared" si="145"/>
        <v>8839000</v>
      </c>
      <c r="O272" s="12">
        <f t="shared" si="145"/>
        <v>-883900</v>
      </c>
      <c r="P272" s="12">
        <f t="shared" si="145"/>
        <v>7955100</v>
      </c>
    </row>
    <row r="273" spans="1:16" ht="14.25" customHeight="1" x14ac:dyDescent="0.25">
      <c r="A273" s="530" t="s">
        <v>160</v>
      </c>
      <c r="B273" s="530"/>
      <c r="C273" s="283"/>
      <c r="D273" s="283"/>
      <c r="E273" s="28">
        <v>853</v>
      </c>
      <c r="F273" s="1" t="s">
        <v>153</v>
      </c>
      <c r="G273" s="1" t="s">
        <v>72</v>
      </c>
      <c r="H273" s="1" t="s">
        <v>161</v>
      </c>
      <c r="I273" s="1"/>
      <c r="J273" s="2">
        <f t="shared" ref="J273:P274" si="146">J274</f>
        <v>8607000</v>
      </c>
      <c r="K273" s="2">
        <f t="shared" si="146"/>
        <v>12789000</v>
      </c>
      <c r="L273" s="2">
        <f t="shared" si="146"/>
        <v>-1278900</v>
      </c>
      <c r="M273" s="2">
        <f t="shared" si="146"/>
        <v>11510100</v>
      </c>
      <c r="N273" s="2">
        <f t="shared" si="146"/>
        <v>8839000</v>
      </c>
      <c r="O273" s="2">
        <f t="shared" si="146"/>
        <v>-883900</v>
      </c>
      <c r="P273" s="2">
        <f t="shared" si="146"/>
        <v>7955100</v>
      </c>
    </row>
    <row r="274" spans="1:16" x14ac:dyDescent="0.25">
      <c r="A274" s="15"/>
      <c r="B274" s="275" t="s">
        <v>145</v>
      </c>
      <c r="C274" s="41"/>
      <c r="D274" s="283"/>
      <c r="E274" s="28">
        <v>853</v>
      </c>
      <c r="F274" s="1" t="s">
        <v>153</v>
      </c>
      <c r="G274" s="1" t="s">
        <v>72</v>
      </c>
      <c r="H274" s="1" t="s">
        <v>161</v>
      </c>
      <c r="I274" s="1" t="s">
        <v>146</v>
      </c>
      <c r="J274" s="2">
        <f t="shared" si="146"/>
        <v>8607000</v>
      </c>
      <c r="K274" s="2">
        <f t="shared" si="146"/>
        <v>12789000</v>
      </c>
      <c r="L274" s="2">
        <f t="shared" si="146"/>
        <v>-1278900</v>
      </c>
      <c r="M274" s="2">
        <f t="shared" si="146"/>
        <v>11510100</v>
      </c>
      <c r="N274" s="2">
        <f t="shared" si="146"/>
        <v>8839000</v>
      </c>
      <c r="O274" s="2">
        <f t="shared" si="146"/>
        <v>-883900</v>
      </c>
      <c r="P274" s="2">
        <f t="shared" si="146"/>
        <v>7955100</v>
      </c>
    </row>
    <row r="275" spans="1:16" x14ac:dyDescent="0.25">
      <c r="A275" s="15"/>
      <c r="B275" s="276" t="s">
        <v>157</v>
      </c>
      <c r="C275" s="40"/>
      <c r="D275" s="277"/>
      <c r="E275" s="28">
        <v>853</v>
      </c>
      <c r="F275" s="1" t="s">
        <v>153</v>
      </c>
      <c r="G275" s="1" t="s">
        <v>72</v>
      </c>
      <c r="H275" s="1" t="s">
        <v>161</v>
      </c>
      <c r="I275" s="1" t="s">
        <v>158</v>
      </c>
      <c r="J275" s="2">
        <v>8607000</v>
      </c>
      <c r="K275" s="2">
        <v>12789000</v>
      </c>
      <c r="L275" s="2">
        <v>-1278900</v>
      </c>
      <c r="M275" s="2">
        <f t="shared" si="143"/>
        <v>11510100</v>
      </c>
      <c r="N275" s="2">
        <v>8839000</v>
      </c>
      <c r="O275" s="15">
        <v>-883900</v>
      </c>
      <c r="P275" s="2">
        <f t="shared" si="144"/>
        <v>7955100</v>
      </c>
    </row>
    <row r="276" spans="1:16" ht="15" customHeight="1" x14ac:dyDescent="0.25">
      <c r="A276" s="508" t="s">
        <v>167</v>
      </c>
      <c r="B276" s="508"/>
      <c r="E276" s="28">
        <v>853</v>
      </c>
      <c r="F276" s="110" t="s">
        <v>168</v>
      </c>
      <c r="G276" s="96" t="s">
        <v>151</v>
      </c>
      <c r="H276" s="289" t="s">
        <v>151</v>
      </c>
      <c r="I276" s="289" t="s">
        <v>151</v>
      </c>
      <c r="J276" s="12">
        <f t="shared" ref="J276:P278" si="147">J277</f>
        <v>0</v>
      </c>
      <c r="K276" s="12">
        <f t="shared" si="147"/>
        <v>3647342</v>
      </c>
      <c r="L276" s="12">
        <f t="shared" si="147"/>
        <v>0</v>
      </c>
      <c r="M276" s="12">
        <f t="shared" si="147"/>
        <v>3647342</v>
      </c>
      <c r="N276" s="12">
        <f t="shared" si="147"/>
        <v>7303147</v>
      </c>
      <c r="O276" s="12">
        <f t="shared" si="147"/>
        <v>0</v>
      </c>
      <c r="P276" s="12">
        <f t="shared" si="147"/>
        <v>7303147</v>
      </c>
    </row>
    <row r="277" spans="1:16" ht="15" customHeight="1" x14ac:dyDescent="0.25">
      <c r="A277" s="508" t="s">
        <v>167</v>
      </c>
      <c r="B277" s="508"/>
      <c r="E277" s="28">
        <v>853</v>
      </c>
      <c r="F277" s="110" t="s">
        <v>168</v>
      </c>
      <c r="G277" s="207" t="s">
        <v>168</v>
      </c>
      <c r="H277" s="289" t="s">
        <v>151</v>
      </c>
      <c r="I277" s="289" t="s">
        <v>151</v>
      </c>
      <c r="J277" s="12">
        <f t="shared" si="147"/>
        <v>0</v>
      </c>
      <c r="K277" s="12">
        <f t="shared" si="147"/>
        <v>3647342</v>
      </c>
      <c r="L277" s="12">
        <f t="shared" si="147"/>
        <v>0</v>
      </c>
      <c r="M277" s="12">
        <f t="shared" si="147"/>
        <v>3647342</v>
      </c>
      <c r="N277" s="12">
        <f t="shared" si="147"/>
        <v>7303147</v>
      </c>
      <c r="O277" s="12">
        <f t="shared" si="147"/>
        <v>0</v>
      </c>
      <c r="P277" s="12">
        <f t="shared" si="147"/>
        <v>7303147</v>
      </c>
    </row>
    <row r="278" spans="1:16" x14ac:dyDescent="0.25">
      <c r="A278" s="15"/>
      <c r="B278" s="276" t="s">
        <v>167</v>
      </c>
      <c r="E278" s="28">
        <v>853</v>
      </c>
      <c r="F278" s="111" t="s">
        <v>168</v>
      </c>
      <c r="G278" s="112" t="s">
        <v>168</v>
      </c>
      <c r="H278" s="219" t="s">
        <v>169</v>
      </c>
      <c r="I278" s="275" t="s">
        <v>151</v>
      </c>
      <c r="J278" s="2">
        <f t="shared" si="147"/>
        <v>0</v>
      </c>
      <c r="K278" s="2">
        <f t="shared" si="147"/>
        <v>3647342</v>
      </c>
      <c r="L278" s="2"/>
      <c r="M278" s="2">
        <f t="shared" si="143"/>
        <v>3647342</v>
      </c>
      <c r="N278" s="2">
        <f t="shared" si="147"/>
        <v>7303147</v>
      </c>
      <c r="O278" s="15"/>
      <c r="P278" s="2">
        <f t="shared" si="144"/>
        <v>7303147</v>
      </c>
    </row>
    <row r="279" spans="1:16" x14ac:dyDescent="0.25">
      <c r="A279" s="15"/>
      <c r="B279" s="276" t="s">
        <v>167</v>
      </c>
      <c r="E279" s="28">
        <v>853</v>
      </c>
      <c r="F279" s="111" t="s">
        <v>168</v>
      </c>
      <c r="G279" s="112" t="s">
        <v>168</v>
      </c>
      <c r="H279" s="219" t="s">
        <v>169</v>
      </c>
      <c r="I279" s="219" t="s">
        <v>170</v>
      </c>
      <c r="J279" s="2"/>
      <c r="K279" s="2">
        <f>3100000+286000-300000+127000+434342</f>
        <v>3647342</v>
      </c>
      <c r="L279" s="2"/>
      <c r="M279" s="2">
        <f t="shared" si="143"/>
        <v>3647342</v>
      </c>
      <c r="N279" s="2">
        <f>5600000+1170000+118000+415147</f>
        <v>7303147</v>
      </c>
      <c r="O279" s="15"/>
      <c r="P279" s="2">
        <f t="shared" si="144"/>
        <v>7303147</v>
      </c>
    </row>
    <row r="280" spans="1:16" s="10" customFormat="1" ht="17.25" customHeight="1" x14ac:dyDescent="0.25">
      <c r="A280" s="529" t="s">
        <v>162</v>
      </c>
      <c r="B280" s="529"/>
      <c r="C280" s="39"/>
      <c r="D280" s="39"/>
      <c r="E280" s="292">
        <v>854</v>
      </c>
      <c r="F280" s="290"/>
      <c r="G280" s="7"/>
      <c r="H280" s="7"/>
      <c r="I280" s="7"/>
      <c r="J280" s="8">
        <f t="shared" ref="J280:P280" si="148">J281</f>
        <v>1416920</v>
      </c>
      <c r="K280" s="8">
        <f t="shared" si="148"/>
        <v>1416920</v>
      </c>
      <c r="L280" s="8">
        <f t="shared" si="148"/>
        <v>0</v>
      </c>
      <c r="M280" s="8">
        <f t="shared" si="148"/>
        <v>1416920</v>
      </c>
      <c r="N280" s="8">
        <f t="shared" si="148"/>
        <v>1416920</v>
      </c>
      <c r="O280" s="8">
        <f t="shared" si="148"/>
        <v>0</v>
      </c>
      <c r="P280" s="8">
        <f t="shared" si="148"/>
        <v>1416920</v>
      </c>
    </row>
    <row r="281" spans="1:16" s="10" customFormat="1" x14ac:dyDescent="0.25">
      <c r="A281" s="503" t="s">
        <v>16</v>
      </c>
      <c r="B281" s="503"/>
      <c r="C281" s="284"/>
      <c r="D281" s="284"/>
      <c r="E281" s="294">
        <v>854</v>
      </c>
      <c r="F281" s="7" t="s">
        <v>17</v>
      </c>
      <c r="G281" s="7"/>
      <c r="H281" s="7"/>
      <c r="I281" s="7"/>
      <c r="J281" s="8">
        <f>J282+J286</f>
        <v>1416920</v>
      </c>
      <c r="K281" s="8">
        <f t="shared" ref="K281" si="149">K282+K286</f>
        <v>1416920</v>
      </c>
      <c r="L281" s="8">
        <f t="shared" ref="L281:P281" si="150">L282+L286</f>
        <v>0</v>
      </c>
      <c r="M281" s="8">
        <f t="shared" si="150"/>
        <v>1416920</v>
      </c>
      <c r="N281" s="8">
        <f t="shared" si="150"/>
        <v>1416920</v>
      </c>
      <c r="O281" s="8">
        <f t="shared" si="150"/>
        <v>0</v>
      </c>
      <c r="P281" s="8">
        <f t="shared" si="150"/>
        <v>1416920</v>
      </c>
    </row>
    <row r="282" spans="1:16" s="10" customFormat="1" ht="24" customHeight="1" x14ac:dyDescent="0.25">
      <c r="A282" s="514" t="s">
        <v>453</v>
      </c>
      <c r="B282" s="515"/>
      <c r="C282" s="284"/>
      <c r="D282" s="284"/>
      <c r="E282" s="219">
        <v>854</v>
      </c>
      <c r="F282" s="11" t="s">
        <v>17</v>
      </c>
      <c r="G282" s="11" t="s">
        <v>72</v>
      </c>
      <c r="H282" s="11"/>
      <c r="I282" s="11"/>
      <c r="J282" s="12">
        <f t="shared" ref="J282:P284" si="151">J283</f>
        <v>789500</v>
      </c>
      <c r="K282" s="12">
        <f t="shared" si="151"/>
        <v>789500</v>
      </c>
      <c r="L282" s="12">
        <f t="shared" si="151"/>
        <v>0</v>
      </c>
      <c r="M282" s="12">
        <f t="shared" si="151"/>
        <v>789500</v>
      </c>
      <c r="N282" s="12">
        <f t="shared" si="151"/>
        <v>789500</v>
      </c>
      <c r="O282" s="12">
        <f t="shared" si="151"/>
        <v>0</v>
      </c>
      <c r="P282" s="12">
        <f t="shared" si="151"/>
        <v>789500</v>
      </c>
    </row>
    <row r="283" spans="1:16" x14ac:dyDescent="0.25">
      <c r="A283" s="516" t="s">
        <v>454</v>
      </c>
      <c r="B283" s="517"/>
      <c r="C283" s="276"/>
      <c r="D283" s="276"/>
      <c r="E283" s="219">
        <v>854</v>
      </c>
      <c r="F283" s="1" t="s">
        <v>22</v>
      </c>
      <c r="G283" s="1" t="s">
        <v>72</v>
      </c>
      <c r="H283" s="1" t="s">
        <v>455</v>
      </c>
      <c r="I283" s="1"/>
      <c r="J283" s="2">
        <f t="shared" si="151"/>
        <v>789500</v>
      </c>
      <c r="K283" s="2">
        <f t="shared" si="151"/>
        <v>789500</v>
      </c>
      <c r="L283" s="2"/>
      <c r="M283" s="2">
        <f t="shared" si="143"/>
        <v>789500</v>
      </c>
      <c r="N283" s="2">
        <f t="shared" si="151"/>
        <v>789500</v>
      </c>
      <c r="O283" s="15"/>
      <c r="P283" s="2">
        <f t="shared" si="144"/>
        <v>789500</v>
      </c>
    </row>
    <row r="284" spans="1:16" s="10" customFormat="1" ht="38.25" customHeight="1" x14ac:dyDescent="0.25">
      <c r="A284" s="284"/>
      <c r="B284" s="275" t="s">
        <v>21</v>
      </c>
      <c r="C284" s="284"/>
      <c r="D284" s="284"/>
      <c r="E284" s="219">
        <v>854</v>
      </c>
      <c r="F284" s="1" t="s">
        <v>17</v>
      </c>
      <c r="G284" s="1" t="s">
        <v>72</v>
      </c>
      <c r="H284" s="1" t="s">
        <v>455</v>
      </c>
      <c r="I284" s="1" t="s">
        <v>23</v>
      </c>
      <c r="J284" s="2">
        <f t="shared" si="151"/>
        <v>789500</v>
      </c>
      <c r="K284" s="2">
        <f t="shared" si="151"/>
        <v>789500</v>
      </c>
      <c r="L284" s="2"/>
      <c r="M284" s="2">
        <f t="shared" si="143"/>
        <v>789500</v>
      </c>
      <c r="N284" s="2">
        <f t="shared" si="151"/>
        <v>789500</v>
      </c>
      <c r="O284" s="199"/>
      <c r="P284" s="2">
        <f t="shared" si="144"/>
        <v>789500</v>
      </c>
    </row>
    <row r="285" spans="1:16" s="10" customFormat="1" ht="14.25" customHeight="1" x14ac:dyDescent="0.25">
      <c r="A285" s="284"/>
      <c r="B285" s="275" t="s">
        <v>24</v>
      </c>
      <c r="C285" s="284"/>
      <c r="D285" s="284"/>
      <c r="E285" s="219">
        <v>854</v>
      </c>
      <c r="F285" s="1" t="s">
        <v>17</v>
      </c>
      <c r="G285" s="1" t="s">
        <v>72</v>
      </c>
      <c r="H285" s="1" t="s">
        <v>455</v>
      </c>
      <c r="I285" s="1" t="s">
        <v>25</v>
      </c>
      <c r="J285" s="2">
        <f>759700+29800</f>
        <v>789500</v>
      </c>
      <c r="K285" s="2">
        <v>789500</v>
      </c>
      <c r="L285" s="2"/>
      <c r="M285" s="2">
        <f t="shared" si="143"/>
        <v>789500</v>
      </c>
      <c r="N285" s="2">
        <v>789500</v>
      </c>
      <c r="O285" s="197"/>
      <c r="P285" s="2">
        <f t="shared" si="144"/>
        <v>789500</v>
      </c>
    </row>
    <row r="286" spans="1:16" s="13" customFormat="1" ht="24" customHeight="1" x14ac:dyDescent="0.25">
      <c r="A286" s="508" t="s">
        <v>163</v>
      </c>
      <c r="B286" s="508"/>
      <c r="C286" s="285"/>
      <c r="D286" s="285"/>
      <c r="E286" s="219">
        <v>854</v>
      </c>
      <c r="F286" s="11" t="s">
        <v>17</v>
      </c>
      <c r="G286" s="11" t="s">
        <v>3</v>
      </c>
      <c r="H286" s="11"/>
      <c r="I286" s="11"/>
      <c r="J286" s="12">
        <f t="shared" ref="J286:P286" si="152">J287</f>
        <v>627420</v>
      </c>
      <c r="K286" s="12">
        <f t="shared" si="152"/>
        <v>627420</v>
      </c>
      <c r="L286" s="12">
        <f t="shared" si="152"/>
        <v>0</v>
      </c>
      <c r="M286" s="12">
        <f t="shared" si="152"/>
        <v>627420</v>
      </c>
      <c r="N286" s="12">
        <f t="shared" si="152"/>
        <v>627420</v>
      </c>
      <c r="O286" s="12">
        <f t="shared" si="152"/>
        <v>0</v>
      </c>
      <c r="P286" s="12">
        <f t="shared" si="152"/>
        <v>627420</v>
      </c>
    </row>
    <row r="287" spans="1:16" ht="24.75" customHeight="1" x14ac:dyDescent="0.25">
      <c r="A287" s="509" t="s">
        <v>26</v>
      </c>
      <c r="B287" s="509"/>
      <c r="C287" s="219"/>
      <c r="D287" s="219"/>
      <c r="E287" s="219">
        <v>854</v>
      </c>
      <c r="F287" s="1" t="s">
        <v>22</v>
      </c>
      <c r="G287" s="1" t="s">
        <v>3</v>
      </c>
      <c r="H287" s="1" t="s">
        <v>432</v>
      </c>
      <c r="I287" s="1"/>
      <c r="J287" s="2">
        <f t="shared" ref="J287:N287" si="153">J288+J290+J292</f>
        <v>627420</v>
      </c>
      <c r="K287" s="2">
        <f t="shared" si="153"/>
        <v>627420</v>
      </c>
      <c r="L287" s="2"/>
      <c r="M287" s="2">
        <f t="shared" si="143"/>
        <v>627420</v>
      </c>
      <c r="N287" s="2">
        <f t="shared" si="153"/>
        <v>627420</v>
      </c>
      <c r="O287" s="197"/>
      <c r="P287" s="2">
        <f t="shared" si="144"/>
        <v>627420</v>
      </c>
    </row>
    <row r="288" spans="1:16" ht="38.25" customHeight="1" x14ac:dyDescent="0.25">
      <c r="A288" s="15"/>
      <c r="B288" s="275" t="s">
        <v>21</v>
      </c>
      <c r="C288" s="219"/>
      <c r="D288" s="219"/>
      <c r="E288" s="219">
        <v>854</v>
      </c>
      <c r="F288" s="1" t="s">
        <v>17</v>
      </c>
      <c r="G288" s="1" t="s">
        <v>3</v>
      </c>
      <c r="H288" s="1" t="s">
        <v>432</v>
      </c>
      <c r="I288" s="1" t="s">
        <v>23</v>
      </c>
      <c r="J288" s="2">
        <f t="shared" ref="J288:N288" si="154">J289</f>
        <v>418200</v>
      </c>
      <c r="K288" s="2">
        <f t="shared" si="154"/>
        <v>418200</v>
      </c>
      <c r="L288" s="2"/>
      <c r="M288" s="2">
        <f t="shared" si="143"/>
        <v>418200</v>
      </c>
      <c r="N288" s="2">
        <f t="shared" si="154"/>
        <v>418200</v>
      </c>
      <c r="O288" s="197"/>
      <c r="P288" s="2">
        <f t="shared" si="144"/>
        <v>418200</v>
      </c>
    </row>
    <row r="289" spans="1:16" ht="15" customHeight="1" x14ac:dyDescent="0.25">
      <c r="A289" s="15"/>
      <c r="B289" s="275" t="s">
        <v>24</v>
      </c>
      <c r="C289" s="219"/>
      <c r="D289" s="219"/>
      <c r="E289" s="219">
        <v>854</v>
      </c>
      <c r="F289" s="1" t="s">
        <v>17</v>
      </c>
      <c r="G289" s="1" t="s">
        <v>3</v>
      </c>
      <c r="H289" s="1" t="s">
        <v>432</v>
      </c>
      <c r="I289" s="1" t="s">
        <v>25</v>
      </c>
      <c r="J289" s="2">
        <f>230300+187900</f>
        <v>418200</v>
      </c>
      <c r="K289" s="2">
        <v>418200</v>
      </c>
      <c r="L289" s="2"/>
      <c r="M289" s="2">
        <f t="shared" si="143"/>
        <v>418200</v>
      </c>
      <c r="N289" s="2">
        <v>418200</v>
      </c>
      <c r="O289" s="197"/>
      <c r="P289" s="2">
        <f t="shared" si="144"/>
        <v>418200</v>
      </c>
    </row>
    <row r="290" spans="1:16" ht="15" customHeight="1" x14ac:dyDescent="0.25">
      <c r="A290" s="15"/>
      <c r="B290" s="276" t="s">
        <v>27</v>
      </c>
      <c r="C290" s="219"/>
      <c r="D290" s="219"/>
      <c r="E290" s="219">
        <v>854</v>
      </c>
      <c r="F290" s="1" t="s">
        <v>17</v>
      </c>
      <c r="G290" s="1" t="s">
        <v>3</v>
      </c>
      <c r="H290" s="1" t="s">
        <v>432</v>
      </c>
      <c r="I290" s="1" t="s">
        <v>28</v>
      </c>
      <c r="J290" s="2">
        <f t="shared" ref="J290:N290" si="155">J291</f>
        <v>208700</v>
      </c>
      <c r="K290" s="2">
        <f t="shared" si="155"/>
        <v>208700</v>
      </c>
      <c r="L290" s="2"/>
      <c r="M290" s="2">
        <f t="shared" si="143"/>
        <v>208700</v>
      </c>
      <c r="N290" s="2">
        <f t="shared" si="155"/>
        <v>208700</v>
      </c>
      <c r="O290" s="197"/>
      <c r="P290" s="2">
        <f t="shared" si="144"/>
        <v>208700</v>
      </c>
    </row>
    <row r="291" spans="1:16" ht="24.75" customHeight="1" x14ac:dyDescent="0.25">
      <c r="A291" s="15"/>
      <c r="B291" s="276" t="s">
        <v>29</v>
      </c>
      <c r="C291" s="219"/>
      <c r="D291" s="219"/>
      <c r="E291" s="219">
        <v>854</v>
      </c>
      <c r="F291" s="1" t="s">
        <v>17</v>
      </c>
      <c r="G291" s="1" t="s">
        <v>3</v>
      </c>
      <c r="H291" s="1" t="s">
        <v>432</v>
      </c>
      <c r="I291" s="1" t="s">
        <v>30</v>
      </c>
      <c r="J291" s="2">
        <f>54800+150720+3500-320</f>
        <v>208700</v>
      </c>
      <c r="K291" s="2">
        <v>208700</v>
      </c>
      <c r="L291" s="2"/>
      <c r="M291" s="2">
        <f t="shared" si="143"/>
        <v>208700</v>
      </c>
      <c r="N291" s="2">
        <v>208700</v>
      </c>
      <c r="O291" s="197"/>
      <c r="P291" s="2">
        <f t="shared" si="144"/>
        <v>208700</v>
      </c>
    </row>
    <row r="292" spans="1:16" x14ac:dyDescent="0.25">
      <c r="A292" s="15"/>
      <c r="B292" s="276" t="s">
        <v>31</v>
      </c>
      <c r="C292" s="219"/>
      <c r="D292" s="219"/>
      <c r="E292" s="219">
        <v>854</v>
      </c>
      <c r="F292" s="1" t="s">
        <v>17</v>
      </c>
      <c r="G292" s="1" t="s">
        <v>3</v>
      </c>
      <c r="H292" s="1" t="s">
        <v>432</v>
      </c>
      <c r="I292" s="1" t="s">
        <v>32</v>
      </c>
      <c r="J292" s="2">
        <f t="shared" ref="J292:N292" si="156">J293</f>
        <v>520</v>
      </c>
      <c r="K292" s="2">
        <f t="shared" si="156"/>
        <v>520</v>
      </c>
      <c r="L292" s="2"/>
      <c r="M292" s="2">
        <f t="shared" si="143"/>
        <v>520</v>
      </c>
      <c r="N292" s="2">
        <f t="shared" si="156"/>
        <v>520</v>
      </c>
      <c r="O292" s="197"/>
      <c r="P292" s="2">
        <f t="shared" si="144"/>
        <v>520</v>
      </c>
    </row>
    <row r="293" spans="1:16" x14ac:dyDescent="0.25">
      <c r="A293" s="15"/>
      <c r="B293" s="275" t="s">
        <v>466</v>
      </c>
      <c r="C293" s="276"/>
      <c r="D293" s="276"/>
      <c r="E293" s="219">
        <v>854</v>
      </c>
      <c r="F293" s="1" t="s">
        <v>17</v>
      </c>
      <c r="G293" s="1" t="s">
        <v>3</v>
      </c>
      <c r="H293" s="1" t="s">
        <v>432</v>
      </c>
      <c r="I293" s="1" t="s">
        <v>35</v>
      </c>
      <c r="J293" s="2">
        <f>200+320</f>
        <v>520</v>
      </c>
      <c r="K293" s="2">
        <v>520</v>
      </c>
      <c r="L293" s="2"/>
      <c r="M293" s="2">
        <f t="shared" si="143"/>
        <v>520</v>
      </c>
      <c r="N293" s="2">
        <v>520</v>
      </c>
      <c r="O293" s="197"/>
      <c r="P293" s="2">
        <f t="shared" si="144"/>
        <v>520</v>
      </c>
    </row>
    <row r="294" spans="1:16" s="10" customFormat="1" ht="17.25" customHeight="1" x14ac:dyDescent="0.25">
      <c r="A294" s="529" t="s">
        <v>575</v>
      </c>
      <c r="B294" s="529"/>
      <c r="C294" s="39"/>
      <c r="D294" s="39"/>
      <c r="E294" s="288">
        <v>857</v>
      </c>
      <c r="F294" s="290"/>
      <c r="G294" s="7"/>
      <c r="H294" s="7"/>
      <c r="I294" s="7"/>
      <c r="J294" s="8">
        <f t="shared" ref="J294:P295" si="157">J295</f>
        <v>506700</v>
      </c>
      <c r="K294" s="8">
        <f t="shared" si="157"/>
        <v>500200</v>
      </c>
      <c r="L294" s="8">
        <f t="shared" si="157"/>
        <v>0</v>
      </c>
      <c r="M294" s="8">
        <f t="shared" si="157"/>
        <v>500200</v>
      </c>
      <c r="N294" s="8">
        <f t="shared" si="157"/>
        <v>500200</v>
      </c>
      <c r="O294" s="8">
        <f t="shared" si="157"/>
        <v>0</v>
      </c>
      <c r="P294" s="8">
        <f t="shared" si="157"/>
        <v>500200</v>
      </c>
    </row>
    <row r="295" spans="1:16" s="10" customFormat="1" x14ac:dyDescent="0.25">
      <c r="A295" s="503" t="s">
        <v>16</v>
      </c>
      <c r="B295" s="503"/>
      <c r="C295" s="284"/>
      <c r="D295" s="284"/>
      <c r="E295" s="288">
        <v>857</v>
      </c>
      <c r="F295" s="7" t="s">
        <v>17</v>
      </c>
      <c r="G295" s="7"/>
      <c r="H295" s="7"/>
      <c r="I295" s="7"/>
      <c r="J295" s="8">
        <f>J296</f>
        <v>506700</v>
      </c>
      <c r="K295" s="8">
        <f t="shared" si="157"/>
        <v>500200</v>
      </c>
      <c r="L295" s="8">
        <f t="shared" si="157"/>
        <v>0</v>
      </c>
      <c r="M295" s="8">
        <f t="shared" si="157"/>
        <v>500200</v>
      </c>
      <c r="N295" s="8">
        <f t="shared" si="157"/>
        <v>500200</v>
      </c>
      <c r="O295" s="8">
        <f t="shared" si="157"/>
        <v>0</v>
      </c>
      <c r="P295" s="8">
        <f t="shared" si="157"/>
        <v>500200</v>
      </c>
    </row>
    <row r="296" spans="1:16" s="13" customFormat="1" ht="27" customHeight="1" x14ac:dyDescent="0.25">
      <c r="A296" s="508" t="s">
        <v>144</v>
      </c>
      <c r="B296" s="508"/>
      <c r="C296" s="285"/>
      <c r="D296" s="285"/>
      <c r="E296" s="219">
        <v>857</v>
      </c>
      <c r="F296" s="11" t="s">
        <v>17</v>
      </c>
      <c r="G296" s="11" t="s">
        <v>1</v>
      </c>
      <c r="H296" s="11"/>
      <c r="I296" s="11"/>
      <c r="J296" s="12">
        <f>J297+J303</f>
        <v>506700</v>
      </c>
      <c r="K296" s="12">
        <f>K297+K303</f>
        <v>500200</v>
      </c>
      <c r="L296" s="12">
        <f t="shared" ref="L296:P296" si="158">L297+L303</f>
        <v>0</v>
      </c>
      <c r="M296" s="12">
        <f t="shared" si="158"/>
        <v>500200</v>
      </c>
      <c r="N296" s="12">
        <f t="shared" si="158"/>
        <v>500200</v>
      </c>
      <c r="O296" s="12">
        <f t="shared" si="158"/>
        <v>0</v>
      </c>
      <c r="P296" s="12">
        <f t="shared" si="158"/>
        <v>500200</v>
      </c>
    </row>
    <row r="297" spans="1:16" ht="13.5" customHeight="1" x14ac:dyDescent="0.25">
      <c r="A297" s="509" t="s">
        <v>164</v>
      </c>
      <c r="B297" s="509"/>
      <c r="C297" s="276"/>
      <c r="D297" s="276"/>
      <c r="E297" s="219">
        <v>857</v>
      </c>
      <c r="F297" s="1" t="s">
        <v>17</v>
      </c>
      <c r="G297" s="1" t="s">
        <v>1</v>
      </c>
      <c r="H297" s="1" t="s">
        <v>165</v>
      </c>
      <c r="I297" s="1"/>
      <c r="J297" s="2">
        <f>J298+J300</f>
        <v>488700</v>
      </c>
      <c r="K297" s="2">
        <f t="shared" ref="K297:N297" si="159">K298+K300</f>
        <v>500200</v>
      </c>
      <c r="L297" s="2"/>
      <c r="M297" s="2">
        <f t="shared" si="143"/>
        <v>500200</v>
      </c>
      <c r="N297" s="2">
        <f t="shared" si="159"/>
        <v>500200</v>
      </c>
      <c r="O297" s="197"/>
      <c r="P297" s="2">
        <f t="shared" si="144"/>
        <v>500200</v>
      </c>
    </row>
    <row r="298" spans="1:16" ht="38.25" customHeight="1" x14ac:dyDescent="0.25">
      <c r="A298" s="276"/>
      <c r="B298" s="275" t="s">
        <v>21</v>
      </c>
      <c r="C298" s="276"/>
      <c r="D298" s="276"/>
      <c r="E298" s="219">
        <v>857</v>
      </c>
      <c r="F298" s="1" t="s">
        <v>22</v>
      </c>
      <c r="G298" s="1" t="s">
        <v>1</v>
      </c>
      <c r="H298" s="1" t="s">
        <v>165</v>
      </c>
      <c r="I298" s="1" t="s">
        <v>23</v>
      </c>
      <c r="J298" s="2">
        <f t="shared" ref="J298:N298" si="160">J299</f>
        <v>459000</v>
      </c>
      <c r="K298" s="2">
        <f t="shared" si="160"/>
        <v>472000</v>
      </c>
      <c r="L298" s="2"/>
      <c r="M298" s="2">
        <f t="shared" si="143"/>
        <v>472000</v>
      </c>
      <c r="N298" s="2">
        <f t="shared" si="160"/>
        <v>472000</v>
      </c>
      <c r="O298" s="15"/>
      <c r="P298" s="2">
        <f t="shared" si="144"/>
        <v>472000</v>
      </c>
    </row>
    <row r="299" spans="1:16" ht="11.25" customHeight="1" x14ac:dyDescent="0.25">
      <c r="A299" s="15"/>
      <c r="B299" s="275" t="s">
        <v>24</v>
      </c>
      <c r="C299" s="275"/>
      <c r="D299" s="275"/>
      <c r="E299" s="219">
        <v>857</v>
      </c>
      <c r="F299" s="1" t="s">
        <v>17</v>
      </c>
      <c r="G299" s="1" t="s">
        <v>1</v>
      </c>
      <c r="H299" s="1" t="s">
        <v>165</v>
      </c>
      <c r="I299" s="1" t="s">
        <v>25</v>
      </c>
      <c r="J299" s="2">
        <f>472000-13000</f>
        <v>459000</v>
      </c>
      <c r="K299" s="2">
        <v>472000</v>
      </c>
      <c r="L299" s="2"/>
      <c r="M299" s="2">
        <f t="shared" si="143"/>
        <v>472000</v>
      </c>
      <c r="N299" s="2">
        <v>472000</v>
      </c>
      <c r="O299" s="197"/>
      <c r="P299" s="2">
        <f t="shared" si="144"/>
        <v>472000</v>
      </c>
    </row>
    <row r="300" spans="1:16" ht="12" customHeight="1" x14ac:dyDescent="0.25">
      <c r="A300" s="15"/>
      <c r="B300" s="276" t="s">
        <v>27</v>
      </c>
      <c r="C300" s="275"/>
      <c r="D300" s="1" t="s">
        <v>17</v>
      </c>
      <c r="E300" s="219">
        <v>857</v>
      </c>
      <c r="F300" s="1" t="s">
        <v>17</v>
      </c>
      <c r="G300" s="1" t="s">
        <v>1</v>
      </c>
      <c r="H300" s="1" t="s">
        <v>165</v>
      </c>
      <c r="I300" s="1" t="s">
        <v>28</v>
      </c>
      <c r="J300" s="2">
        <f t="shared" ref="J300:N300" si="161">J301</f>
        <v>29700</v>
      </c>
      <c r="K300" s="2">
        <f t="shared" si="161"/>
        <v>28200</v>
      </c>
      <c r="L300" s="2"/>
      <c r="M300" s="2">
        <f t="shared" si="143"/>
        <v>28200</v>
      </c>
      <c r="N300" s="2">
        <f t="shared" si="161"/>
        <v>28200</v>
      </c>
      <c r="O300" s="197"/>
      <c r="P300" s="2">
        <f t="shared" si="144"/>
        <v>28200</v>
      </c>
    </row>
    <row r="301" spans="1:16" ht="11.25" customHeight="1" x14ac:dyDescent="0.25">
      <c r="A301" s="15"/>
      <c r="B301" s="276" t="s">
        <v>29</v>
      </c>
      <c r="C301" s="276"/>
      <c r="D301" s="1" t="s">
        <v>17</v>
      </c>
      <c r="E301" s="219">
        <v>857</v>
      </c>
      <c r="F301" s="1" t="s">
        <v>17</v>
      </c>
      <c r="G301" s="1" t="s">
        <v>1</v>
      </c>
      <c r="H301" s="1" t="s">
        <v>165</v>
      </c>
      <c r="I301" s="1" t="s">
        <v>30</v>
      </c>
      <c r="J301" s="2">
        <v>29700</v>
      </c>
      <c r="K301" s="2">
        <v>28200</v>
      </c>
      <c r="L301" s="2"/>
      <c r="M301" s="2">
        <f t="shared" si="143"/>
        <v>28200</v>
      </c>
      <c r="N301" s="2">
        <v>28200</v>
      </c>
      <c r="O301" s="197"/>
      <c r="P301" s="2">
        <f t="shared" si="144"/>
        <v>28200</v>
      </c>
    </row>
    <row r="302" spans="1:16" ht="33" hidden="1" customHeight="1" x14ac:dyDescent="0.25">
      <c r="A302" s="509" t="s">
        <v>249</v>
      </c>
      <c r="B302" s="509"/>
      <c r="C302" s="276"/>
      <c r="D302" s="1" t="s">
        <v>17</v>
      </c>
      <c r="E302" s="219">
        <v>857</v>
      </c>
      <c r="F302" s="1" t="s">
        <v>22</v>
      </c>
      <c r="G302" s="1" t="s">
        <v>1</v>
      </c>
      <c r="H302" s="1" t="s">
        <v>483</v>
      </c>
      <c r="I302" s="1"/>
      <c r="J302" s="2">
        <f t="shared" ref="J302:N303" si="162">J303</f>
        <v>18000</v>
      </c>
      <c r="K302" s="2">
        <f t="shared" si="162"/>
        <v>0</v>
      </c>
      <c r="L302" s="2"/>
      <c r="M302" s="2"/>
      <c r="N302" s="2">
        <f t="shared" si="162"/>
        <v>0</v>
      </c>
      <c r="O302" s="197"/>
      <c r="P302" s="2"/>
    </row>
    <row r="303" spans="1:16" ht="12" hidden="1" customHeight="1" x14ac:dyDescent="0.25">
      <c r="A303" s="15"/>
      <c r="B303" s="276" t="s">
        <v>27</v>
      </c>
      <c r="C303" s="275"/>
      <c r="D303" s="1" t="s">
        <v>17</v>
      </c>
      <c r="E303" s="219">
        <v>857</v>
      </c>
      <c r="F303" s="1" t="s">
        <v>17</v>
      </c>
      <c r="G303" s="1" t="s">
        <v>1</v>
      </c>
      <c r="H303" s="1" t="s">
        <v>483</v>
      </c>
      <c r="I303" s="1" t="s">
        <v>28</v>
      </c>
      <c r="J303" s="2">
        <f t="shared" si="162"/>
        <v>18000</v>
      </c>
      <c r="K303" s="2">
        <f t="shared" si="162"/>
        <v>0</v>
      </c>
      <c r="L303" s="2"/>
      <c r="M303" s="2"/>
      <c r="N303" s="2">
        <f t="shared" si="162"/>
        <v>0</v>
      </c>
      <c r="O303" s="15"/>
      <c r="P303" s="2"/>
    </row>
    <row r="304" spans="1:16" ht="24.75" hidden="1" customHeight="1" x14ac:dyDescent="0.25">
      <c r="A304" s="15"/>
      <c r="B304" s="276" t="s">
        <v>29</v>
      </c>
      <c r="C304" s="276"/>
      <c r="D304" s="1" t="s">
        <v>17</v>
      </c>
      <c r="E304" s="219">
        <v>857</v>
      </c>
      <c r="F304" s="1" t="s">
        <v>17</v>
      </c>
      <c r="G304" s="1" t="s">
        <v>1</v>
      </c>
      <c r="H304" s="1" t="s">
        <v>483</v>
      </c>
      <c r="I304" s="1" t="s">
        <v>30</v>
      </c>
      <c r="J304" s="2">
        <v>18000</v>
      </c>
      <c r="K304" s="2"/>
      <c r="L304" s="2"/>
      <c r="M304" s="2"/>
      <c r="N304" s="2"/>
      <c r="O304" s="15"/>
      <c r="P304" s="2"/>
    </row>
    <row r="305" spans="1:16" s="109" customFormat="1" ht="18.75" customHeight="1" x14ac:dyDescent="0.25">
      <c r="A305" s="287"/>
      <c r="B305" s="289" t="s">
        <v>166</v>
      </c>
      <c r="C305" s="105"/>
      <c r="D305" s="105"/>
      <c r="E305" s="106"/>
      <c r="F305" s="107"/>
      <c r="G305" s="107"/>
      <c r="H305" s="107"/>
      <c r="I305" s="107"/>
      <c r="J305" s="108">
        <f>J6+J160+J242+J280+J294</f>
        <v>234246433</v>
      </c>
      <c r="K305" s="108">
        <f>K6+K160+K242+K280+K294</f>
        <v>230823280</v>
      </c>
      <c r="L305" s="108">
        <f>L6+L160+L242+L280+L294</f>
        <v>-5599900</v>
      </c>
      <c r="M305" s="108">
        <f>M6+M160+M242+M280+M294</f>
        <v>225223380</v>
      </c>
      <c r="N305" s="108">
        <f>N6+N160+N242+N280+N294</f>
        <v>229348073</v>
      </c>
      <c r="O305" s="108">
        <f t="shared" ref="O305:P305" si="163">O6+O160+O242+O280+O294</f>
        <v>-5153400</v>
      </c>
      <c r="P305" s="108">
        <f t="shared" si="163"/>
        <v>224194673</v>
      </c>
    </row>
    <row r="306" spans="1:16" s="109" customFormat="1" ht="18.75" hidden="1" customHeight="1" x14ac:dyDescent="0.25">
      <c r="A306" s="31"/>
      <c r="B306" s="247"/>
      <c r="C306" s="248"/>
      <c r="D306" s="248"/>
      <c r="E306" s="249"/>
      <c r="F306" s="250"/>
      <c r="G306" s="250"/>
      <c r="H306" s="250"/>
      <c r="I306" s="250"/>
      <c r="J306" s="251" t="e">
        <f>J305-J307</f>
        <v>#REF!</v>
      </c>
      <c r="K306" s="251" t="e">
        <f t="shared" ref="K306:N306" si="164">K305-K307</f>
        <v>#REF!</v>
      </c>
      <c r="L306" s="251"/>
      <c r="M306" s="251"/>
      <c r="N306" s="251" t="e">
        <f t="shared" si="164"/>
        <v>#REF!</v>
      </c>
      <c r="P306" s="251"/>
    </row>
    <row r="307" spans="1:16" hidden="1" x14ac:dyDescent="0.25">
      <c r="B307" s="6" t="s">
        <v>514</v>
      </c>
      <c r="F307" s="6"/>
      <c r="G307" s="6"/>
      <c r="H307" s="64"/>
      <c r="J307" s="74" t="e">
        <f>#REF!</f>
        <v>#REF!</v>
      </c>
      <c r="K307" s="74" t="e">
        <f>#REF!</f>
        <v>#REF!</v>
      </c>
      <c r="L307" s="74"/>
      <c r="M307" s="74"/>
      <c r="N307" s="74" t="e">
        <f>#REF!</f>
        <v>#REF!</v>
      </c>
      <c r="P307" s="74"/>
    </row>
    <row r="308" spans="1:16" hidden="1" x14ac:dyDescent="0.25">
      <c r="E308" s="67"/>
      <c r="F308" s="68"/>
      <c r="G308" s="68"/>
      <c r="H308" s="67"/>
      <c r="I308" s="68"/>
      <c r="J308" s="74"/>
      <c r="K308" s="74"/>
      <c r="L308" s="74"/>
      <c r="M308" s="74"/>
      <c r="N308" s="74"/>
      <c r="P308" s="74"/>
    </row>
    <row r="309" spans="1:16" hidden="1" x14ac:dyDescent="0.25">
      <c r="E309" s="67"/>
      <c r="F309" s="218" t="s">
        <v>17</v>
      </c>
      <c r="G309" s="218"/>
      <c r="H309" s="1"/>
      <c r="I309" s="1"/>
      <c r="J309" s="243">
        <f>J7+J243+J281</f>
        <v>28926500</v>
      </c>
      <c r="K309" s="243">
        <f>K7+K243+K281</f>
        <v>28651698</v>
      </c>
      <c r="L309" s="243"/>
      <c r="M309" s="243"/>
      <c r="N309" s="243">
        <f>N7+N243+N281</f>
        <v>29056918</v>
      </c>
      <c r="P309" s="243"/>
    </row>
    <row r="310" spans="1:16" hidden="1" x14ac:dyDescent="0.25">
      <c r="E310" s="67"/>
      <c r="F310" s="218" t="s">
        <v>72</v>
      </c>
      <c r="G310" s="218"/>
      <c r="H310" s="1"/>
      <c r="I310" s="1"/>
      <c r="J310" s="2">
        <f>J55+J257</f>
        <v>1229519</v>
      </c>
      <c r="K310" s="2">
        <f>K55+K257</f>
        <v>1244541</v>
      </c>
      <c r="L310" s="2"/>
      <c r="M310" s="2"/>
      <c r="N310" s="2">
        <f>N55+N257</f>
        <v>1189514</v>
      </c>
      <c r="P310" s="2"/>
    </row>
    <row r="311" spans="1:16" hidden="1" x14ac:dyDescent="0.25">
      <c r="E311" s="67"/>
      <c r="F311" s="218" t="s">
        <v>3</v>
      </c>
      <c r="G311" s="218"/>
      <c r="H311" s="1"/>
      <c r="I311" s="1"/>
      <c r="J311" s="2">
        <f>J62</f>
        <v>1332400</v>
      </c>
      <c r="K311" s="2">
        <f>K62</f>
        <v>1332400</v>
      </c>
      <c r="L311" s="2"/>
      <c r="M311" s="2"/>
      <c r="N311" s="2">
        <f>N62</f>
        <v>1332400</v>
      </c>
      <c r="P311" s="2"/>
    </row>
    <row r="312" spans="1:16" hidden="1" x14ac:dyDescent="0.25">
      <c r="E312" s="67"/>
      <c r="F312" s="218" t="s">
        <v>6</v>
      </c>
      <c r="G312" s="218"/>
      <c r="H312" s="1"/>
      <c r="I312" s="1"/>
      <c r="J312" s="2">
        <f>J69</f>
        <v>2897640</v>
      </c>
      <c r="K312" s="2">
        <f>K69</f>
        <v>3524640</v>
      </c>
      <c r="L312" s="2"/>
      <c r="M312" s="2"/>
      <c r="N312" s="2">
        <f>N69</f>
        <v>2885640</v>
      </c>
      <c r="P312" s="2"/>
    </row>
    <row r="313" spans="1:16" hidden="1" x14ac:dyDescent="0.25">
      <c r="E313" s="67"/>
      <c r="F313" s="218" t="s">
        <v>63</v>
      </c>
      <c r="G313" s="218"/>
      <c r="H313" s="1"/>
      <c r="I313" s="1"/>
      <c r="J313" s="2">
        <f>J90</f>
        <v>741440</v>
      </c>
      <c r="K313" s="2">
        <f>K90</f>
        <v>741500</v>
      </c>
      <c r="L313" s="2"/>
      <c r="M313" s="2"/>
      <c r="N313" s="2">
        <f>N90</f>
        <v>741495</v>
      </c>
      <c r="P313" s="2"/>
    </row>
    <row r="314" spans="1:16" hidden="1" x14ac:dyDescent="0.25">
      <c r="E314" s="67"/>
      <c r="F314" s="218" t="s">
        <v>36</v>
      </c>
      <c r="G314" s="218"/>
      <c r="H314" s="1"/>
      <c r="I314" s="1"/>
      <c r="J314" s="2">
        <f>J99+J161</f>
        <v>147928123</v>
      </c>
      <c r="K314" s="2">
        <f>K99+K161</f>
        <v>148452723</v>
      </c>
      <c r="L314" s="2"/>
      <c r="M314" s="2"/>
      <c r="N314" s="2">
        <f>N99+N161</f>
        <v>147566723</v>
      </c>
      <c r="P314" s="2"/>
    </row>
    <row r="315" spans="1:16" hidden="1" x14ac:dyDescent="0.25">
      <c r="E315" s="67"/>
      <c r="F315" s="218" t="s">
        <v>84</v>
      </c>
      <c r="G315" s="218"/>
      <c r="H315" s="1"/>
      <c r="I315" s="1"/>
      <c r="J315" s="2">
        <f>J106+J262</f>
        <v>14967040</v>
      </c>
      <c r="K315" s="2">
        <f>K106+K262</f>
        <v>3158540</v>
      </c>
      <c r="L315" s="2"/>
      <c r="M315" s="2"/>
      <c r="N315" s="2">
        <f>N106+N262</f>
        <v>3158540</v>
      </c>
      <c r="P315" s="2"/>
    </row>
    <row r="316" spans="1:16" hidden="1" x14ac:dyDescent="0.25">
      <c r="E316" s="67"/>
      <c r="F316" s="218" t="s">
        <v>0</v>
      </c>
      <c r="G316" s="218"/>
      <c r="H316" s="1"/>
      <c r="I316" s="1"/>
      <c r="J316" s="2">
        <f>J133+J214</f>
        <v>20684071</v>
      </c>
      <c r="K316" s="2">
        <f>K133+K214</f>
        <v>20638696</v>
      </c>
      <c r="L316" s="2"/>
      <c r="M316" s="2"/>
      <c r="N316" s="2">
        <f>N133+N214</f>
        <v>20632496</v>
      </c>
      <c r="P316" s="2"/>
    </row>
    <row r="317" spans="1:16" hidden="1" x14ac:dyDescent="0.25">
      <c r="E317" s="67"/>
      <c r="F317" s="218" t="s">
        <v>38</v>
      </c>
      <c r="G317" s="218"/>
      <c r="H317" s="1"/>
      <c r="I317" s="1"/>
      <c r="J317" s="2">
        <f>J152</f>
        <v>544000</v>
      </c>
      <c r="K317" s="2">
        <f>K152</f>
        <v>260000</v>
      </c>
      <c r="L317" s="2"/>
      <c r="M317" s="2"/>
      <c r="N317" s="2">
        <f>N152</f>
        <v>260000</v>
      </c>
      <c r="P317" s="2"/>
    </row>
    <row r="318" spans="1:16" hidden="1" x14ac:dyDescent="0.25">
      <c r="E318" s="67"/>
      <c r="F318" s="218" t="s">
        <v>44</v>
      </c>
      <c r="G318" s="218"/>
      <c r="H318" s="1"/>
      <c r="I318" s="1"/>
      <c r="J318" s="2"/>
      <c r="K318" s="2"/>
      <c r="L318" s="2"/>
      <c r="M318" s="2"/>
      <c r="N318" s="2"/>
      <c r="P318" s="2"/>
    </row>
    <row r="319" spans="1:16" hidden="1" x14ac:dyDescent="0.25">
      <c r="E319" s="67"/>
      <c r="F319" s="218" t="s">
        <v>153</v>
      </c>
      <c r="G319" s="218"/>
      <c r="H319" s="1"/>
      <c r="I319" s="218"/>
      <c r="J319" s="2">
        <f>J267</f>
        <v>14489000</v>
      </c>
      <c r="K319" s="2">
        <f>K267</f>
        <v>18671000</v>
      </c>
      <c r="L319" s="2"/>
      <c r="M319" s="2"/>
      <c r="N319" s="2">
        <f>N267</f>
        <v>14721000</v>
      </c>
      <c r="P319" s="2"/>
    </row>
    <row r="320" spans="1:16" hidden="1" x14ac:dyDescent="0.25">
      <c r="E320" s="67"/>
      <c r="F320" s="218"/>
      <c r="G320" s="218" t="s">
        <v>168</v>
      </c>
      <c r="H320" s="1"/>
      <c r="I320" s="218"/>
      <c r="J320" s="2">
        <f>J279</f>
        <v>0</v>
      </c>
      <c r="K320" s="2">
        <f>K279</f>
        <v>3647342</v>
      </c>
      <c r="L320" s="2"/>
      <c r="M320" s="2"/>
      <c r="N320" s="2">
        <f>N279</f>
        <v>7303147</v>
      </c>
      <c r="P320" s="2"/>
    </row>
    <row r="321" spans="2:16" hidden="1" x14ac:dyDescent="0.25">
      <c r="E321" s="67"/>
      <c r="F321" s="218"/>
      <c r="G321" s="218"/>
      <c r="H321" s="1"/>
      <c r="I321" s="218"/>
      <c r="J321" s="2">
        <f t="shared" ref="J321:N321" si="165">SUM(J309:J320)</f>
        <v>233739733</v>
      </c>
      <c r="K321" s="2">
        <f t="shared" si="165"/>
        <v>230323080</v>
      </c>
      <c r="L321" s="2"/>
      <c r="M321" s="2"/>
      <c r="N321" s="2">
        <f t="shared" si="165"/>
        <v>228847873</v>
      </c>
      <c r="P321" s="2"/>
    </row>
    <row r="322" spans="2:16" hidden="1" x14ac:dyDescent="0.25">
      <c r="E322" s="67"/>
      <c r="F322" s="68"/>
      <c r="G322" s="68"/>
      <c r="H322" s="67"/>
      <c r="I322" s="68"/>
      <c r="J322" s="9">
        <f>J305-J321</f>
        <v>506700</v>
      </c>
      <c r="K322" s="9">
        <f>K305-K321</f>
        <v>500200</v>
      </c>
      <c r="L322" s="9"/>
      <c r="M322" s="9"/>
      <c r="N322" s="9">
        <f>N305-N321</f>
        <v>500200</v>
      </c>
      <c r="P322" s="9"/>
    </row>
    <row r="323" spans="2:16" hidden="1" x14ac:dyDescent="0.25">
      <c r="E323" s="67"/>
      <c r="F323" s="68" t="s">
        <v>543</v>
      </c>
      <c r="G323" s="68"/>
      <c r="H323" s="67"/>
      <c r="I323" s="68"/>
      <c r="J323" s="9">
        <f>J276</f>
        <v>0</v>
      </c>
      <c r="K323" s="9">
        <f>K276</f>
        <v>3647342</v>
      </c>
      <c r="L323" s="9"/>
      <c r="M323" s="9"/>
      <c r="N323" s="9">
        <f>N276</f>
        <v>7303147</v>
      </c>
      <c r="P323" s="9"/>
    </row>
    <row r="324" spans="2:16" hidden="1" x14ac:dyDescent="0.25">
      <c r="E324" s="67"/>
      <c r="F324" s="68"/>
      <c r="G324" s="68"/>
      <c r="H324" s="67"/>
      <c r="I324" s="68"/>
      <c r="J324" s="6"/>
      <c r="K324" s="208" t="e">
        <f>K323/K336*100</f>
        <v>#REF!</v>
      </c>
      <c r="L324" s="208"/>
      <c r="M324" s="208"/>
      <c r="N324" s="208" t="e">
        <f>N323/N336*100</f>
        <v>#REF!</v>
      </c>
      <c r="P324" s="208"/>
    </row>
    <row r="325" spans="2:16" hidden="1" x14ac:dyDescent="0.25">
      <c r="E325" s="67"/>
      <c r="F325" s="67"/>
      <c r="G325" s="67"/>
      <c r="H325" s="67"/>
      <c r="I325" s="68"/>
      <c r="J325" s="6"/>
    </row>
    <row r="326" spans="2:16" hidden="1" x14ac:dyDescent="0.25">
      <c r="E326" s="6"/>
      <c r="F326" s="6"/>
      <c r="G326" s="6"/>
      <c r="H326" s="64"/>
      <c r="J326" s="6"/>
    </row>
    <row r="327" spans="2:16" hidden="1" x14ac:dyDescent="0.25">
      <c r="E327" s="6"/>
      <c r="F327" s="6"/>
      <c r="G327" s="6"/>
      <c r="H327" s="64"/>
      <c r="K327" s="9"/>
      <c r="L327" s="9"/>
      <c r="M327" s="9"/>
      <c r="N327" s="9"/>
      <c r="P327" s="9"/>
    </row>
    <row r="328" spans="2:16" s="13" customFormat="1" hidden="1" x14ac:dyDescent="0.25">
      <c r="B328" s="13" t="s">
        <v>544</v>
      </c>
      <c r="H328" s="215"/>
      <c r="J328" s="14" t="e">
        <f>J329+J330+J331</f>
        <v>#REF!</v>
      </c>
      <c r="K328" s="14" t="e">
        <f t="shared" ref="K328:N328" si="166">K329+K330+K331</f>
        <v>#REF!</v>
      </c>
      <c r="L328" s="14"/>
      <c r="M328" s="14"/>
      <c r="N328" s="14" t="e">
        <f t="shared" si="166"/>
        <v>#REF!</v>
      </c>
      <c r="P328" s="14"/>
    </row>
    <row r="329" spans="2:16" hidden="1" x14ac:dyDescent="0.25">
      <c r="B329" s="272" t="s">
        <v>492</v>
      </c>
      <c r="E329" s="6"/>
      <c r="F329" s="6"/>
      <c r="G329" s="6"/>
      <c r="H329" s="64"/>
      <c r="J329" s="273">
        <f>J27+J33+J73+J82+J122+J143+J166+J169+J182+J185+J211+J216+J220+J223+J228+J232+J237+J254+J259+J264+J271+J275</f>
        <v>126127131</v>
      </c>
      <c r="K329" s="273">
        <f>K27+K33+K73+K82+K122+K143+K166+K169+K182+K185+K211+K216+K220+K223+K228+K232+K237+K254+K259+K264+K271+K275</f>
        <v>130273538</v>
      </c>
      <c r="L329" s="273"/>
      <c r="M329" s="273"/>
      <c r="N329" s="273">
        <f>N27+N33+N73+N82+N122+N143+N166+N169+N182+N185+N211+N216+N220+N223+N228+N232+N237+N254+N259+N264+N271+N275</f>
        <v>126286726</v>
      </c>
      <c r="P329" s="273"/>
    </row>
    <row r="330" spans="2:16" hidden="1" x14ac:dyDescent="0.25">
      <c r="B330" s="6" t="s">
        <v>494</v>
      </c>
      <c r="E330" s="6"/>
      <c r="F330" s="6"/>
      <c r="G330" s="6"/>
      <c r="H330" s="64"/>
      <c r="J330" s="9" t="e">
        <f>J11+J14+J16+J18+J19+J20+J31+J40+J43+J46+J48+J51+J54+J66+J68+J76+J80+J87+J92+J96+J101+J108+J111+J123+J126+J130+J135+J139+J147+J154+J163+J172+J176+J179+J188+J191+J195+J199+J202+J245+J279+J283+J287+#REF!</f>
        <v>#REF!</v>
      </c>
      <c r="K330" s="9" t="e">
        <f>K11+K14+K16+K18+K19+K20+K31+K40+K43+K46+K48+K51+K54+K66+K68+K76+K80+K87+K92+K96+K101+K108+K111+K123+K126+K130+K135+K139+K147+K154+K163+K172+K176+K179+K188+K191+K195+K199+K202+K245+K279+K283+K287+#REF!</f>
        <v>#REF!</v>
      </c>
      <c r="L330" s="9"/>
      <c r="M330" s="9"/>
      <c r="N330" s="9" t="e">
        <f>N11+N14+N16+N18+N19+N20+N31+N40+N43+N46+N48+N51+N54+N66+N68+N76+N80+N87+N92+N96+N101+N108+N111+N123+N126+N130+N135+N139+N147+N154+N163+N172+N176+N179+N188+N191+N195+N199+N202+N245+N279+N283+N287+#REF!</f>
        <v>#REF!</v>
      </c>
      <c r="P330" s="9"/>
    </row>
    <row r="331" spans="2:16" hidden="1" x14ac:dyDescent="0.25">
      <c r="B331" s="271" t="s">
        <v>493</v>
      </c>
      <c r="E331" s="6"/>
      <c r="F331" s="6"/>
      <c r="G331" s="6"/>
      <c r="H331" s="64"/>
      <c r="J331" s="274" t="e">
        <f>J23+J57+J114+J117+J157+#REF!</f>
        <v>#REF!</v>
      </c>
      <c r="K331" s="274" t="e">
        <f>K23+K57+K114+K117+K157+#REF!</f>
        <v>#REF!</v>
      </c>
      <c r="L331" s="274"/>
      <c r="M331" s="274"/>
      <c r="N331" s="274" t="e">
        <f>N23+N57+N114+N117+N157+#REF!</f>
        <v>#REF!</v>
      </c>
      <c r="P331" s="274"/>
    </row>
    <row r="332" spans="2:16" hidden="1" x14ac:dyDescent="0.25">
      <c r="E332" s="6"/>
      <c r="F332" s="6"/>
      <c r="G332" s="6"/>
      <c r="H332" s="64"/>
      <c r="J332" s="9" t="e">
        <f>J305-J329-J330-J331</f>
        <v>#REF!</v>
      </c>
      <c r="K332" s="9" t="e">
        <f>K305-K329-K330-K331</f>
        <v>#REF!</v>
      </c>
      <c r="L332" s="9"/>
      <c r="M332" s="9"/>
      <c r="N332" s="9" t="e">
        <f>N305-N329-N330-N331</f>
        <v>#REF!</v>
      </c>
      <c r="P332" s="9"/>
    </row>
    <row r="333" spans="2:16" ht="7.5" hidden="1" customHeight="1" x14ac:dyDescent="0.25">
      <c r="E333" s="6"/>
      <c r="F333" s="6"/>
      <c r="G333" s="6"/>
      <c r="H333" s="64"/>
      <c r="K333" s="9"/>
      <c r="L333" s="9"/>
      <c r="M333" s="9"/>
      <c r="N333" s="9"/>
      <c r="P333" s="9"/>
    </row>
    <row r="334" spans="2:16" hidden="1" x14ac:dyDescent="0.25">
      <c r="E334" s="6"/>
      <c r="F334" s="6"/>
      <c r="G334" s="6"/>
      <c r="H334" s="64"/>
      <c r="K334" s="9"/>
      <c r="L334" s="9"/>
      <c r="M334" s="9"/>
      <c r="N334" s="9"/>
      <c r="P334" s="9"/>
    </row>
    <row r="335" spans="2:16" hidden="1" x14ac:dyDescent="0.25">
      <c r="E335" s="6"/>
      <c r="F335" s="6"/>
      <c r="G335" s="6"/>
      <c r="H335" s="64"/>
      <c r="K335" s="9"/>
      <c r="L335" s="9"/>
      <c r="M335" s="9"/>
      <c r="N335" s="9"/>
      <c r="P335" s="9"/>
    </row>
    <row r="336" spans="2:16" hidden="1" x14ac:dyDescent="0.25">
      <c r="B336" s="6" t="s">
        <v>513</v>
      </c>
      <c r="E336" s="6"/>
      <c r="F336" s="6"/>
      <c r="G336" s="6"/>
      <c r="H336" s="64"/>
      <c r="J336" s="9" t="e">
        <f>#REF!+#REF!</f>
        <v>#REF!</v>
      </c>
      <c r="K336" s="9" t="e">
        <f>#REF!+#REF!</f>
        <v>#REF!</v>
      </c>
      <c r="L336" s="9"/>
      <c r="M336" s="9"/>
      <c r="N336" s="9" t="e">
        <f>#REF!+#REF!</f>
        <v>#REF!</v>
      </c>
      <c r="P336" s="9"/>
    </row>
    <row r="337" spans="2:16" hidden="1" x14ac:dyDescent="0.25">
      <c r="B337" s="6" t="s">
        <v>512</v>
      </c>
      <c r="E337" s="6"/>
      <c r="F337" s="6"/>
      <c r="G337" s="6"/>
      <c r="H337" s="64"/>
      <c r="J337" s="9" t="e">
        <f>#REF!</f>
        <v>#REF!</v>
      </c>
      <c r="K337" s="9" t="e">
        <f>#REF!</f>
        <v>#REF!</v>
      </c>
      <c r="L337" s="9"/>
      <c r="M337" s="9"/>
      <c r="N337" s="9" t="e">
        <f>#REF!</f>
        <v>#REF!</v>
      </c>
      <c r="P337" s="9"/>
    </row>
    <row r="338" spans="2:16" hidden="1" x14ac:dyDescent="0.25">
      <c r="E338" s="6"/>
      <c r="F338" s="6"/>
      <c r="G338" s="6"/>
      <c r="H338" s="64"/>
      <c r="K338" s="9"/>
      <c r="L338" s="9"/>
      <c r="M338" s="9"/>
      <c r="N338" s="9"/>
      <c r="P338" s="9"/>
    </row>
    <row r="339" spans="2:16" hidden="1" x14ac:dyDescent="0.25">
      <c r="B339" s="6" t="s">
        <v>572</v>
      </c>
      <c r="E339" s="6"/>
      <c r="F339" s="6"/>
      <c r="G339" s="6"/>
      <c r="H339" s="64"/>
      <c r="J339" s="9" t="e">
        <f>#REF!</f>
        <v>#REF!</v>
      </c>
      <c r="K339" s="9" t="e">
        <f>#REF!</f>
        <v>#REF!</v>
      </c>
      <c r="L339" s="9"/>
      <c r="M339" s="9"/>
      <c r="N339" s="9" t="e">
        <f>#REF!</f>
        <v>#REF!</v>
      </c>
      <c r="P339" s="9"/>
    </row>
    <row r="340" spans="2:16" hidden="1" x14ac:dyDescent="0.25">
      <c r="E340" s="6"/>
      <c r="F340" s="6"/>
      <c r="G340" s="6"/>
      <c r="H340" s="64"/>
      <c r="J340" s="9" t="e">
        <f>J329-J339</f>
        <v>#REF!</v>
      </c>
      <c r="K340" s="9" t="e">
        <f t="shared" ref="K340:N340" si="167">K329-K339</f>
        <v>#REF!</v>
      </c>
      <c r="L340" s="9"/>
      <c r="M340" s="9"/>
      <c r="N340" s="9" t="e">
        <f t="shared" si="167"/>
        <v>#REF!</v>
      </c>
      <c r="P340" s="9"/>
    </row>
    <row r="341" spans="2:16" hidden="1" x14ac:dyDescent="0.25">
      <c r="B341" s="6" t="s">
        <v>573</v>
      </c>
      <c r="E341" s="6"/>
      <c r="F341" s="6"/>
      <c r="G341" s="6"/>
      <c r="H341" s="64"/>
      <c r="J341" s="9" t="e">
        <f>#REF!+#REF!</f>
        <v>#REF!</v>
      </c>
      <c r="K341" s="9" t="e">
        <f>#REF!+#REF!</f>
        <v>#REF!</v>
      </c>
      <c r="L341" s="9"/>
      <c r="M341" s="9"/>
      <c r="N341" s="9" t="e">
        <f>#REF!+#REF!</f>
        <v>#REF!</v>
      </c>
      <c r="P341" s="9"/>
    </row>
    <row r="342" spans="2:16" hidden="1" x14ac:dyDescent="0.25">
      <c r="E342" s="6"/>
      <c r="F342" s="6"/>
      <c r="G342" s="6"/>
      <c r="H342" s="64"/>
      <c r="J342" s="9" t="e">
        <f>J331-J341</f>
        <v>#REF!</v>
      </c>
      <c r="K342" s="9" t="e">
        <f t="shared" ref="K342:N342" si="168">K331-K341</f>
        <v>#REF!</v>
      </c>
      <c r="L342" s="9"/>
      <c r="M342" s="9"/>
      <c r="N342" s="9" t="e">
        <f t="shared" si="168"/>
        <v>#REF!</v>
      </c>
      <c r="P342" s="9"/>
    </row>
    <row r="343" spans="2:16" hidden="1" x14ac:dyDescent="0.25">
      <c r="E343" s="6"/>
      <c r="F343" s="6"/>
      <c r="G343" s="6"/>
      <c r="H343" s="64"/>
      <c r="K343" s="9"/>
      <c r="L343" s="9"/>
      <c r="M343" s="9"/>
      <c r="N343" s="9"/>
      <c r="P343" s="9"/>
    </row>
    <row r="344" spans="2:16" hidden="1" x14ac:dyDescent="0.25">
      <c r="E344" s="6"/>
      <c r="F344" s="6"/>
      <c r="G344" s="6"/>
      <c r="H344" s="64"/>
      <c r="K344" s="9"/>
      <c r="L344" s="9"/>
      <c r="M344" s="9"/>
      <c r="N344" s="9"/>
      <c r="P344" s="9"/>
    </row>
    <row r="345" spans="2:16" hidden="1" x14ac:dyDescent="0.25">
      <c r="E345" s="6"/>
      <c r="F345" s="6"/>
      <c r="G345" s="6"/>
      <c r="H345" s="64"/>
      <c r="K345" s="9"/>
      <c r="L345" s="9"/>
      <c r="M345" s="9"/>
      <c r="N345" s="9"/>
      <c r="P345" s="9"/>
    </row>
    <row r="346" spans="2:16" hidden="1" x14ac:dyDescent="0.25">
      <c r="E346" s="6"/>
      <c r="F346" s="6"/>
      <c r="G346" s="6"/>
      <c r="H346" s="64"/>
      <c r="K346" s="9"/>
      <c r="L346" s="9"/>
      <c r="M346" s="9"/>
      <c r="N346" s="9"/>
      <c r="P346" s="9"/>
    </row>
    <row r="347" spans="2:16" hidden="1" x14ac:dyDescent="0.25">
      <c r="E347" s="6"/>
      <c r="F347" s="6"/>
      <c r="G347" s="6"/>
      <c r="H347" s="64"/>
      <c r="K347" s="9"/>
      <c r="L347" s="9"/>
      <c r="M347" s="9"/>
      <c r="N347" s="9"/>
      <c r="P347" s="9"/>
    </row>
    <row r="348" spans="2:16" hidden="1" x14ac:dyDescent="0.25">
      <c r="E348" s="6"/>
      <c r="F348" s="6"/>
      <c r="G348" s="6"/>
      <c r="H348" s="64"/>
      <c r="K348" s="9"/>
      <c r="L348" s="9"/>
      <c r="M348" s="9"/>
      <c r="N348" s="9"/>
      <c r="P348" s="9"/>
    </row>
    <row r="349" spans="2:16" hidden="1" x14ac:dyDescent="0.25">
      <c r="E349" s="6"/>
      <c r="F349" s="6"/>
      <c r="G349" s="6"/>
      <c r="H349" s="64"/>
      <c r="K349" s="9"/>
      <c r="L349" s="9"/>
      <c r="M349" s="9"/>
      <c r="N349" s="9"/>
      <c r="P349" s="9"/>
    </row>
    <row r="350" spans="2:16" hidden="1" x14ac:dyDescent="0.25">
      <c r="E350" s="68"/>
      <c r="F350" s="198" t="s">
        <v>17</v>
      </c>
      <c r="G350" s="67"/>
      <c r="H350" s="67"/>
      <c r="I350" s="68"/>
      <c r="J350" s="9">
        <f>J7+J243+J281</f>
        <v>28926500</v>
      </c>
      <c r="K350" s="9">
        <f>K7+K243+K281</f>
        <v>28651698</v>
      </c>
      <c r="L350" s="9"/>
      <c r="M350" s="9"/>
      <c r="N350" s="9">
        <f>N7+N243+N281</f>
        <v>29056918</v>
      </c>
      <c r="P350" s="9"/>
    </row>
    <row r="351" spans="2:16" hidden="1" x14ac:dyDescent="0.25">
      <c r="E351" s="68"/>
      <c r="F351" s="198" t="s">
        <v>72</v>
      </c>
      <c r="G351" s="68"/>
      <c r="H351" s="67"/>
      <c r="I351" s="68"/>
      <c r="J351" s="9">
        <f>J55+J257</f>
        <v>1229519</v>
      </c>
      <c r="K351" s="9">
        <f>K55+K257</f>
        <v>1244541</v>
      </c>
      <c r="L351" s="9"/>
      <c r="M351" s="9"/>
      <c r="N351" s="9">
        <f>N55+N257</f>
        <v>1189514</v>
      </c>
      <c r="P351" s="9"/>
    </row>
    <row r="352" spans="2:16" hidden="1" x14ac:dyDescent="0.25">
      <c r="E352" s="68"/>
      <c r="F352" s="198" t="s">
        <v>3</v>
      </c>
      <c r="G352" s="67"/>
      <c r="H352" s="67"/>
      <c r="I352" s="68"/>
      <c r="J352" s="9">
        <f>J62</f>
        <v>1332400</v>
      </c>
      <c r="K352" s="9">
        <f>K62</f>
        <v>1332400</v>
      </c>
      <c r="L352" s="9"/>
      <c r="M352" s="9"/>
      <c r="N352" s="9">
        <f>N62</f>
        <v>1332400</v>
      </c>
      <c r="P352" s="9"/>
    </row>
    <row r="353" spans="2:16" hidden="1" x14ac:dyDescent="0.25">
      <c r="E353" s="68"/>
      <c r="F353" s="198" t="s">
        <v>6</v>
      </c>
      <c r="G353" s="67"/>
      <c r="H353" s="67"/>
      <c r="I353" s="68"/>
      <c r="J353" s="9">
        <f>J69</f>
        <v>2897640</v>
      </c>
      <c r="K353" s="9">
        <f>K69</f>
        <v>3524640</v>
      </c>
      <c r="L353" s="9"/>
      <c r="M353" s="9"/>
      <c r="N353" s="9">
        <f>N69</f>
        <v>2885640</v>
      </c>
      <c r="P353" s="9"/>
    </row>
    <row r="354" spans="2:16" hidden="1" x14ac:dyDescent="0.25">
      <c r="E354" s="68"/>
      <c r="F354" s="198" t="s">
        <v>63</v>
      </c>
      <c r="G354" s="67"/>
      <c r="H354" s="67"/>
      <c r="I354" s="68"/>
      <c r="J354" s="9">
        <f>J90</f>
        <v>741440</v>
      </c>
      <c r="K354" s="9">
        <f>K90</f>
        <v>741500</v>
      </c>
      <c r="L354" s="9"/>
      <c r="M354" s="9"/>
      <c r="N354" s="9">
        <f>N90</f>
        <v>741495</v>
      </c>
      <c r="P354" s="9"/>
    </row>
    <row r="355" spans="2:16" hidden="1" x14ac:dyDescent="0.25">
      <c r="E355" s="68"/>
      <c r="F355" s="198" t="s">
        <v>36</v>
      </c>
      <c r="G355" s="67"/>
      <c r="H355" s="67"/>
      <c r="I355" s="68"/>
      <c r="J355" s="9">
        <f>J99+J161</f>
        <v>147928123</v>
      </c>
      <c r="K355" s="9">
        <f>K99+K161</f>
        <v>148452723</v>
      </c>
      <c r="L355" s="9"/>
      <c r="M355" s="9"/>
      <c r="N355" s="9">
        <f>N99+N161</f>
        <v>147566723</v>
      </c>
      <c r="P355" s="9"/>
    </row>
    <row r="356" spans="2:16" hidden="1" x14ac:dyDescent="0.25">
      <c r="E356" s="68"/>
      <c r="F356" s="198" t="s">
        <v>84</v>
      </c>
      <c r="G356" s="67"/>
      <c r="H356" s="67"/>
      <c r="I356" s="68"/>
      <c r="J356" s="9">
        <f>J106+J262</f>
        <v>14967040</v>
      </c>
      <c r="K356" s="9">
        <f>K106+K262</f>
        <v>3158540</v>
      </c>
      <c r="L356" s="9"/>
      <c r="M356" s="9"/>
      <c r="N356" s="9">
        <f>N106+N262</f>
        <v>3158540</v>
      </c>
      <c r="P356" s="9"/>
    </row>
    <row r="357" spans="2:16" hidden="1" x14ac:dyDescent="0.25">
      <c r="E357" s="68"/>
      <c r="F357" s="198" t="s">
        <v>0</v>
      </c>
      <c r="G357" s="67"/>
      <c r="H357" s="67"/>
      <c r="I357" s="68"/>
      <c r="J357" s="9">
        <f>J133+J214</f>
        <v>20684071</v>
      </c>
      <c r="K357" s="9">
        <f>K133+K214</f>
        <v>20638696</v>
      </c>
      <c r="L357" s="9"/>
      <c r="M357" s="9"/>
      <c r="N357" s="9">
        <f>N133+N214</f>
        <v>20632496</v>
      </c>
      <c r="P357" s="9"/>
    </row>
    <row r="358" spans="2:16" hidden="1" x14ac:dyDescent="0.25">
      <c r="E358" s="68"/>
      <c r="F358" s="198" t="s">
        <v>38</v>
      </c>
      <c r="G358" s="68"/>
      <c r="H358" s="67"/>
      <c r="I358" s="68"/>
      <c r="J358" s="9">
        <f>J152</f>
        <v>544000</v>
      </c>
      <c r="K358" s="9">
        <f>K152</f>
        <v>260000</v>
      </c>
      <c r="L358" s="9"/>
      <c r="M358" s="9"/>
      <c r="N358" s="9">
        <f>N152</f>
        <v>260000</v>
      </c>
      <c r="P358" s="9"/>
    </row>
    <row r="359" spans="2:16" hidden="1" x14ac:dyDescent="0.25">
      <c r="E359" s="68"/>
      <c r="F359" s="198" t="s">
        <v>153</v>
      </c>
      <c r="G359" s="67"/>
      <c r="H359" s="67"/>
      <c r="I359" s="68"/>
      <c r="J359" s="9">
        <f>J267</f>
        <v>14489000</v>
      </c>
      <c r="K359" s="9">
        <f>K267</f>
        <v>18671000</v>
      </c>
      <c r="L359" s="9"/>
      <c r="M359" s="9"/>
      <c r="N359" s="9">
        <f>N267</f>
        <v>14721000</v>
      </c>
      <c r="P359" s="9"/>
    </row>
    <row r="360" spans="2:16" hidden="1" x14ac:dyDescent="0.25">
      <c r="E360" s="68"/>
      <c r="F360" s="198"/>
      <c r="G360" s="67"/>
      <c r="H360" s="67"/>
      <c r="I360" s="68"/>
      <c r="J360" s="9" t="e">
        <f>SUM(J327:J359)</f>
        <v>#REF!</v>
      </c>
      <c r="K360" s="9" t="e">
        <f>SUM(K327:K359)</f>
        <v>#REF!</v>
      </c>
      <c r="L360" s="9"/>
      <c r="M360" s="9"/>
      <c r="N360" s="9" t="e">
        <f>SUM(N327:N359)</f>
        <v>#REF!</v>
      </c>
      <c r="P360" s="9"/>
    </row>
    <row r="361" spans="2:16" hidden="1" x14ac:dyDescent="0.25">
      <c r="E361" s="68"/>
      <c r="F361" s="67"/>
      <c r="G361" s="67"/>
      <c r="H361" s="67"/>
      <c r="I361" s="68"/>
      <c r="J361" s="6"/>
    </row>
    <row r="362" spans="2:16" hidden="1" x14ac:dyDescent="0.25">
      <c r="E362" s="68"/>
      <c r="F362" s="67"/>
      <c r="G362" s="67"/>
      <c r="H362" s="67"/>
      <c r="I362" s="68"/>
      <c r="J362" s="9" t="e">
        <f>J360-J305</f>
        <v>#REF!</v>
      </c>
      <c r="K362" s="9" t="e">
        <f>K360-K305</f>
        <v>#REF!</v>
      </c>
      <c r="L362" s="9"/>
      <c r="M362" s="9"/>
      <c r="N362" s="9" t="e">
        <f>N360-N305</f>
        <v>#REF!</v>
      </c>
      <c r="P362" s="9"/>
    </row>
    <row r="363" spans="2:16" hidden="1" x14ac:dyDescent="0.25">
      <c r="E363" s="68"/>
      <c r="F363" s="67"/>
      <c r="G363" s="67"/>
      <c r="H363" s="67"/>
      <c r="I363" s="68"/>
      <c r="J363" s="6"/>
    </row>
    <row r="364" spans="2:16" hidden="1" x14ac:dyDescent="0.25">
      <c r="B364" s="6" t="s">
        <v>490</v>
      </c>
      <c r="E364" s="68"/>
      <c r="F364" s="67"/>
      <c r="G364" s="67"/>
      <c r="H364" s="67"/>
      <c r="I364" s="68"/>
      <c r="J364" s="6"/>
    </row>
    <row r="365" spans="2:16" hidden="1" x14ac:dyDescent="0.25">
      <c r="E365" s="68"/>
      <c r="F365" s="198" t="s">
        <v>17</v>
      </c>
      <c r="G365" s="67"/>
      <c r="H365" s="67"/>
      <c r="I365" s="68"/>
      <c r="J365" s="9" t="e">
        <f>#REF!</f>
        <v>#REF!</v>
      </c>
      <c r="K365" s="9" t="e">
        <f>#REF!</f>
        <v>#REF!</v>
      </c>
      <c r="L365" s="9"/>
      <c r="M365" s="9"/>
      <c r="N365" s="9" t="e">
        <f>#REF!</f>
        <v>#REF!</v>
      </c>
      <c r="P365" s="9"/>
    </row>
    <row r="366" spans="2:16" hidden="1" x14ac:dyDescent="0.25">
      <c r="E366" s="67"/>
      <c r="F366" s="198" t="s">
        <v>72</v>
      </c>
      <c r="G366" s="67"/>
      <c r="H366" s="68"/>
      <c r="I366" s="68"/>
      <c r="J366" s="9" t="e">
        <f>#REF!</f>
        <v>#REF!</v>
      </c>
      <c r="K366" s="9" t="e">
        <f>#REF!</f>
        <v>#REF!</v>
      </c>
      <c r="L366" s="9"/>
      <c r="M366" s="9"/>
      <c r="N366" s="9" t="e">
        <f>#REF!</f>
        <v>#REF!</v>
      </c>
      <c r="P366" s="9"/>
    </row>
    <row r="367" spans="2:16" hidden="1" x14ac:dyDescent="0.25">
      <c r="E367" s="68"/>
      <c r="F367" s="198" t="s">
        <v>3</v>
      </c>
      <c r="G367" s="67"/>
      <c r="H367" s="68"/>
      <c r="I367" s="68"/>
      <c r="J367" s="9" t="e">
        <f>#REF!</f>
        <v>#REF!</v>
      </c>
      <c r="K367" s="9" t="e">
        <f>#REF!</f>
        <v>#REF!</v>
      </c>
      <c r="L367" s="9"/>
      <c r="M367" s="9"/>
      <c r="N367" s="9" t="e">
        <f>#REF!</f>
        <v>#REF!</v>
      </c>
      <c r="P367" s="9"/>
    </row>
    <row r="368" spans="2:16" hidden="1" x14ac:dyDescent="0.25">
      <c r="E368" s="68"/>
      <c r="F368" s="198" t="s">
        <v>6</v>
      </c>
      <c r="G368" s="67"/>
      <c r="H368" s="68"/>
      <c r="I368" s="68"/>
      <c r="J368" s="9" t="e">
        <f>#REF!</f>
        <v>#REF!</v>
      </c>
      <c r="K368" s="9" t="e">
        <f>#REF!</f>
        <v>#REF!</v>
      </c>
      <c r="L368" s="9"/>
      <c r="M368" s="9"/>
      <c r="N368" s="9" t="e">
        <f>#REF!</f>
        <v>#REF!</v>
      </c>
      <c r="P368" s="9"/>
    </row>
    <row r="369" spans="2:16" hidden="1" x14ac:dyDescent="0.25">
      <c r="E369" s="6"/>
      <c r="F369" s="198" t="s">
        <v>63</v>
      </c>
      <c r="J369" s="9" t="e">
        <f>#REF!</f>
        <v>#REF!</v>
      </c>
      <c r="K369" s="9" t="e">
        <f>#REF!</f>
        <v>#REF!</v>
      </c>
      <c r="L369" s="9"/>
      <c r="M369" s="9"/>
      <c r="N369" s="9" t="e">
        <f>#REF!</f>
        <v>#REF!</v>
      </c>
      <c r="P369" s="9"/>
    </row>
    <row r="370" spans="2:16" hidden="1" x14ac:dyDescent="0.25">
      <c r="E370" s="6"/>
      <c r="F370" s="198" t="s">
        <v>36</v>
      </c>
      <c r="G370" s="6"/>
      <c r="J370" s="9" t="e">
        <f>#REF!</f>
        <v>#REF!</v>
      </c>
      <c r="K370" s="9" t="e">
        <f>#REF!</f>
        <v>#REF!</v>
      </c>
      <c r="L370" s="9"/>
      <c r="M370" s="9"/>
      <c r="N370" s="9" t="e">
        <f>#REF!</f>
        <v>#REF!</v>
      </c>
      <c r="P370" s="9"/>
    </row>
    <row r="371" spans="2:16" hidden="1" x14ac:dyDescent="0.25">
      <c r="E371" s="6"/>
      <c r="F371" s="198" t="s">
        <v>84</v>
      </c>
      <c r="G371" s="6"/>
      <c r="J371" s="9" t="e">
        <f>#REF!</f>
        <v>#REF!</v>
      </c>
      <c r="K371" s="9" t="e">
        <f>#REF!</f>
        <v>#REF!</v>
      </c>
      <c r="L371" s="9"/>
      <c r="M371" s="9"/>
      <c r="N371" s="9" t="e">
        <f>#REF!</f>
        <v>#REF!</v>
      </c>
      <c r="P371" s="9"/>
    </row>
    <row r="372" spans="2:16" hidden="1" x14ac:dyDescent="0.25">
      <c r="E372" s="6"/>
      <c r="F372" s="198" t="s">
        <v>0</v>
      </c>
      <c r="G372" s="6"/>
      <c r="J372" s="9" t="e">
        <f>#REF!</f>
        <v>#REF!</v>
      </c>
      <c r="K372" s="9" t="e">
        <f>#REF!</f>
        <v>#REF!</v>
      </c>
      <c r="L372" s="9"/>
      <c r="M372" s="9"/>
      <c r="N372" s="9" t="e">
        <f>#REF!</f>
        <v>#REF!</v>
      </c>
      <c r="P372" s="9"/>
    </row>
    <row r="373" spans="2:16" hidden="1" x14ac:dyDescent="0.25">
      <c r="E373" s="6"/>
      <c r="F373" s="198" t="s">
        <v>38</v>
      </c>
      <c r="G373" s="6"/>
      <c r="J373" s="9" t="e">
        <f>#REF!</f>
        <v>#REF!</v>
      </c>
      <c r="K373" s="9" t="e">
        <f>#REF!</f>
        <v>#REF!</v>
      </c>
      <c r="L373" s="9"/>
      <c r="M373" s="9"/>
      <c r="N373" s="9" t="e">
        <f>#REF!</f>
        <v>#REF!</v>
      </c>
      <c r="P373" s="9"/>
    </row>
    <row r="374" spans="2:16" hidden="1" x14ac:dyDescent="0.25">
      <c r="E374" s="6"/>
      <c r="F374" s="198" t="s">
        <v>153</v>
      </c>
      <c r="G374" s="6"/>
      <c r="J374" s="9" t="e">
        <f>#REF!</f>
        <v>#REF!</v>
      </c>
      <c r="K374" s="9" t="e">
        <f>#REF!</f>
        <v>#REF!</v>
      </c>
      <c r="L374" s="9"/>
      <c r="M374" s="9"/>
      <c r="N374" s="9" t="e">
        <f>#REF!</f>
        <v>#REF!</v>
      </c>
      <c r="P374" s="9"/>
    </row>
    <row r="375" spans="2:16" hidden="1" x14ac:dyDescent="0.25">
      <c r="J375" s="6"/>
    </row>
    <row r="376" spans="2:16" hidden="1" x14ac:dyDescent="0.25">
      <c r="E376" s="6"/>
      <c r="F376" s="6"/>
      <c r="G376" s="6"/>
      <c r="J376" s="6"/>
    </row>
    <row r="377" spans="2:16" hidden="1" x14ac:dyDescent="0.25">
      <c r="B377" s="6" t="s">
        <v>491</v>
      </c>
      <c r="E377" s="6"/>
      <c r="F377" s="198" t="s">
        <v>17</v>
      </c>
      <c r="G377" s="6"/>
      <c r="J377" s="9" t="e">
        <f>J350-J365</f>
        <v>#REF!</v>
      </c>
      <c r="K377" s="9" t="e">
        <f>K350-K365</f>
        <v>#REF!</v>
      </c>
      <c r="L377" s="9"/>
      <c r="M377" s="9"/>
      <c r="N377" s="9" t="e">
        <f>N350-N365</f>
        <v>#REF!</v>
      </c>
      <c r="P377" s="9"/>
    </row>
    <row r="378" spans="2:16" hidden="1" x14ac:dyDescent="0.25">
      <c r="E378" s="6"/>
      <c r="F378" s="198" t="s">
        <v>72</v>
      </c>
      <c r="G378" s="6"/>
      <c r="J378" s="9" t="e">
        <f t="shared" ref="J378:N386" si="169">J351-J366</f>
        <v>#REF!</v>
      </c>
      <c r="K378" s="9" t="e">
        <f t="shared" si="169"/>
        <v>#REF!</v>
      </c>
      <c r="L378" s="9"/>
      <c r="M378" s="9"/>
      <c r="N378" s="9" t="e">
        <f t="shared" si="169"/>
        <v>#REF!</v>
      </c>
      <c r="P378" s="9"/>
    </row>
    <row r="379" spans="2:16" hidden="1" x14ac:dyDescent="0.25">
      <c r="F379" s="198" t="s">
        <v>3</v>
      </c>
      <c r="J379" s="9" t="e">
        <f t="shared" si="169"/>
        <v>#REF!</v>
      </c>
      <c r="K379" s="9" t="e">
        <f t="shared" si="169"/>
        <v>#REF!</v>
      </c>
      <c r="L379" s="9"/>
      <c r="M379" s="9"/>
      <c r="N379" s="9" t="e">
        <f t="shared" si="169"/>
        <v>#REF!</v>
      </c>
      <c r="P379" s="9"/>
    </row>
    <row r="380" spans="2:16" hidden="1" x14ac:dyDescent="0.25">
      <c r="F380" s="198" t="s">
        <v>6</v>
      </c>
      <c r="J380" s="9" t="e">
        <f t="shared" si="169"/>
        <v>#REF!</v>
      </c>
      <c r="K380" s="9" t="e">
        <f t="shared" si="169"/>
        <v>#REF!</v>
      </c>
      <c r="L380" s="9"/>
      <c r="M380" s="9"/>
      <c r="N380" s="9" t="e">
        <f t="shared" si="169"/>
        <v>#REF!</v>
      </c>
      <c r="P380" s="9"/>
    </row>
    <row r="381" spans="2:16" hidden="1" x14ac:dyDescent="0.25">
      <c r="F381" s="198" t="s">
        <v>63</v>
      </c>
      <c r="J381" s="9" t="e">
        <f t="shared" si="169"/>
        <v>#REF!</v>
      </c>
      <c r="K381" s="9" t="e">
        <f t="shared" si="169"/>
        <v>#REF!</v>
      </c>
      <c r="L381" s="9"/>
      <c r="M381" s="9"/>
      <c r="N381" s="9" t="e">
        <f t="shared" si="169"/>
        <v>#REF!</v>
      </c>
      <c r="P381" s="9"/>
    </row>
    <row r="382" spans="2:16" hidden="1" x14ac:dyDescent="0.25">
      <c r="F382" s="198" t="s">
        <v>36</v>
      </c>
      <c r="J382" s="9" t="e">
        <f t="shared" si="169"/>
        <v>#REF!</v>
      </c>
      <c r="K382" s="9" t="e">
        <f t="shared" si="169"/>
        <v>#REF!</v>
      </c>
      <c r="L382" s="9"/>
      <c r="M382" s="9"/>
      <c r="N382" s="9" t="e">
        <f t="shared" si="169"/>
        <v>#REF!</v>
      </c>
      <c r="P382" s="9"/>
    </row>
    <row r="383" spans="2:16" hidden="1" x14ac:dyDescent="0.25">
      <c r="F383" s="198" t="s">
        <v>84</v>
      </c>
      <c r="J383" s="9" t="e">
        <f t="shared" si="169"/>
        <v>#REF!</v>
      </c>
      <c r="K383" s="9" t="e">
        <f t="shared" si="169"/>
        <v>#REF!</v>
      </c>
      <c r="L383" s="9"/>
      <c r="M383" s="9"/>
      <c r="N383" s="9" t="e">
        <f t="shared" si="169"/>
        <v>#REF!</v>
      </c>
      <c r="P383" s="9"/>
    </row>
    <row r="384" spans="2:16" hidden="1" x14ac:dyDescent="0.25">
      <c r="F384" s="198" t="s">
        <v>0</v>
      </c>
      <c r="J384" s="9" t="e">
        <f t="shared" si="169"/>
        <v>#REF!</v>
      </c>
      <c r="K384" s="9" t="e">
        <f t="shared" si="169"/>
        <v>#REF!</v>
      </c>
      <c r="L384" s="9"/>
      <c r="M384" s="9"/>
      <c r="N384" s="9" t="e">
        <f t="shared" si="169"/>
        <v>#REF!</v>
      </c>
      <c r="P384" s="9"/>
    </row>
    <row r="385" spans="2:16" hidden="1" x14ac:dyDescent="0.25">
      <c r="F385" s="198" t="s">
        <v>38</v>
      </c>
      <c r="J385" s="9" t="e">
        <f t="shared" si="169"/>
        <v>#REF!</v>
      </c>
      <c r="K385" s="9" t="e">
        <f t="shared" si="169"/>
        <v>#REF!</v>
      </c>
      <c r="L385" s="9"/>
      <c r="M385" s="9"/>
      <c r="N385" s="9" t="e">
        <f t="shared" si="169"/>
        <v>#REF!</v>
      </c>
      <c r="P385" s="9"/>
    </row>
    <row r="386" spans="2:16" hidden="1" x14ac:dyDescent="0.25">
      <c r="F386" s="198" t="s">
        <v>153</v>
      </c>
      <c r="J386" s="9" t="e">
        <f t="shared" si="169"/>
        <v>#REF!</v>
      </c>
      <c r="K386" s="9" t="e">
        <f t="shared" si="169"/>
        <v>#REF!</v>
      </c>
      <c r="L386" s="9"/>
      <c r="M386" s="9"/>
      <c r="N386" s="9" t="e">
        <f t="shared" si="169"/>
        <v>#REF!</v>
      </c>
      <c r="P386" s="9"/>
    </row>
    <row r="387" spans="2:16" hidden="1" x14ac:dyDescent="0.25">
      <c r="B387" s="64">
        <v>851</v>
      </c>
      <c r="J387" s="6"/>
    </row>
    <row r="388" spans="2:16" hidden="1" x14ac:dyDescent="0.25">
      <c r="B388" s="6" t="s">
        <v>545</v>
      </c>
      <c r="J388" s="6"/>
    </row>
    <row r="389" spans="2:16" hidden="1" x14ac:dyDescent="0.25">
      <c r="J389" s="6"/>
    </row>
    <row r="390" spans="2:16" hidden="1" x14ac:dyDescent="0.25">
      <c r="J390" s="6"/>
    </row>
    <row r="391" spans="2:16" hidden="1" x14ac:dyDescent="0.25">
      <c r="J391" s="6"/>
    </row>
    <row r="392" spans="2:16" hidden="1" x14ac:dyDescent="0.25">
      <c r="J392" s="6"/>
    </row>
    <row r="393" spans="2:16" hidden="1" x14ac:dyDescent="0.25">
      <c r="J393" s="6"/>
    </row>
    <row r="394" spans="2:16" hidden="1" x14ac:dyDescent="0.25">
      <c r="J394" s="6"/>
    </row>
    <row r="395" spans="2:16" hidden="1" x14ac:dyDescent="0.25">
      <c r="J395" s="6"/>
    </row>
    <row r="396" spans="2:16" hidden="1" x14ac:dyDescent="0.25">
      <c r="H396" s="6" t="s">
        <v>447</v>
      </c>
      <c r="J396" s="9" t="e">
        <f>#REF!</f>
        <v>#REF!</v>
      </c>
      <c r="K396" s="9" t="e">
        <f>#REF!</f>
        <v>#REF!</v>
      </c>
      <c r="L396" s="9"/>
      <c r="M396" s="9"/>
      <c r="N396" s="9" t="e">
        <f>#REF!</f>
        <v>#REF!</v>
      </c>
      <c r="P396" s="9"/>
    </row>
    <row r="397" spans="2:16" hidden="1" x14ac:dyDescent="0.25">
      <c r="J397" s="6"/>
    </row>
    <row r="398" spans="2:16" hidden="1" x14ac:dyDescent="0.25">
      <c r="J398" s="6"/>
    </row>
    <row r="399" spans="2:16" hidden="1" x14ac:dyDescent="0.25">
      <c r="J399" s="6"/>
    </row>
    <row r="400" spans="2:16" hidden="1" x14ac:dyDescent="0.25">
      <c r="J400" s="6"/>
    </row>
    <row r="401" spans="5:14" hidden="1" x14ac:dyDescent="0.25">
      <c r="J401" s="6"/>
    </row>
    <row r="402" spans="5:14" hidden="1" x14ac:dyDescent="0.25">
      <c r="J402" s="6"/>
    </row>
    <row r="403" spans="5:14" hidden="1" x14ac:dyDescent="0.25">
      <c r="J403" s="6"/>
    </row>
    <row r="404" spans="5:14" hidden="1" x14ac:dyDescent="0.25">
      <c r="E404" s="6"/>
      <c r="F404" s="6"/>
      <c r="G404" s="6"/>
      <c r="J404" s="6"/>
    </row>
    <row r="405" spans="5:14" hidden="1" x14ac:dyDescent="0.25">
      <c r="E405" s="6"/>
      <c r="F405" s="6"/>
      <c r="G405" s="6"/>
      <c r="J405" s="6"/>
    </row>
    <row r="406" spans="5:14" hidden="1" x14ac:dyDescent="0.25">
      <c r="E406" s="6"/>
      <c r="F406" s="6"/>
      <c r="G406" s="6"/>
      <c r="J406" s="6"/>
    </row>
    <row r="407" spans="5:14" x14ac:dyDescent="0.25">
      <c r="E407" s="6"/>
      <c r="F407" s="6"/>
      <c r="G407" s="6"/>
      <c r="J407" s="6"/>
    </row>
    <row r="408" spans="5:14" x14ac:dyDescent="0.25">
      <c r="E408" s="6"/>
      <c r="F408" s="6"/>
      <c r="G408" s="6"/>
      <c r="J408" s="6"/>
      <c r="K408" s="6">
        <v>230823280</v>
      </c>
      <c r="N408" s="6">
        <v>229348073</v>
      </c>
    </row>
    <row r="409" spans="5:14" x14ac:dyDescent="0.25">
      <c r="E409" s="6"/>
      <c r="F409" s="6"/>
      <c r="G409" s="6"/>
      <c r="J409" s="6"/>
    </row>
    <row r="410" spans="5:14" x14ac:dyDescent="0.25">
      <c r="J410" s="6"/>
    </row>
    <row r="411" spans="5:14" x14ac:dyDescent="0.25">
      <c r="E411" s="6"/>
      <c r="F411" s="6"/>
      <c r="G411" s="6"/>
      <c r="J411" s="6"/>
    </row>
    <row r="412" spans="5:14" x14ac:dyDescent="0.25">
      <c r="E412" s="6"/>
      <c r="F412" s="6"/>
      <c r="G412" s="6"/>
      <c r="J412" s="6"/>
    </row>
    <row r="413" spans="5:14" x14ac:dyDescent="0.25">
      <c r="E413" s="6"/>
      <c r="F413" s="6"/>
      <c r="G413" s="6"/>
      <c r="J413" s="6"/>
    </row>
    <row r="414" spans="5:14" x14ac:dyDescent="0.25">
      <c r="J414" s="6"/>
    </row>
    <row r="415" spans="5:14" x14ac:dyDescent="0.25">
      <c r="J415" s="6"/>
    </row>
    <row r="416" spans="5:14" x14ac:dyDescent="0.25">
      <c r="J416" s="6"/>
    </row>
    <row r="417" spans="2:17" x14ac:dyDescent="0.25">
      <c r="J417" s="6"/>
    </row>
    <row r="418" spans="2:17" x14ac:dyDescent="0.25">
      <c r="J418" s="6"/>
    </row>
    <row r="419" spans="2:17" x14ac:dyDescent="0.25">
      <c r="J419" s="6"/>
    </row>
    <row r="420" spans="2:17" x14ac:dyDescent="0.25">
      <c r="J420" s="6"/>
    </row>
    <row r="421" spans="2:17" x14ac:dyDescent="0.25">
      <c r="J421" s="6"/>
    </row>
    <row r="422" spans="2:17" x14ac:dyDescent="0.25">
      <c r="J422" s="6"/>
    </row>
    <row r="423" spans="2:17" x14ac:dyDescent="0.25">
      <c r="J423" s="6"/>
    </row>
    <row r="424" spans="2:17" x14ac:dyDescent="0.25">
      <c r="J424" s="6"/>
    </row>
    <row r="425" spans="2:17" x14ac:dyDescent="0.25">
      <c r="J425" s="6"/>
    </row>
    <row r="426" spans="2:17" x14ac:dyDescent="0.25">
      <c r="J426" s="6"/>
    </row>
    <row r="427" spans="2:17" x14ac:dyDescent="0.25">
      <c r="J427" s="6"/>
    </row>
    <row r="428" spans="2:17" x14ac:dyDescent="0.25">
      <c r="J428" s="6"/>
    </row>
    <row r="429" spans="2:17" x14ac:dyDescent="0.25">
      <c r="J429" s="6"/>
    </row>
    <row r="430" spans="2:17" x14ac:dyDescent="0.25">
      <c r="J430" s="6"/>
    </row>
    <row r="431" spans="2:17" hidden="1" x14ac:dyDescent="0.25">
      <c r="F431" s="198" t="s">
        <v>153</v>
      </c>
      <c r="K431" s="9">
        <f t="shared" ref="K431" si="170">K404-K419</f>
        <v>0</v>
      </c>
      <c r="L431" s="9"/>
      <c r="M431" s="9"/>
      <c r="N431" s="9"/>
      <c r="O431" s="9"/>
      <c r="P431" s="9"/>
      <c r="Q431" s="9">
        <f t="shared" ref="Q431" si="171">Q404-Q419</f>
        <v>0</v>
      </c>
    </row>
    <row r="432" spans="2:17" hidden="1" x14ac:dyDescent="0.25">
      <c r="B432" s="64">
        <v>851</v>
      </c>
    </row>
    <row r="433" spans="2:2" s="6" customFormat="1" hidden="1" x14ac:dyDescent="0.25">
      <c r="B433" s="6" t="s">
        <v>545</v>
      </c>
    </row>
    <row r="434" spans="2:2" s="6" customFormat="1" hidden="1" x14ac:dyDescent="0.25"/>
    <row r="435" spans="2:2" s="6" customFormat="1" hidden="1" x14ac:dyDescent="0.25"/>
    <row r="436" spans="2:2" s="6" customFormat="1" hidden="1" x14ac:dyDescent="0.25"/>
    <row r="437" spans="2:2" s="6" customFormat="1" hidden="1" x14ac:dyDescent="0.25"/>
    <row r="438" spans="2:2" s="6" customFormat="1" hidden="1" x14ac:dyDescent="0.25"/>
    <row r="450" spans="5:10" x14ac:dyDescent="0.25">
      <c r="E450" s="6"/>
      <c r="F450" s="6"/>
      <c r="G450" s="6"/>
      <c r="J450" s="6"/>
    </row>
    <row r="451" spans="5:10" x14ac:dyDescent="0.25">
      <c r="E451" s="6"/>
      <c r="F451" s="6"/>
      <c r="G451" s="6"/>
      <c r="J451" s="6"/>
    </row>
    <row r="452" spans="5:10" x14ac:dyDescent="0.25">
      <c r="E452" s="6"/>
      <c r="F452" s="6"/>
      <c r="G452" s="6"/>
      <c r="J452" s="6"/>
    </row>
    <row r="453" spans="5:10" x14ac:dyDescent="0.25">
      <c r="E453" s="6"/>
      <c r="F453" s="6"/>
      <c r="G453" s="6"/>
      <c r="J453" s="6"/>
    </row>
    <row r="454" spans="5:10" x14ac:dyDescent="0.25">
      <c r="E454" s="6"/>
      <c r="F454" s="6"/>
      <c r="G454" s="6"/>
      <c r="J454" s="6"/>
    </row>
    <row r="455" spans="5:10" x14ac:dyDescent="0.25">
      <c r="E455" s="6"/>
      <c r="F455" s="6"/>
      <c r="G455" s="6"/>
      <c r="J455" s="6"/>
    </row>
    <row r="457" spans="5:10" x14ac:dyDescent="0.25">
      <c r="E457" s="6"/>
      <c r="F457" s="6"/>
      <c r="G457" s="6"/>
      <c r="J457" s="6"/>
    </row>
    <row r="458" spans="5:10" x14ac:dyDescent="0.25">
      <c r="E458" s="6"/>
      <c r="F458" s="6"/>
      <c r="G458" s="6"/>
      <c r="J458" s="6"/>
    </row>
    <row r="459" spans="5:10" x14ac:dyDescent="0.25">
      <c r="E459" s="6"/>
      <c r="F459" s="6"/>
      <c r="G459" s="6"/>
      <c r="J459" s="6"/>
    </row>
  </sheetData>
  <mergeCells count="126">
    <mergeCell ref="I2:P2"/>
    <mergeCell ref="A3:P3"/>
    <mergeCell ref="I1:N1"/>
    <mergeCell ref="A49:B49"/>
    <mergeCell ref="A69:B69"/>
    <mergeCell ref="A74:B74"/>
    <mergeCell ref="A77:B77"/>
    <mergeCell ref="A44:B44"/>
    <mergeCell ref="A62:B62"/>
    <mergeCell ref="A41:B41"/>
    <mergeCell ref="A57:B57"/>
    <mergeCell ref="A71:B71"/>
    <mergeCell ref="A21:B21"/>
    <mergeCell ref="A25:B25"/>
    <mergeCell ref="A5:B5"/>
    <mergeCell ref="A6:B6"/>
    <mergeCell ref="A7:B7"/>
    <mergeCell ref="A8:B8"/>
    <mergeCell ref="A29:B29"/>
    <mergeCell ref="A9:B9"/>
    <mergeCell ref="A12:B12"/>
    <mergeCell ref="A24:B24"/>
    <mergeCell ref="A28:B28"/>
    <mergeCell ref="A32:B32"/>
    <mergeCell ref="A163:B163"/>
    <mergeCell ref="A146:B146"/>
    <mergeCell ref="A153:B153"/>
    <mergeCell ref="A143:B143"/>
    <mergeCell ref="A152:B152"/>
    <mergeCell ref="A157:B157"/>
    <mergeCell ref="A161:B161"/>
    <mergeCell ref="A162:B162"/>
    <mergeCell ref="A142:B142"/>
    <mergeCell ref="A147:B147"/>
    <mergeCell ref="A154:B154"/>
    <mergeCell ref="A160:B160"/>
    <mergeCell ref="A33:B33"/>
    <mergeCell ref="A38:B38"/>
    <mergeCell ref="A52:B52"/>
    <mergeCell ref="A55:B55"/>
    <mergeCell ref="A56:B56"/>
    <mergeCell ref="A63:B63"/>
    <mergeCell ref="A188:B188"/>
    <mergeCell ref="A194:B194"/>
    <mergeCell ref="A191:B191"/>
    <mergeCell ref="A64:B64"/>
    <mergeCell ref="A70:B70"/>
    <mergeCell ref="A107:B107"/>
    <mergeCell ref="A78:B78"/>
    <mergeCell ref="A92:B92"/>
    <mergeCell ref="A106:B106"/>
    <mergeCell ref="A82:B82"/>
    <mergeCell ref="A81:B81"/>
    <mergeCell ref="A87:B87"/>
    <mergeCell ref="A91:B91"/>
    <mergeCell ref="A96:B96"/>
    <mergeCell ref="A99:B99"/>
    <mergeCell ref="A100:B100"/>
    <mergeCell ref="A101:B101"/>
    <mergeCell ref="A108:B108"/>
    <mergeCell ref="A195:B195"/>
    <mergeCell ref="A198:B198"/>
    <mergeCell ref="A199:B199"/>
    <mergeCell ref="A202:B202"/>
    <mergeCell ref="A166:B166"/>
    <mergeCell ref="A179:B179"/>
    <mergeCell ref="A169:B169"/>
    <mergeCell ref="A172:B172"/>
    <mergeCell ref="A175:B175"/>
    <mergeCell ref="A176:B176"/>
    <mergeCell ref="A182:B182"/>
    <mergeCell ref="A185:B185"/>
    <mergeCell ref="A214:B214"/>
    <mergeCell ref="A237:B237"/>
    <mergeCell ref="A277:B277"/>
    <mergeCell ref="A220:B220"/>
    <mergeCell ref="A223:B223"/>
    <mergeCell ref="A232:B232"/>
    <mergeCell ref="A211:B211"/>
    <mergeCell ref="A215:B215"/>
    <mergeCell ref="A216:B216"/>
    <mergeCell ref="A219:B219"/>
    <mergeCell ref="A228:B228"/>
    <mergeCell ref="A231:B231"/>
    <mergeCell ref="A242:B242"/>
    <mergeCell ref="A243:B243"/>
    <mergeCell ref="A244:B244"/>
    <mergeCell ref="A245:B245"/>
    <mergeCell ref="A253:B253"/>
    <mergeCell ref="A272:B272"/>
    <mergeCell ref="A276:B276"/>
    <mergeCell ref="A296:B296"/>
    <mergeCell ref="A302:B302"/>
    <mergeCell ref="A283:B283"/>
    <mergeCell ref="A254:B254"/>
    <mergeCell ref="A259:B259"/>
    <mergeCell ref="A263:B263"/>
    <mergeCell ref="A268:B268"/>
    <mergeCell ref="A282:B282"/>
    <mergeCell ref="A264:B264"/>
    <mergeCell ref="A267:B267"/>
    <mergeCell ref="A269:B269"/>
    <mergeCell ref="A273:B273"/>
    <mergeCell ref="A297:B297"/>
    <mergeCell ref="A257:B257"/>
    <mergeCell ref="A258:B258"/>
    <mergeCell ref="A262:B262"/>
    <mergeCell ref="A280:B280"/>
    <mergeCell ref="A281:B281"/>
    <mergeCell ref="A286:B286"/>
    <mergeCell ref="A287:B287"/>
    <mergeCell ref="A294:B294"/>
    <mergeCell ref="A295:B295"/>
    <mergeCell ref="A111:B111"/>
    <mergeCell ref="A114:B114"/>
    <mergeCell ref="A126:B126"/>
    <mergeCell ref="A133:B133"/>
    <mergeCell ref="A135:B135"/>
    <mergeCell ref="A138:B138"/>
    <mergeCell ref="A139:B139"/>
    <mergeCell ref="A129:B129"/>
    <mergeCell ref="A130:B130"/>
    <mergeCell ref="A134:B134"/>
    <mergeCell ref="A117:B117"/>
    <mergeCell ref="A120:B120"/>
    <mergeCell ref="A123:B123"/>
  </mergeCells>
  <pageMargins left="0.62992125984251968" right="0.51181102362204722" top="0.19685039370078741" bottom="0.15748031496062992" header="0.31496062992125984" footer="0.31496062992125984"/>
  <pageSetup paperSize="9"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26</vt:i4>
      </vt:variant>
      <vt:variant>
        <vt:lpstr>Именованные диапазоны</vt:lpstr>
      </vt:variant>
      <vt:variant>
        <vt:i4>4</vt:i4>
      </vt:variant>
    </vt:vector>
  </HeadingPairs>
  <TitlesOfParts>
    <vt:vector size="30" baseType="lpstr">
      <vt:lpstr>Доходы</vt:lpstr>
      <vt:lpstr>1 Норм</vt:lpstr>
      <vt:lpstr>2 Адм.дох</vt:lpstr>
      <vt:lpstr>3 Ист.дох</vt:lpstr>
      <vt:lpstr>4 Адм.ОГВ</vt:lpstr>
      <vt:lpstr>5.Адм.ист.</vt:lpstr>
      <vt:lpstr>6 Вед15</vt:lpstr>
      <vt:lpstr>8 МП15</vt:lpstr>
      <vt:lpstr>7 Вед.15-16</vt:lpstr>
      <vt:lpstr>9 МП15-16</vt:lpstr>
      <vt:lpstr>10.1 Выр.15</vt:lpstr>
      <vt:lpstr>10.2 Сб 15</vt:lpstr>
      <vt:lpstr>10.3 Ком.15</vt:lpstr>
      <vt:lpstr>10.4 В.уч15</vt:lpstr>
      <vt:lpstr>10.5 Прот.15</vt:lpstr>
      <vt:lpstr>10.6 Дороги</vt:lpstr>
      <vt:lpstr>10.7 Сб.МР</vt:lpstr>
      <vt:lpstr>10.8 Жилф</vt:lpstr>
      <vt:lpstr>10.9 Газ</vt:lpstr>
      <vt:lpstr>11.1 Выр.16-17</vt:lpstr>
      <vt:lpstr>11.2 СБ.16-17</vt:lpstr>
      <vt:lpstr>11.3 Ком.16-17</vt:lpstr>
      <vt:lpstr>11.4 В.уч.16-17</vt:lpstr>
      <vt:lpstr>11.5 Прот.16-17</vt:lpstr>
      <vt:lpstr>12 Ист.15</vt:lpstr>
      <vt:lpstr>13 Ист.15-16</vt:lpstr>
      <vt:lpstr>'6 Вед15'!Заголовки_для_печати</vt:lpstr>
      <vt:lpstr>'7 Вед.15-16'!Заголовки_для_печати</vt:lpstr>
      <vt:lpstr>'8 МП15'!Заголовки_для_печати</vt:lpstr>
      <vt:lpstr>'9 МП15-16'!Заголовки_для_печати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2015-10-22T09:09:14Z</dcterms:modified>
</cp:coreProperties>
</file>