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1005" windowWidth="14805" windowHeight="7110" firstSheet="1" activeTab="3"/>
  </bookViews>
  <sheets>
    <sheet name=" Дох.15" sheetId="2" state="hidden" r:id="rId1"/>
    <sheet name="1 Вед15" sheetId="15" r:id="rId2"/>
    <sheet name="2 МП15" sheetId="16" r:id="rId3"/>
    <sheet name="3.10.2 Сбал" sheetId="49" r:id="rId4"/>
    <sheet name="4.10.3 Коммун" sheetId="43" r:id="rId5"/>
    <sheet name="5.10.4 В.уч" sheetId="44" r:id="rId6"/>
    <sheet name="11.3 Ком.16-17" sheetId="13" state="hidden" r:id="rId7"/>
    <sheet name="11.5 Прот.16-17" sheetId="8" state="hidden" r:id="rId8"/>
    <sheet name="6.10.8.Жил" sheetId="50" r:id="rId9"/>
    <sheet name="7.12 Ист.15" sheetId="25" r:id="rId10"/>
  </sheets>
  <externalReferences>
    <externalReference r:id="rId11"/>
    <externalReference r:id="rId12"/>
  </externalReferences>
  <definedNames>
    <definedName name="_xlnm.Print_Titles" localSheetId="0">' Дох.15'!$7:$7</definedName>
    <definedName name="_xlnm.Print_Titles" localSheetId="1">'1 Вед15'!$7:$7</definedName>
    <definedName name="_xlnm.Print_Titles" localSheetId="2">'2 МП15'!$7:$7</definedName>
  </definedNames>
  <calcPr calcId="145621"/>
</workbook>
</file>

<file path=xl/calcChain.xml><?xml version="1.0" encoding="utf-8"?>
<calcChain xmlns="http://schemas.openxmlformats.org/spreadsheetml/2006/main">
  <c r="M16" i="25" l="1"/>
  <c r="W256" i="16" l="1"/>
  <c r="T254" i="16"/>
  <c r="U254" i="16"/>
  <c r="V254" i="16"/>
  <c r="W258" i="16" l="1"/>
  <c r="N258" i="16"/>
  <c r="K258" i="16"/>
  <c r="W354" i="16"/>
  <c r="W353" i="16" s="1"/>
  <c r="W352" i="16" s="1"/>
  <c r="R354" i="16"/>
  <c r="R353" i="16" s="1"/>
  <c r="R352" i="16" s="1"/>
  <c r="P354" i="16"/>
  <c r="P353" i="16" s="1"/>
  <c r="P352" i="16" s="1"/>
  <c r="N354" i="16"/>
  <c r="L354" i="16"/>
  <c r="L353" i="16" s="1"/>
  <c r="L352" i="16" s="1"/>
  <c r="K354" i="16"/>
  <c r="K353" i="16" s="1"/>
  <c r="K352" i="16" s="1"/>
  <c r="N353" i="16"/>
  <c r="N352" i="16" s="1"/>
  <c r="W350" i="16"/>
  <c r="R351" i="16"/>
  <c r="R350" i="16" s="1"/>
  <c r="P351" i="16"/>
  <c r="P350" i="16" s="1"/>
  <c r="N351" i="16"/>
  <c r="L351" i="16"/>
  <c r="K351" i="16"/>
  <c r="N350" i="16"/>
  <c r="K350" i="16"/>
  <c r="R349" i="16"/>
  <c r="R348" i="16" s="1"/>
  <c r="P349" i="16"/>
  <c r="P348" i="16" s="1"/>
  <c r="N349" i="16"/>
  <c r="N348" i="16" s="1"/>
  <c r="N347" i="16" s="1"/>
  <c r="N346" i="16" s="1"/>
  <c r="L349" i="16"/>
  <c r="L348" i="16" s="1"/>
  <c r="K349" i="16"/>
  <c r="W348" i="16"/>
  <c r="W345" i="16"/>
  <c r="W344" i="16" s="1"/>
  <c r="R345" i="16"/>
  <c r="R344" i="16" s="1"/>
  <c r="P345" i="16"/>
  <c r="N345" i="16"/>
  <c r="N344" i="16" s="1"/>
  <c r="L345" i="16"/>
  <c r="L344" i="16" s="1"/>
  <c r="K345" i="16"/>
  <c r="P344" i="16"/>
  <c r="W343" i="16"/>
  <c r="W342" i="16" s="1"/>
  <c r="R343" i="16"/>
  <c r="R342" i="16" s="1"/>
  <c r="P343" i="16"/>
  <c r="P342" i="16" s="1"/>
  <c r="N343" i="16"/>
  <c r="L343" i="16"/>
  <c r="L342" i="16" s="1"/>
  <c r="K343" i="16"/>
  <c r="K342" i="16" s="1"/>
  <c r="N342" i="16"/>
  <c r="R341" i="16"/>
  <c r="R340" i="16" s="1"/>
  <c r="P341" i="16"/>
  <c r="P340" i="16" s="1"/>
  <c r="N341" i="16"/>
  <c r="N340" i="16" s="1"/>
  <c r="L341" i="16"/>
  <c r="K341" i="16"/>
  <c r="W340" i="16"/>
  <c r="L340" i="16"/>
  <c r="K340" i="16"/>
  <c r="R338" i="16"/>
  <c r="R337" i="16" s="1"/>
  <c r="R336" i="16" s="1"/>
  <c r="P338" i="16"/>
  <c r="P337" i="16" s="1"/>
  <c r="P336" i="16" s="1"/>
  <c r="N338" i="16"/>
  <c r="N337" i="16" s="1"/>
  <c r="N336" i="16" s="1"/>
  <c r="L338" i="16"/>
  <c r="L337" i="16" s="1"/>
  <c r="L336" i="16" s="1"/>
  <c r="K338" i="16"/>
  <c r="K337" i="16" s="1"/>
  <c r="K336" i="16" s="1"/>
  <c r="W337" i="16"/>
  <c r="W336" i="16" s="1"/>
  <c r="W334" i="16"/>
  <c r="W333" i="16" s="1"/>
  <c r="W332" i="16" s="1"/>
  <c r="W331" i="16" s="1"/>
  <c r="R334" i="16"/>
  <c r="R333" i="16" s="1"/>
  <c r="R332" i="16" s="1"/>
  <c r="R331" i="16" s="1"/>
  <c r="P334" i="16"/>
  <c r="N334" i="16"/>
  <c r="L334" i="16"/>
  <c r="L333" i="16" s="1"/>
  <c r="L332" i="16" s="1"/>
  <c r="L331" i="16" s="1"/>
  <c r="K334" i="16"/>
  <c r="K333" i="16" s="1"/>
  <c r="P333" i="16"/>
  <c r="P332" i="16" s="1"/>
  <c r="P331" i="16" s="1"/>
  <c r="N333" i="16"/>
  <c r="N332" i="16" s="1"/>
  <c r="N331" i="16" s="1"/>
  <c r="R330" i="16"/>
  <c r="R329" i="16" s="1"/>
  <c r="P330" i="16"/>
  <c r="P329" i="16" s="1"/>
  <c r="N330" i="16"/>
  <c r="L330" i="16"/>
  <c r="L329" i="16" s="1"/>
  <c r="L326" i="16" s="1"/>
  <c r="L322" i="16" s="1"/>
  <c r="K330" i="16"/>
  <c r="K329" i="16" s="1"/>
  <c r="K326" i="16" s="1"/>
  <c r="K322" i="16" s="1"/>
  <c r="W329" i="16"/>
  <c r="N329" i="16"/>
  <c r="N326" i="16" s="1"/>
  <c r="N322" i="16" s="1"/>
  <c r="R328" i="16"/>
  <c r="P328" i="16"/>
  <c r="Q328" i="16" s="1"/>
  <c r="S328" i="16" s="1"/>
  <c r="W327" i="16"/>
  <c r="R327" i="16"/>
  <c r="O327" i="16"/>
  <c r="W325" i="16"/>
  <c r="W324" i="16" s="1"/>
  <c r="W323" i="16" s="1"/>
  <c r="R325" i="16"/>
  <c r="R324" i="16" s="1"/>
  <c r="R323" i="16" s="1"/>
  <c r="P325" i="16"/>
  <c r="Q325" i="16" s="1"/>
  <c r="O324" i="16"/>
  <c r="O323" i="16" s="1"/>
  <c r="W320" i="16"/>
  <c r="W319" i="16" s="1"/>
  <c r="W318" i="16" s="1"/>
  <c r="R320" i="16"/>
  <c r="R319" i="16" s="1"/>
  <c r="R318" i="16" s="1"/>
  <c r="Q320" i="16"/>
  <c r="R317" i="16"/>
  <c r="R316" i="16" s="1"/>
  <c r="R315" i="16" s="1"/>
  <c r="P317" i="16"/>
  <c r="N317" i="16"/>
  <c r="N316" i="16" s="1"/>
  <c r="N315" i="16" s="1"/>
  <c r="M317" i="16"/>
  <c r="W316" i="16"/>
  <c r="W315" i="16" s="1"/>
  <c r="P316" i="16"/>
  <c r="M316" i="16"/>
  <c r="L316" i="16"/>
  <c r="L315" i="16" s="1"/>
  <c r="K316" i="16"/>
  <c r="K315" i="16" s="1"/>
  <c r="P315" i="16"/>
  <c r="M315" i="16"/>
  <c r="R314" i="16"/>
  <c r="R313" i="16" s="1"/>
  <c r="R312" i="16" s="1"/>
  <c r="P314" i="16"/>
  <c r="P313" i="16" s="1"/>
  <c r="P312" i="16" s="1"/>
  <c r="N314" i="16"/>
  <c r="N313" i="16" s="1"/>
  <c r="N312" i="16" s="1"/>
  <c r="L314" i="16"/>
  <c r="K314" i="16"/>
  <c r="W313" i="16"/>
  <c r="W312" i="16" s="1"/>
  <c r="L313" i="16"/>
  <c r="L312" i="16" s="1"/>
  <c r="W311" i="16"/>
  <c r="W310" i="16" s="1"/>
  <c r="W309" i="16" s="1"/>
  <c r="R311" i="16"/>
  <c r="P311" i="16"/>
  <c r="N311" i="16"/>
  <c r="N310" i="16" s="1"/>
  <c r="N309" i="16" s="1"/>
  <c r="M311" i="16"/>
  <c r="R310" i="16"/>
  <c r="R309" i="16" s="1"/>
  <c r="P310" i="16"/>
  <c r="P309" i="16" s="1"/>
  <c r="M310" i="16"/>
  <c r="M309" i="16" s="1"/>
  <c r="W308" i="16"/>
  <c r="W307" i="16" s="1"/>
  <c r="W306" i="16" s="1"/>
  <c r="W305" i="16" s="1"/>
  <c r="R308" i="16"/>
  <c r="R307" i="16" s="1"/>
  <c r="R306" i="16" s="1"/>
  <c r="R305" i="16" s="1"/>
  <c r="P308" i="16"/>
  <c r="P307" i="16" s="1"/>
  <c r="P306" i="16" s="1"/>
  <c r="P305" i="16" s="1"/>
  <c r="N308" i="16"/>
  <c r="N307" i="16" s="1"/>
  <c r="N306" i="16" s="1"/>
  <c r="N305" i="16" s="1"/>
  <c r="M308" i="16"/>
  <c r="M307" i="16" s="1"/>
  <c r="M306" i="16" s="1"/>
  <c r="M305" i="16" s="1"/>
  <c r="L307" i="16"/>
  <c r="K307" i="16"/>
  <c r="W304" i="16"/>
  <c r="W302" i="16" s="1"/>
  <c r="W301" i="16" s="1"/>
  <c r="W300" i="16" s="1"/>
  <c r="R304" i="16"/>
  <c r="P304" i="16"/>
  <c r="N304" i="16"/>
  <c r="L304" i="16"/>
  <c r="K304" i="16"/>
  <c r="M304" i="16" s="1"/>
  <c r="R303" i="16"/>
  <c r="P303" i="16"/>
  <c r="N303" i="16"/>
  <c r="L303" i="16"/>
  <c r="L302" i="16" s="1"/>
  <c r="L301" i="16" s="1"/>
  <c r="L300" i="16" s="1"/>
  <c r="K303" i="16"/>
  <c r="W299" i="16"/>
  <c r="S299" i="16"/>
  <c r="R299" i="16"/>
  <c r="Q299" i="16"/>
  <c r="P299" i="16"/>
  <c r="O299" i="16"/>
  <c r="N299" i="16"/>
  <c r="M299" i="16"/>
  <c r="L299" i="16"/>
  <c r="K299" i="16"/>
  <c r="K297" i="16" s="1"/>
  <c r="W298" i="16"/>
  <c r="W297" i="16" s="1"/>
  <c r="W296" i="16" s="1"/>
  <c r="W295" i="16" s="1"/>
  <c r="R298" i="16"/>
  <c r="P298" i="16"/>
  <c r="P297" i="16" s="1"/>
  <c r="P296" i="16" s="1"/>
  <c r="P295" i="16" s="1"/>
  <c r="N298" i="16"/>
  <c r="L298" i="16"/>
  <c r="M298" i="16" s="1"/>
  <c r="R294" i="16"/>
  <c r="R293" i="16" s="1"/>
  <c r="R292" i="16" s="1"/>
  <c r="P294" i="16"/>
  <c r="P293" i="16" s="1"/>
  <c r="P292" i="16" s="1"/>
  <c r="N294" i="16"/>
  <c r="N293" i="16" s="1"/>
  <c r="N292" i="16" s="1"/>
  <c r="L294" i="16"/>
  <c r="K294" i="16"/>
  <c r="K293" i="16" s="1"/>
  <c r="K292" i="16" s="1"/>
  <c r="W293" i="16"/>
  <c r="W292" i="16"/>
  <c r="W291" i="16"/>
  <c r="W290" i="16" s="1"/>
  <c r="W289" i="16" s="1"/>
  <c r="R291" i="16"/>
  <c r="R290" i="16" s="1"/>
  <c r="R289" i="16" s="1"/>
  <c r="P291" i="16"/>
  <c r="P290" i="16" s="1"/>
  <c r="P289" i="16" s="1"/>
  <c r="N291" i="16"/>
  <c r="N290" i="16" s="1"/>
  <c r="N289" i="16" s="1"/>
  <c r="L291" i="16"/>
  <c r="L290" i="16" s="1"/>
  <c r="L289" i="16" s="1"/>
  <c r="K291" i="16"/>
  <c r="K290" i="16" s="1"/>
  <c r="K289" i="16" s="1"/>
  <c r="W286" i="16"/>
  <c r="K288" i="16"/>
  <c r="M288" i="16" s="1"/>
  <c r="O288" i="16" s="1"/>
  <c r="Q288" i="16" s="1"/>
  <c r="S288" i="16" s="1"/>
  <c r="X288" i="16" s="1"/>
  <c r="R287" i="16"/>
  <c r="R286" i="16" s="1"/>
  <c r="P287" i="16"/>
  <c r="N287" i="16"/>
  <c r="N286" i="16" s="1"/>
  <c r="L287" i="16"/>
  <c r="L286" i="16" s="1"/>
  <c r="K287" i="16"/>
  <c r="P286" i="16"/>
  <c r="R285" i="16"/>
  <c r="R284" i="16" s="1"/>
  <c r="P285" i="16"/>
  <c r="P284" i="16" s="1"/>
  <c r="N285" i="16"/>
  <c r="N284" i="16" s="1"/>
  <c r="L285" i="16"/>
  <c r="L284" i="16" s="1"/>
  <c r="K285" i="16"/>
  <c r="K284" i="16" s="1"/>
  <c r="W284" i="16"/>
  <c r="R283" i="16"/>
  <c r="R282" i="16" s="1"/>
  <c r="P283" i="16"/>
  <c r="P282" i="16" s="1"/>
  <c r="N283" i="16"/>
  <c r="L283" i="16"/>
  <c r="K283" i="16"/>
  <c r="K282" i="16" s="1"/>
  <c r="W282" i="16"/>
  <c r="N282" i="16"/>
  <c r="L282" i="16"/>
  <c r="V281" i="16"/>
  <c r="U281" i="16"/>
  <c r="T281" i="16"/>
  <c r="W277" i="16"/>
  <c r="W276" i="16" s="1"/>
  <c r="X276" i="16" s="1"/>
  <c r="X277" i="16"/>
  <c r="S275" i="16"/>
  <c r="S274" i="16" s="1"/>
  <c r="S273" i="16" s="1"/>
  <c r="W274" i="16"/>
  <c r="W272" i="16"/>
  <c r="W271" i="16" s="1"/>
  <c r="W270" i="16" s="1"/>
  <c r="R272" i="16"/>
  <c r="R271" i="16" s="1"/>
  <c r="R270" i="16" s="1"/>
  <c r="P272" i="16"/>
  <c r="P271" i="16" s="1"/>
  <c r="P270" i="16" s="1"/>
  <c r="N272" i="16"/>
  <c r="N271" i="16" s="1"/>
  <c r="N270" i="16" s="1"/>
  <c r="L272" i="16"/>
  <c r="L271" i="16" s="1"/>
  <c r="L270" i="16" s="1"/>
  <c r="K272" i="16"/>
  <c r="W269" i="16"/>
  <c r="W268" i="16" s="1"/>
  <c r="W267" i="16" s="1"/>
  <c r="R269" i="16"/>
  <c r="R268" i="16" s="1"/>
  <c r="R267" i="16" s="1"/>
  <c r="P269" i="16"/>
  <c r="P268" i="16" s="1"/>
  <c r="P267" i="16" s="1"/>
  <c r="N269" i="16"/>
  <c r="L269" i="16"/>
  <c r="M269" i="16" s="1"/>
  <c r="K269" i="16"/>
  <c r="N268" i="16"/>
  <c r="N267" i="16" s="1"/>
  <c r="K268" i="16"/>
  <c r="K267" i="16" s="1"/>
  <c r="W265" i="16"/>
  <c r="R266" i="16"/>
  <c r="R265" i="16" s="1"/>
  <c r="R264" i="16" s="1"/>
  <c r="P266" i="16"/>
  <c r="P265" i="16" s="1"/>
  <c r="P264" i="16" s="1"/>
  <c r="N266" i="16"/>
  <c r="N265" i="16" s="1"/>
  <c r="N264" i="16" s="1"/>
  <c r="L266" i="16"/>
  <c r="L265" i="16" s="1"/>
  <c r="K266" i="16"/>
  <c r="W264" i="16"/>
  <c r="L264" i="16"/>
  <c r="W262" i="16"/>
  <c r="W261" i="16" s="1"/>
  <c r="R263" i="16"/>
  <c r="R262" i="16" s="1"/>
  <c r="R261" i="16" s="1"/>
  <c r="P263" i="16"/>
  <c r="N263" i="16"/>
  <c r="N262" i="16" s="1"/>
  <c r="N261" i="16" s="1"/>
  <c r="L263" i="16"/>
  <c r="K263" i="16"/>
  <c r="P262" i="16"/>
  <c r="P261" i="16" s="1"/>
  <c r="L262" i="16"/>
  <c r="L261" i="16" s="1"/>
  <c r="R260" i="16"/>
  <c r="R259" i="16" s="1"/>
  <c r="P260" i="16"/>
  <c r="P259" i="16" s="1"/>
  <c r="N260" i="16"/>
  <c r="N259" i="16" s="1"/>
  <c r="L260" i="16"/>
  <c r="M260" i="16" s="1"/>
  <c r="K260" i="16"/>
  <c r="K259" i="16" s="1"/>
  <c r="W259" i="16"/>
  <c r="W257" i="16"/>
  <c r="R258" i="16"/>
  <c r="P258" i="16"/>
  <c r="P257" i="16" s="1"/>
  <c r="L258" i="16"/>
  <c r="L257" i="16" s="1"/>
  <c r="R257" i="16"/>
  <c r="N257" i="16"/>
  <c r="K257" i="16"/>
  <c r="W255" i="16"/>
  <c r="R256" i="16"/>
  <c r="R255" i="16" s="1"/>
  <c r="R254" i="16" s="1"/>
  <c r="P256" i="16"/>
  <c r="P255" i="16" s="1"/>
  <c r="N256" i="16"/>
  <c r="N255" i="16" s="1"/>
  <c r="L256" i="16"/>
  <c r="L255" i="16" s="1"/>
  <c r="K256" i="16"/>
  <c r="M256" i="16" s="1"/>
  <c r="M255" i="16" s="1"/>
  <c r="W253" i="16"/>
  <c r="W252" i="16" s="1"/>
  <c r="W251" i="16" s="1"/>
  <c r="R253" i="16"/>
  <c r="R252" i="16" s="1"/>
  <c r="R251" i="16" s="1"/>
  <c r="P253" i="16"/>
  <c r="P252" i="16" s="1"/>
  <c r="P251" i="16" s="1"/>
  <c r="N253" i="16"/>
  <c r="N252" i="16" s="1"/>
  <c r="N251" i="16" s="1"/>
  <c r="L253" i="16"/>
  <c r="L252" i="16" s="1"/>
  <c r="L251" i="16" s="1"/>
  <c r="K253" i="16"/>
  <c r="K252" i="16"/>
  <c r="K251" i="16" s="1"/>
  <c r="W250" i="16"/>
  <c r="W249" i="16" s="1"/>
  <c r="W248" i="16" s="1"/>
  <c r="R250" i="16"/>
  <c r="R249" i="16" s="1"/>
  <c r="R248" i="16" s="1"/>
  <c r="P250" i="16"/>
  <c r="Q250" i="16" s="1"/>
  <c r="O249" i="16"/>
  <c r="O248" i="16" s="1"/>
  <c r="W246" i="16"/>
  <c r="W245" i="16" s="1"/>
  <c r="R247" i="16"/>
  <c r="R246" i="16" s="1"/>
  <c r="P247" i="16"/>
  <c r="N247" i="16"/>
  <c r="N246" i="16" s="1"/>
  <c r="N245" i="16" s="1"/>
  <c r="L247" i="16"/>
  <c r="L246" i="16" s="1"/>
  <c r="L245" i="16" s="1"/>
  <c r="K247" i="16"/>
  <c r="K246" i="16" s="1"/>
  <c r="K245" i="16" s="1"/>
  <c r="P246" i="16"/>
  <c r="R245" i="16"/>
  <c r="P245" i="16"/>
  <c r="R244" i="16"/>
  <c r="R243" i="16" s="1"/>
  <c r="P244" i="16"/>
  <c r="P243" i="16" s="1"/>
  <c r="N244" i="16"/>
  <c r="N243" i="16" s="1"/>
  <c r="L244" i="16"/>
  <c r="K244" i="16"/>
  <c r="K243" i="16" s="1"/>
  <c r="W243" i="16"/>
  <c r="L243" i="16"/>
  <c r="R242" i="16"/>
  <c r="R241" i="16" s="1"/>
  <c r="P242" i="16"/>
  <c r="P241" i="16" s="1"/>
  <c r="N242" i="16"/>
  <c r="L242" i="16"/>
  <c r="L241" i="16" s="1"/>
  <c r="K242" i="16"/>
  <c r="W241" i="16"/>
  <c r="N241" i="16"/>
  <c r="W239" i="16"/>
  <c r="W238" i="16" s="1"/>
  <c r="W237" i="16" s="1"/>
  <c r="R239" i="16"/>
  <c r="P239" i="16"/>
  <c r="P238" i="16" s="1"/>
  <c r="P237" i="16" s="1"/>
  <c r="N239" i="16"/>
  <c r="N238" i="16" s="1"/>
  <c r="N237" i="16" s="1"/>
  <c r="L239" i="16"/>
  <c r="M239" i="16" s="1"/>
  <c r="R238" i="16"/>
  <c r="R237" i="16" s="1"/>
  <c r="K238" i="16"/>
  <c r="K237" i="16" s="1"/>
  <c r="W236" i="16"/>
  <c r="W235" i="16" s="1"/>
  <c r="W234" i="16" s="1"/>
  <c r="R236" i="16"/>
  <c r="R235" i="16" s="1"/>
  <c r="R234" i="16" s="1"/>
  <c r="P236" i="16"/>
  <c r="N236" i="16"/>
  <c r="N235" i="16" s="1"/>
  <c r="N234" i="16" s="1"/>
  <c r="L236" i="16"/>
  <c r="K236" i="16"/>
  <c r="K235" i="16" s="1"/>
  <c r="K234" i="16" s="1"/>
  <c r="P235" i="16"/>
  <c r="P234" i="16"/>
  <c r="W233" i="16"/>
  <c r="W232" i="16" s="1"/>
  <c r="W231" i="16" s="1"/>
  <c r="R233" i="16"/>
  <c r="R232" i="16" s="1"/>
  <c r="R231" i="16" s="1"/>
  <c r="P233" i="16"/>
  <c r="N233" i="16"/>
  <c r="N232" i="16" s="1"/>
  <c r="N231" i="16" s="1"/>
  <c r="L233" i="16"/>
  <c r="K233" i="16"/>
  <c r="K232" i="16" s="1"/>
  <c r="P232" i="16"/>
  <c r="P231" i="16" s="1"/>
  <c r="L232" i="16"/>
  <c r="L231" i="16" s="1"/>
  <c r="K231" i="16"/>
  <c r="X230" i="16"/>
  <c r="W229" i="16"/>
  <c r="S229" i="16"/>
  <c r="V228" i="16"/>
  <c r="U228" i="16"/>
  <c r="T228" i="16"/>
  <c r="S228" i="16"/>
  <c r="R227" i="16"/>
  <c r="R226" i="16" s="1"/>
  <c r="P227" i="16"/>
  <c r="P226" i="16" s="1"/>
  <c r="N227" i="16"/>
  <c r="N226" i="16" s="1"/>
  <c r="L227" i="16"/>
  <c r="M227" i="16" s="1"/>
  <c r="K227" i="16"/>
  <c r="K226" i="16" s="1"/>
  <c r="W226" i="16"/>
  <c r="W224" i="16"/>
  <c r="R225" i="16"/>
  <c r="R224" i="16" s="1"/>
  <c r="P225" i="16"/>
  <c r="N225" i="16"/>
  <c r="L225" i="16"/>
  <c r="L224" i="16" s="1"/>
  <c r="K225" i="16"/>
  <c r="P224" i="16"/>
  <c r="N224" i="16"/>
  <c r="K224" i="16"/>
  <c r="K223" i="16" s="1"/>
  <c r="W222" i="16"/>
  <c r="W220" i="16" s="1"/>
  <c r="R222" i="16"/>
  <c r="S222" i="16" s="1"/>
  <c r="R221" i="16"/>
  <c r="P221" i="16"/>
  <c r="P220" i="16" s="1"/>
  <c r="N221" i="16"/>
  <c r="N220" i="16" s="1"/>
  <c r="L221" i="16"/>
  <c r="L220" i="16" s="1"/>
  <c r="K221" i="16"/>
  <c r="K220" i="16" s="1"/>
  <c r="W219" i="16"/>
  <c r="W218" i="16" s="1"/>
  <c r="R219" i="16"/>
  <c r="R218" i="16" s="1"/>
  <c r="P219" i="16"/>
  <c r="P218" i="16" s="1"/>
  <c r="N219" i="16"/>
  <c r="L219" i="16"/>
  <c r="L218" i="16" s="1"/>
  <c r="K219" i="16"/>
  <c r="K218" i="16" s="1"/>
  <c r="N218" i="16"/>
  <c r="R217" i="16"/>
  <c r="R216" i="16" s="1"/>
  <c r="P217" i="16"/>
  <c r="P216" i="16" s="1"/>
  <c r="N217" i="16"/>
  <c r="N216" i="16" s="1"/>
  <c r="L217" i="16"/>
  <c r="M217" i="16" s="1"/>
  <c r="K217" i="16"/>
  <c r="W216" i="16"/>
  <c r="K216" i="16"/>
  <c r="R215" i="16"/>
  <c r="R214" i="16" s="1"/>
  <c r="P215" i="16"/>
  <c r="P214" i="16" s="1"/>
  <c r="N215" i="16"/>
  <c r="N214" i="16" s="1"/>
  <c r="L215" i="16"/>
  <c r="K215" i="16"/>
  <c r="K214" i="16" s="1"/>
  <c r="W214" i="16"/>
  <c r="L214" i="16"/>
  <c r="W211" i="16"/>
  <c r="W210" i="16" s="1"/>
  <c r="R212" i="16"/>
  <c r="R211" i="16" s="1"/>
  <c r="R210" i="16" s="1"/>
  <c r="P212" i="16"/>
  <c r="P211" i="16" s="1"/>
  <c r="P210" i="16" s="1"/>
  <c r="N212" i="16"/>
  <c r="N211" i="16" s="1"/>
  <c r="N210" i="16" s="1"/>
  <c r="L212" i="16"/>
  <c r="L211" i="16" s="1"/>
  <c r="L210" i="16" s="1"/>
  <c r="K212" i="16"/>
  <c r="K211" i="16" s="1"/>
  <c r="K210" i="16" s="1"/>
  <c r="W208" i="16"/>
  <c r="W207" i="16" s="1"/>
  <c r="R209" i="16"/>
  <c r="R208" i="16" s="1"/>
  <c r="R207" i="16" s="1"/>
  <c r="P209" i="16"/>
  <c r="P208" i="16" s="1"/>
  <c r="P207" i="16" s="1"/>
  <c r="N209" i="16"/>
  <c r="L209" i="16"/>
  <c r="L208" i="16" s="1"/>
  <c r="L207" i="16" s="1"/>
  <c r="K209" i="16"/>
  <c r="N208" i="16"/>
  <c r="N207" i="16" s="1"/>
  <c r="W205" i="16"/>
  <c r="W204" i="16" s="1"/>
  <c r="R206" i="16"/>
  <c r="R205" i="16" s="1"/>
  <c r="R204" i="16" s="1"/>
  <c r="P206" i="16"/>
  <c r="P205" i="16" s="1"/>
  <c r="P204" i="16" s="1"/>
  <c r="N206" i="16"/>
  <c r="N205" i="16" s="1"/>
  <c r="N204" i="16" s="1"/>
  <c r="L206" i="16"/>
  <c r="K206" i="16"/>
  <c r="K205" i="16" s="1"/>
  <c r="K204" i="16" s="1"/>
  <c r="R203" i="16"/>
  <c r="R202" i="16" s="1"/>
  <c r="R201" i="16" s="1"/>
  <c r="P203" i="16"/>
  <c r="P202" i="16" s="1"/>
  <c r="P201" i="16" s="1"/>
  <c r="N203" i="16"/>
  <c r="N202" i="16" s="1"/>
  <c r="N201" i="16" s="1"/>
  <c r="L203" i="16"/>
  <c r="K203" i="16"/>
  <c r="K202" i="16" s="1"/>
  <c r="K201" i="16" s="1"/>
  <c r="W202" i="16"/>
  <c r="W201" i="16" s="1"/>
  <c r="L202" i="16"/>
  <c r="L201" i="16" s="1"/>
  <c r="V200" i="16"/>
  <c r="U200" i="16"/>
  <c r="T200" i="16"/>
  <c r="S197" i="16"/>
  <c r="S196" i="16" s="1"/>
  <c r="W195" i="16"/>
  <c r="W194" i="16" s="1"/>
  <c r="W193" i="16" s="1"/>
  <c r="R195" i="16"/>
  <c r="R194" i="16" s="1"/>
  <c r="R193" i="16" s="1"/>
  <c r="R189" i="16" s="1"/>
  <c r="R188" i="16" s="1"/>
  <c r="P195" i="16"/>
  <c r="P194" i="16" s="1"/>
  <c r="P193" i="16" s="1"/>
  <c r="P189" i="16" s="1"/>
  <c r="P188" i="16" s="1"/>
  <c r="N195" i="16"/>
  <c r="N194" i="16" s="1"/>
  <c r="N193" i="16" s="1"/>
  <c r="N189" i="16" s="1"/>
  <c r="N188" i="16" s="1"/>
  <c r="L195" i="16"/>
  <c r="L194" i="16" s="1"/>
  <c r="L193" i="16" s="1"/>
  <c r="K195" i="16"/>
  <c r="W191" i="16"/>
  <c r="W190" i="16" s="1"/>
  <c r="S191" i="16"/>
  <c r="V189" i="16"/>
  <c r="U189" i="16"/>
  <c r="T189" i="16"/>
  <c r="L189" i="16"/>
  <c r="L188" i="16" s="1"/>
  <c r="R187" i="16"/>
  <c r="R186" i="16" s="1"/>
  <c r="R185" i="16" s="1"/>
  <c r="P187" i="16"/>
  <c r="N187" i="16"/>
  <c r="N186" i="16" s="1"/>
  <c r="N185" i="16" s="1"/>
  <c r="N181" i="16" s="1"/>
  <c r="N180" i="16" s="1"/>
  <c r="L187" i="16"/>
  <c r="M187" i="16" s="1"/>
  <c r="K187" i="16"/>
  <c r="K186" i="16" s="1"/>
  <c r="W186" i="16"/>
  <c r="W185" i="16" s="1"/>
  <c r="P186" i="16"/>
  <c r="P185" i="16" s="1"/>
  <c r="P181" i="16" s="1"/>
  <c r="P180" i="16" s="1"/>
  <c r="L186" i="16"/>
  <c r="L185" i="16" s="1"/>
  <c r="L181" i="16" s="1"/>
  <c r="L180" i="16" s="1"/>
  <c r="K185" i="16"/>
  <c r="K181" i="16" s="1"/>
  <c r="K180" i="16" s="1"/>
  <c r="R184" i="16"/>
  <c r="R183" i="16" s="1"/>
  <c r="Q184" i="16"/>
  <c r="W183" i="16"/>
  <c r="W182" i="16" s="1"/>
  <c r="Q183" i="16"/>
  <c r="Q182" i="16" s="1"/>
  <c r="R182" i="16"/>
  <c r="W179" i="16"/>
  <c r="W178" i="16" s="1"/>
  <c r="W177" i="16" s="1"/>
  <c r="R179" i="16"/>
  <c r="P179" i="16"/>
  <c r="P178" i="16" s="1"/>
  <c r="P177" i="16" s="1"/>
  <c r="N179" i="16"/>
  <c r="N178" i="16" s="1"/>
  <c r="N177" i="16" s="1"/>
  <c r="L179" i="16"/>
  <c r="M179" i="16" s="1"/>
  <c r="K179" i="16"/>
  <c r="R178" i="16"/>
  <c r="L178" i="16"/>
  <c r="L177" i="16" s="1"/>
  <c r="K178" i="16"/>
  <c r="R177" i="16"/>
  <c r="K177" i="16"/>
  <c r="R176" i="16"/>
  <c r="R175" i="16" s="1"/>
  <c r="P176" i="16"/>
  <c r="P175" i="16" s="1"/>
  <c r="N176" i="16"/>
  <c r="N175" i="16" s="1"/>
  <c r="L176" i="16"/>
  <c r="K176" i="16"/>
  <c r="W175" i="16"/>
  <c r="L175" i="16"/>
  <c r="L172" i="16" s="1"/>
  <c r="K175" i="16"/>
  <c r="W174" i="16"/>
  <c r="W173" i="16" s="1"/>
  <c r="R174" i="16"/>
  <c r="P174" i="16"/>
  <c r="P173" i="16" s="1"/>
  <c r="N174" i="16"/>
  <c r="N173" i="16" s="1"/>
  <c r="L174" i="16"/>
  <c r="L173" i="16" s="1"/>
  <c r="K174" i="16"/>
  <c r="R173" i="16"/>
  <c r="W171" i="16"/>
  <c r="W170" i="16" s="1"/>
  <c r="W169" i="16" s="1"/>
  <c r="R171" i="16"/>
  <c r="R170" i="16" s="1"/>
  <c r="P171" i="16"/>
  <c r="P170" i="16" s="1"/>
  <c r="P169" i="16" s="1"/>
  <c r="N171" i="16"/>
  <c r="N170" i="16" s="1"/>
  <c r="N169" i="16" s="1"/>
  <c r="L171" i="16"/>
  <c r="L170" i="16" s="1"/>
  <c r="L169" i="16" s="1"/>
  <c r="K171" i="16"/>
  <c r="R169" i="16"/>
  <c r="W166" i="16"/>
  <c r="W165" i="16" s="1"/>
  <c r="W164" i="16" s="1"/>
  <c r="R166" i="16"/>
  <c r="P166" i="16"/>
  <c r="P165" i="16" s="1"/>
  <c r="P164" i="16" s="1"/>
  <c r="N166" i="16"/>
  <c r="L166" i="16"/>
  <c r="L165" i="16" s="1"/>
  <c r="L164" i="16" s="1"/>
  <c r="K166" i="16"/>
  <c r="R165" i="16"/>
  <c r="R164" i="16" s="1"/>
  <c r="N165" i="16"/>
  <c r="N164" i="16" s="1"/>
  <c r="W163" i="16"/>
  <c r="W162" i="16" s="1"/>
  <c r="W161" i="16" s="1"/>
  <c r="R163" i="16"/>
  <c r="P163" i="16"/>
  <c r="P162" i="16" s="1"/>
  <c r="P161" i="16" s="1"/>
  <c r="N163" i="16"/>
  <c r="L163" i="16"/>
  <c r="K163" i="16"/>
  <c r="R162" i="16"/>
  <c r="R161" i="16" s="1"/>
  <c r="N162" i="16"/>
  <c r="N161" i="16" s="1"/>
  <c r="L162" i="16"/>
  <c r="L161" i="16" s="1"/>
  <c r="W158" i="16"/>
  <c r="W157" i="16" s="1"/>
  <c r="W156" i="16" s="1"/>
  <c r="W155" i="16" s="1"/>
  <c r="W154" i="16" s="1"/>
  <c r="R158" i="16"/>
  <c r="R157" i="16" s="1"/>
  <c r="R156" i="16" s="1"/>
  <c r="R155" i="16" s="1"/>
  <c r="R154" i="16" s="1"/>
  <c r="P158" i="16"/>
  <c r="P157" i="16" s="1"/>
  <c r="P156" i="16" s="1"/>
  <c r="P155" i="16" s="1"/>
  <c r="P154" i="16" s="1"/>
  <c r="N158" i="16"/>
  <c r="L158" i="16"/>
  <c r="L157" i="16" s="1"/>
  <c r="L156" i="16" s="1"/>
  <c r="L155" i="16" s="1"/>
  <c r="L154" i="16" s="1"/>
  <c r="K158" i="16"/>
  <c r="N157" i="16"/>
  <c r="N156" i="16" s="1"/>
  <c r="N155" i="16" s="1"/>
  <c r="N154" i="16" s="1"/>
  <c r="W153" i="16"/>
  <c r="W152" i="16" s="1"/>
  <c r="W151" i="16" s="1"/>
  <c r="R153" i="16"/>
  <c r="Q153" i="16"/>
  <c r="R152" i="16"/>
  <c r="R151" i="16" s="1"/>
  <c r="Q152" i="16"/>
  <c r="Q151" i="16"/>
  <c r="W150" i="16"/>
  <c r="W149" i="16" s="1"/>
  <c r="W148" i="16" s="1"/>
  <c r="R150" i="16"/>
  <c r="P150" i="16"/>
  <c r="P149" i="16" s="1"/>
  <c r="P148" i="16" s="1"/>
  <c r="N150" i="16"/>
  <c r="N149" i="16" s="1"/>
  <c r="N148" i="16" s="1"/>
  <c r="L150" i="16"/>
  <c r="R149" i="16"/>
  <c r="R148" i="16" s="1"/>
  <c r="K149" i="16"/>
  <c r="K148" i="16" s="1"/>
  <c r="W147" i="16"/>
  <c r="W146" i="16" s="1"/>
  <c r="W145" i="16" s="1"/>
  <c r="R147" i="16"/>
  <c r="R146" i="16" s="1"/>
  <c r="R145" i="16" s="1"/>
  <c r="P147" i="16"/>
  <c r="N147" i="16"/>
  <c r="N146" i="16" s="1"/>
  <c r="N145" i="16" s="1"/>
  <c r="L147" i="16"/>
  <c r="L146" i="16" s="1"/>
  <c r="L145" i="16" s="1"/>
  <c r="K147" i="16"/>
  <c r="M147" i="16" s="1"/>
  <c r="O147" i="16" s="1"/>
  <c r="Q147" i="16" s="1"/>
  <c r="P146" i="16"/>
  <c r="P145" i="16" s="1"/>
  <c r="R144" i="16"/>
  <c r="R143" i="16" s="1"/>
  <c r="R142" i="16" s="1"/>
  <c r="P144" i="16"/>
  <c r="P143" i="16" s="1"/>
  <c r="P142" i="16" s="1"/>
  <c r="N144" i="16"/>
  <c r="L144" i="16"/>
  <c r="L143" i="16" s="1"/>
  <c r="L142" i="16" s="1"/>
  <c r="K144" i="16"/>
  <c r="K143" i="16" s="1"/>
  <c r="W143" i="16"/>
  <c r="N143" i="16"/>
  <c r="N142" i="16" s="1"/>
  <c r="W142" i="16"/>
  <c r="K142" i="16"/>
  <c r="W140" i="16"/>
  <c r="W139" i="16" s="1"/>
  <c r="R141" i="16"/>
  <c r="R140" i="16" s="1"/>
  <c r="R139" i="16" s="1"/>
  <c r="P141" i="16"/>
  <c r="P140" i="16" s="1"/>
  <c r="P139" i="16" s="1"/>
  <c r="N141" i="16"/>
  <c r="N140" i="16" s="1"/>
  <c r="N139" i="16" s="1"/>
  <c r="L141" i="16"/>
  <c r="L140" i="16" s="1"/>
  <c r="L139" i="16" s="1"/>
  <c r="K141" i="16"/>
  <c r="K140" i="16" s="1"/>
  <c r="K139" i="16" s="1"/>
  <c r="W138" i="16"/>
  <c r="R138" i="16"/>
  <c r="S138" i="16" s="1"/>
  <c r="X138" i="16" s="1"/>
  <c r="W137" i="16"/>
  <c r="R137" i="16"/>
  <c r="P137" i="16"/>
  <c r="N137" i="16"/>
  <c r="N136" i="16" s="1"/>
  <c r="N135" i="16" s="1"/>
  <c r="L137" i="16"/>
  <c r="L136" i="16" s="1"/>
  <c r="L135" i="16" s="1"/>
  <c r="K137" i="16"/>
  <c r="P136" i="16"/>
  <c r="P135" i="16" s="1"/>
  <c r="K136" i="16"/>
  <c r="K135" i="16" s="1"/>
  <c r="W133" i="16"/>
  <c r="W132" i="16" s="1"/>
  <c r="R134" i="16"/>
  <c r="R133" i="16" s="1"/>
  <c r="R132" i="16" s="1"/>
  <c r="P134" i="16"/>
  <c r="N134" i="16"/>
  <c r="N133" i="16" s="1"/>
  <c r="N132" i="16" s="1"/>
  <c r="L134" i="16"/>
  <c r="K134" i="16"/>
  <c r="K133" i="16" s="1"/>
  <c r="K132" i="16" s="1"/>
  <c r="P133" i="16"/>
  <c r="P132" i="16" s="1"/>
  <c r="L133" i="16"/>
  <c r="L132" i="16" s="1"/>
  <c r="R131" i="16"/>
  <c r="R130" i="16" s="1"/>
  <c r="R129" i="16" s="1"/>
  <c r="P131" i="16"/>
  <c r="N131" i="16"/>
  <c r="N130" i="16" s="1"/>
  <c r="N129" i="16" s="1"/>
  <c r="L131" i="16"/>
  <c r="K131" i="16"/>
  <c r="K130" i="16" s="1"/>
  <c r="K129" i="16" s="1"/>
  <c r="W130" i="16"/>
  <c r="W129" i="16" s="1"/>
  <c r="P130" i="16"/>
  <c r="P129" i="16" s="1"/>
  <c r="L130" i="16"/>
  <c r="L129" i="16"/>
  <c r="W128" i="16"/>
  <c r="W127" i="16" s="1"/>
  <c r="W126" i="16" s="1"/>
  <c r="R128" i="16"/>
  <c r="R127" i="16" s="1"/>
  <c r="R126" i="16" s="1"/>
  <c r="P128" i="16"/>
  <c r="P127" i="16" s="1"/>
  <c r="P126" i="16" s="1"/>
  <c r="N128" i="16"/>
  <c r="L128" i="16"/>
  <c r="L127" i="16" s="1"/>
  <c r="L126" i="16" s="1"/>
  <c r="K128" i="16"/>
  <c r="K127" i="16" s="1"/>
  <c r="K126" i="16" s="1"/>
  <c r="N127" i="16"/>
  <c r="N126" i="16"/>
  <c r="R123" i="16"/>
  <c r="R122" i="16" s="1"/>
  <c r="R121" i="16" s="1"/>
  <c r="P123" i="16"/>
  <c r="P122" i="16" s="1"/>
  <c r="P121" i="16" s="1"/>
  <c r="N123" i="16"/>
  <c r="N122" i="16" s="1"/>
  <c r="N121" i="16" s="1"/>
  <c r="L123" i="16"/>
  <c r="M123" i="16" s="1"/>
  <c r="W122" i="16"/>
  <c r="W121" i="16" s="1"/>
  <c r="K122" i="16"/>
  <c r="K121" i="16" s="1"/>
  <c r="W120" i="16"/>
  <c r="W119" i="16" s="1"/>
  <c r="W118" i="16" s="1"/>
  <c r="R120" i="16"/>
  <c r="R119" i="16" s="1"/>
  <c r="R118" i="16" s="1"/>
  <c r="P120" i="16"/>
  <c r="N120" i="16"/>
  <c r="N119" i="16" s="1"/>
  <c r="N118" i="16" s="1"/>
  <c r="L120" i="16"/>
  <c r="L119" i="16" s="1"/>
  <c r="L118" i="16" s="1"/>
  <c r="K120" i="16"/>
  <c r="K119" i="16" s="1"/>
  <c r="K118" i="16" s="1"/>
  <c r="P119" i="16"/>
  <c r="P118" i="16" s="1"/>
  <c r="P115" i="16"/>
  <c r="P114" i="16" s="1"/>
  <c r="P113" i="16" s="1"/>
  <c r="N115" i="16"/>
  <c r="L115" i="16"/>
  <c r="M115" i="16" s="1"/>
  <c r="W114" i="16"/>
  <c r="R114" i="16"/>
  <c r="R113" i="16" s="1"/>
  <c r="N114" i="16"/>
  <c r="N113" i="16" s="1"/>
  <c r="K114" i="16"/>
  <c r="K113" i="16" s="1"/>
  <c r="W113" i="16"/>
  <c r="W112" i="16"/>
  <c r="W111" i="16" s="1"/>
  <c r="W110" i="16" s="1"/>
  <c r="R112" i="16"/>
  <c r="R111" i="16" s="1"/>
  <c r="R110" i="16" s="1"/>
  <c r="P112" i="16"/>
  <c r="P111" i="16" s="1"/>
  <c r="P110" i="16" s="1"/>
  <c r="N112" i="16"/>
  <c r="N111" i="16" s="1"/>
  <c r="N110" i="16" s="1"/>
  <c r="L112" i="16"/>
  <c r="L111" i="16" s="1"/>
  <c r="L110" i="16" s="1"/>
  <c r="K112" i="16"/>
  <c r="W109" i="16"/>
  <c r="W108" i="16" s="1"/>
  <c r="W107" i="16" s="1"/>
  <c r="R109" i="16"/>
  <c r="R108" i="16" s="1"/>
  <c r="R107" i="16" s="1"/>
  <c r="Q109" i="16"/>
  <c r="Q108" i="16"/>
  <c r="Q107" i="16" s="1"/>
  <c r="W105" i="16"/>
  <c r="W104" i="16" s="1"/>
  <c r="R106" i="16"/>
  <c r="P106" i="16"/>
  <c r="P105" i="16" s="1"/>
  <c r="P104" i="16" s="1"/>
  <c r="N106" i="16"/>
  <c r="L106" i="16"/>
  <c r="L105" i="16" s="1"/>
  <c r="L104" i="16" s="1"/>
  <c r="K106" i="16"/>
  <c r="R105" i="16"/>
  <c r="R104" i="16" s="1"/>
  <c r="N105" i="16"/>
  <c r="N104" i="16" s="1"/>
  <c r="W103" i="16"/>
  <c r="W102" i="16" s="1"/>
  <c r="R103" i="16"/>
  <c r="R102" i="16" s="1"/>
  <c r="P103" i="16"/>
  <c r="P102" i="16" s="1"/>
  <c r="P99" i="16" s="1"/>
  <c r="N103" i="16"/>
  <c r="N102" i="16" s="1"/>
  <c r="N99" i="16" s="1"/>
  <c r="M103" i="16"/>
  <c r="W101" i="16"/>
  <c r="W100" i="16" s="1"/>
  <c r="R101" i="16"/>
  <c r="S101" i="16" s="1"/>
  <c r="Q100" i="16"/>
  <c r="W98" i="16"/>
  <c r="W97" i="16" s="1"/>
  <c r="W96" i="16" s="1"/>
  <c r="R98" i="16"/>
  <c r="R97" i="16" s="1"/>
  <c r="R96" i="16" s="1"/>
  <c r="P98" i="16"/>
  <c r="P97" i="16" s="1"/>
  <c r="P96" i="16" s="1"/>
  <c r="N98" i="16"/>
  <c r="N97" i="16" s="1"/>
  <c r="N96" i="16" s="1"/>
  <c r="L98" i="16"/>
  <c r="K98" i="16"/>
  <c r="K97" i="16"/>
  <c r="R95" i="16"/>
  <c r="R94" i="16" s="1"/>
  <c r="P95" i="16"/>
  <c r="P94" i="16" s="1"/>
  <c r="N95" i="16"/>
  <c r="N94" i="16" s="1"/>
  <c r="L95" i="16"/>
  <c r="L94" i="16" s="1"/>
  <c r="K95" i="16"/>
  <c r="K94" i="16" s="1"/>
  <c r="W94" i="16"/>
  <c r="W92" i="16"/>
  <c r="R93" i="16"/>
  <c r="R92" i="16" s="1"/>
  <c r="P93" i="16"/>
  <c r="P92" i="16" s="1"/>
  <c r="N93" i="16"/>
  <c r="L93" i="16"/>
  <c r="L92" i="16" s="1"/>
  <c r="K93" i="16"/>
  <c r="N92" i="16"/>
  <c r="N91" i="16" s="1"/>
  <c r="W90" i="16"/>
  <c r="W89" i="16" s="1"/>
  <c r="W88" i="16" s="1"/>
  <c r="R90" i="16"/>
  <c r="R89" i="16" s="1"/>
  <c r="R88" i="16" s="1"/>
  <c r="Q90" i="16"/>
  <c r="W86" i="16"/>
  <c r="W85" i="16" s="1"/>
  <c r="R87" i="16"/>
  <c r="R86" i="16" s="1"/>
  <c r="R85" i="16" s="1"/>
  <c r="Q87" i="16"/>
  <c r="W84" i="16"/>
  <c r="W83" i="16" s="1"/>
  <c r="W82" i="16" s="1"/>
  <c r="R84" i="16"/>
  <c r="R83" i="16" s="1"/>
  <c r="R82" i="16" s="1"/>
  <c r="P84" i="16"/>
  <c r="N84" i="16"/>
  <c r="N83" i="16" s="1"/>
  <c r="N82" i="16" s="1"/>
  <c r="L84" i="16"/>
  <c r="M84" i="16" s="1"/>
  <c r="M83" i="16" s="1"/>
  <c r="M82" i="16" s="1"/>
  <c r="P83" i="16"/>
  <c r="P82" i="16" s="1"/>
  <c r="K83" i="16"/>
  <c r="K82" i="16" s="1"/>
  <c r="W81" i="16"/>
  <c r="W79" i="16" s="1"/>
  <c r="R81" i="16"/>
  <c r="P81" i="16"/>
  <c r="P79" i="16" s="1"/>
  <c r="N81" i="16"/>
  <c r="L81" i="16"/>
  <c r="M81" i="16" s="1"/>
  <c r="M79" i="16" s="1"/>
  <c r="W80" i="16"/>
  <c r="P80" i="16"/>
  <c r="K80" i="16"/>
  <c r="L79" i="16"/>
  <c r="K79" i="16"/>
  <c r="W77" i="16"/>
  <c r="R78" i="16"/>
  <c r="R76" i="16" s="1"/>
  <c r="P78" i="16"/>
  <c r="P77" i="16" s="1"/>
  <c r="N78" i="16"/>
  <c r="N76" i="16" s="1"/>
  <c r="L78" i="16"/>
  <c r="L77" i="16" s="1"/>
  <c r="K78" i="16"/>
  <c r="R77" i="16"/>
  <c r="W76" i="16"/>
  <c r="W74" i="16"/>
  <c r="R75" i="16"/>
  <c r="R74" i="16" s="1"/>
  <c r="P75" i="16"/>
  <c r="N75" i="16"/>
  <c r="L75" i="16"/>
  <c r="K75" i="16"/>
  <c r="K74" i="16" s="1"/>
  <c r="P74" i="16"/>
  <c r="N74" i="16"/>
  <c r="L74" i="16"/>
  <c r="W73" i="16"/>
  <c r="W72" i="16" s="1"/>
  <c r="S73" i="16"/>
  <c r="S72" i="16" s="1"/>
  <c r="R73" i="16"/>
  <c r="R72" i="16" s="1"/>
  <c r="Q73" i="16"/>
  <c r="P73" i="16"/>
  <c r="P72" i="16" s="1"/>
  <c r="O73" i="16"/>
  <c r="O72" i="16" s="1"/>
  <c r="N73" i="16"/>
  <c r="N72" i="16" s="1"/>
  <c r="M73" i="16"/>
  <c r="M72" i="16" s="1"/>
  <c r="L73" i="16"/>
  <c r="L72" i="16" s="1"/>
  <c r="K73" i="16"/>
  <c r="K72" i="16" s="1"/>
  <c r="Q72" i="16"/>
  <c r="W70" i="16"/>
  <c r="W69" i="16" s="1"/>
  <c r="W68" i="16" s="1"/>
  <c r="R70" i="16"/>
  <c r="R69" i="16" s="1"/>
  <c r="R68" i="16" s="1"/>
  <c r="P70" i="16"/>
  <c r="P69" i="16" s="1"/>
  <c r="P68" i="16" s="1"/>
  <c r="N70" i="16"/>
  <c r="L70" i="16"/>
  <c r="L69" i="16" s="1"/>
  <c r="L68" i="16" s="1"/>
  <c r="K70" i="16"/>
  <c r="K69" i="16" s="1"/>
  <c r="K68" i="16" s="1"/>
  <c r="N69" i="16"/>
  <c r="N68" i="16" s="1"/>
  <c r="W66" i="16"/>
  <c r="W65" i="16" s="1"/>
  <c r="R67" i="16"/>
  <c r="R66" i="16" s="1"/>
  <c r="R65" i="16" s="1"/>
  <c r="P67" i="16"/>
  <c r="N67" i="16"/>
  <c r="L67" i="16"/>
  <c r="K67" i="16"/>
  <c r="P66" i="16"/>
  <c r="P65" i="16" s="1"/>
  <c r="N66" i="16"/>
  <c r="N65" i="16" s="1"/>
  <c r="L66" i="16"/>
  <c r="L65" i="16" s="1"/>
  <c r="X64" i="16"/>
  <c r="X63" i="16" s="1"/>
  <c r="W63" i="16"/>
  <c r="V63" i="16"/>
  <c r="V58" i="16" s="1"/>
  <c r="U63" i="16"/>
  <c r="T63" i="16"/>
  <c r="T58" i="16" s="1"/>
  <c r="S63" i="16"/>
  <c r="W62" i="16"/>
  <c r="W61" i="16" s="1"/>
  <c r="R62" i="16"/>
  <c r="R61" i="16" s="1"/>
  <c r="P62" i="16"/>
  <c r="P61" i="16" s="1"/>
  <c r="N62" i="16"/>
  <c r="N61" i="16" s="1"/>
  <c r="L62" i="16"/>
  <c r="K62" i="16"/>
  <c r="K61" i="16" s="1"/>
  <c r="W59" i="16"/>
  <c r="R60" i="16"/>
  <c r="R59" i="16" s="1"/>
  <c r="P60" i="16"/>
  <c r="P59" i="16" s="1"/>
  <c r="N60" i="16"/>
  <c r="N59" i="16" s="1"/>
  <c r="L60" i="16"/>
  <c r="L59" i="16" s="1"/>
  <c r="K60" i="16"/>
  <c r="K59" i="16" s="1"/>
  <c r="U58" i="16"/>
  <c r="W56" i="16"/>
  <c r="W55" i="16" s="1"/>
  <c r="S57" i="16"/>
  <c r="X57" i="16" s="1"/>
  <c r="W53" i="16"/>
  <c r="R54" i="16"/>
  <c r="R53" i="16" s="1"/>
  <c r="P54" i="16"/>
  <c r="P53" i="16" s="1"/>
  <c r="N54" i="16"/>
  <c r="N53" i="16" s="1"/>
  <c r="L54" i="16"/>
  <c r="K54" i="16"/>
  <c r="K53" i="16" s="1"/>
  <c r="L53" i="16"/>
  <c r="R52" i="16"/>
  <c r="R51" i="16" s="1"/>
  <c r="P52" i="16"/>
  <c r="N52" i="16"/>
  <c r="L52" i="16"/>
  <c r="L51" i="16" s="1"/>
  <c r="L50" i="16" s="1"/>
  <c r="K52" i="16"/>
  <c r="K51" i="16" s="1"/>
  <c r="W51" i="16"/>
  <c r="P51" i="16"/>
  <c r="N51" i="16"/>
  <c r="W48" i="16"/>
  <c r="R49" i="16"/>
  <c r="P49" i="16"/>
  <c r="P48" i="16" s="1"/>
  <c r="P47" i="16" s="1"/>
  <c r="N49" i="16"/>
  <c r="L49" i="16"/>
  <c r="L48" i="16" s="1"/>
  <c r="L47" i="16" s="1"/>
  <c r="K49" i="16"/>
  <c r="K48" i="16" s="1"/>
  <c r="K47" i="16" s="1"/>
  <c r="R48" i="16"/>
  <c r="R47" i="16" s="1"/>
  <c r="N48" i="16"/>
  <c r="N47" i="16" s="1"/>
  <c r="W47" i="16"/>
  <c r="W45" i="16"/>
  <c r="W44" i="16" s="1"/>
  <c r="R46" i="16"/>
  <c r="R45" i="16" s="1"/>
  <c r="R44" i="16" s="1"/>
  <c r="P46" i="16"/>
  <c r="N46" i="16"/>
  <c r="N45" i="16" s="1"/>
  <c r="N44" i="16" s="1"/>
  <c r="L46" i="16"/>
  <c r="K46" i="16"/>
  <c r="M46" i="16" s="1"/>
  <c r="P45" i="16"/>
  <c r="P44" i="16" s="1"/>
  <c r="L45" i="16"/>
  <c r="L44" i="16" s="1"/>
  <c r="W43" i="16"/>
  <c r="W42" i="16" s="1"/>
  <c r="W41" i="16" s="1"/>
  <c r="R43" i="16"/>
  <c r="R42" i="16" s="1"/>
  <c r="R41" i="16" s="1"/>
  <c r="P43" i="16"/>
  <c r="P42" i="16" s="1"/>
  <c r="P41" i="16" s="1"/>
  <c r="N43" i="16"/>
  <c r="N42" i="16" s="1"/>
  <c r="N41" i="16" s="1"/>
  <c r="L43" i="16"/>
  <c r="K43" i="16"/>
  <c r="K42" i="16" s="1"/>
  <c r="K41" i="16" s="1"/>
  <c r="R40" i="16"/>
  <c r="R39" i="16" s="1"/>
  <c r="P40" i="16"/>
  <c r="P39" i="16" s="1"/>
  <c r="N40" i="16"/>
  <c r="N39" i="16" s="1"/>
  <c r="L40" i="16"/>
  <c r="L39" i="16" s="1"/>
  <c r="K40" i="16"/>
  <c r="K39" i="16" s="1"/>
  <c r="W39" i="16"/>
  <c r="W37" i="16"/>
  <c r="R38" i="16"/>
  <c r="R37" i="16" s="1"/>
  <c r="P38" i="16"/>
  <c r="N38" i="16"/>
  <c r="N37" i="16" s="1"/>
  <c r="L38" i="16"/>
  <c r="K38" i="16"/>
  <c r="P37" i="16"/>
  <c r="L37" i="16"/>
  <c r="K37" i="16"/>
  <c r="R35" i="16"/>
  <c r="R34" i="16" s="1"/>
  <c r="P35" i="16"/>
  <c r="N35" i="16"/>
  <c r="N34" i="16" s="1"/>
  <c r="L35" i="16"/>
  <c r="K35" i="16"/>
  <c r="K34" i="16" s="1"/>
  <c r="W34" i="16"/>
  <c r="P34" i="16"/>
  <c r="W32" i="16"/>
  <c r="R33" i="16"/>
  <c r="P33" i="16"/>
  <c r="P32" i="16" s="1"/>
  <c r="N33" i="16"/>
  <c r="L33" i="16"/>
  <c r="L32" i="16" s="1"/>
  <c r="K33" i="16"/>
  <c r="R32" i="16"/>
  <c r="K32" i="16"/>
  <c r="W30" i="16"/>
  <c r="W29" i="16" s="1"/>
  <c r="W28" i="16" s="1"/>
  <c r="R30" i="16"/>
  <c r="R29" i="16" s="1"/>
  <c r="R28" i="16" s="1"/>
  <c r="P30" i="16"/>
  <c r="P29" i="16" s="1"/>
  <c r="P28" i="16" s="1"/>
  <c r="N30" i="16"/>
  <c r="N29" i="16" s="1"/>
  <c r="N28" i="16" s="1"/>
  <c r="M30" i="16"/>
  <c r="V29" i="16"/>
  <c r="V28" i="16" s="1"/>
  <c r="U29" i="16"/>
  <c r="T29" i="16"/>
  <c r="T28" i="16" s="1"/>
  <c r="U28" i="16"/>
  <c r="R27" i="16"/>
  <c r="R26" i="16" s="1"/>
  <c r="R25" i="16" s="1"/>
  <c r="P27" i="16"/>
  <c r="P26" i="16" s="1"/>
  <c r="P25" i="16" s="1"/>
  <c r="N27" i="16"/>
  <c r="N26" i="16" s="1"/>
  <c r="N25" i="16" s="1"/>
  <c r="L27" i="16"/>
  <c r="L26" i="16" s="1"/>
  <c r="L25" i="16" s="1"/>
  <c r="W26" i="16"/>
  <c r="W25" i="16" s="1"/>
  <c r="V26" i="16"/>
  <c r="V25" i="16" s="1"/>
  <c r="U26" i="16"/>
  <c r="U25" i="16" s="1"/>
  <c r="T26" i="16"/>
  <c r="K26" i="16"/>
  <c r="K25" i="16" s="1"/>
  <c r="T25" i="16"/>
  <c r="W24" i="16"/>
  <c r="W23" i="16" s="1"/>
  <c r="W22" i="16" s="1"/>
  <c r="R24" i="16"/>
  <c r="P24" i="16"/>
  <c r="P23" i="16" s="1"/>
  <c r="P22" i="16" s="1"/>
  <c r="N24" i="16"/>
  <c r="L24" i="16"/>
  <c r="L23" i="16" s="1"/>
  <c r="L22" i="16" s="1"/>
  <c r="K24" i="16"/>
  <c r="M24" i="16" s="1"/>
  <c r="V23" i="16"/>
  <c r="V22" i="16" s="1"/>
  <c r="U23" i="16"/>
  <c r="U22" i="16" s="1"/>
  <c r="T23" i="16"/>
  <c r="T22" i="16" s="1"/>
  <c r="R23" i="16"/>
  <c r="R22" i="16" s="1"/>
  <c r="N23" i="16"/>
  <c r="N22" i="16" s="1"/>
  <c r="W21" i="16"/>
  <c r="R21" i="16"/>
  <c r="P21" i="16"/>
  <c r="N21" i="16"/>
  <c r="L21" i="16"/>
  <c r="K21" i="16"/>
  <c r="M21" i="16" s="1"/>
  <c r="O21" i="16" s="1"/>
  <c r="W20" i="16"/>
  <c r="W18" i="16" s="1"/>
  <c r="R20" i="16"/>
  <c r="P20" i="16"/>
  <c r="N20" i="16"/>
  <c r="M20" i="16"/>
  <c r="O20" i="16" s="1"/>
  <c r="Q20" i="16" s="1"/>
  <c r="S20" i="16" s="1"/>
  <c r="X20" i="16" s="1"/>
  <c r="L20" i="16"/>
  <c r="K20" i="16"/>
  <c r="R19" i="16"/>
  <c r="R18" i="16" s="1"/>
  <c r="P19" i="16"/>
  <c r="N19" i="16"/>
  <c r="L19" i="16"/>
  <c r="K19" i="16"/>
  <c r="K18" i="16" s="1"/>
  <c r="V18" i="16"/>
  <c r="V13" i="16" s="1"/>
  <c r="U18" i="16"/>
  <c r="T18" i="16"/>
  <c r="R17" i="16"/>
  <c r="R16" i="16" s="1"/>
  <c r="P17" i="16"/>
  <c r="P16" i="16" s="1"/>
  <c r="N17" i="16"/>
  <c r="N16" i="16" s="1"/>
  <c r="L17" i="16"/>
  <c r="L16" i="16" s="1"/>
  <c r="K17" i="16"/>
  <c r="M17" i="16" s="1"/>
  <c r="O17" i="16" s="1"/>
  <c r="W16" i="16"/>
  <c r="V16" i="16"/>
  <c r="U16" i="16"/>
  <c r="T16" i="16"/>
  <c r="W14" i="16"/>
  <c r="R15" i="16"/>
  <c r="R14" i="16" s="1"/>
  <c r="P15" i="16"/>
  <c r="P14" i="16" s="1"/>
  <c r="N15" i="16"/>
  <c r="N14" i="16" s="1"/>
  <c r="L15" i="16"/>
  <c r="L14" i="16" s="1"/>
  <c r="K15" i="16"/>
  <c r="V14" i="16"/>
  <c r="U14" i="16"/>
  <c r="U13" i="16" s="1"/>
  <c r="T14" i="16"/>
  <c r="T13" i="16" s="1"/>
  <c r="W12" i="16"/>
  <c r="W11" i="16" s="1"/>
  <c r="W10" i="16" s="1"/>
  <c r="R12" i="16"/>
  <c r="R11" i="16" s="1"/>
  <c r="R10" i="16" s="1"/>
  <c r="P12" i="16"/>
  <c r="P11" i="16" s="1"/>
  <c r="P10" i="16" s="1"/>
  <c r="N12" i="16"/>
  <c r="N11" i="16" s="1"/>
  <c r="N10" i="16" s="1"/>
  <c r="L12" i="16"/>
  <c r="K12" i="16"/>
  <c r="K11" i="16" s="1"/>
  <c r="K10" i="16" s="1"/>
  <c r="V11" i="16"/>
  <c r="V10" i="16" s="1"/>
  <c r="U11" i="16"/>
  <c r="T11" i="16"/>
  <c r="T10" i="16" s="1"/>
  <c r="L11" i="16"/>
  <c r="L10" i="16" s="1"/>
  <c r="U10" i="16"/>
  <c r="M158" i="16" l="1"/>
  <c r="M157" i="16" s="1"/>
  <c r="M156" i="16" s="1"/>
  <c r="M155" i="16" s="1"/>
  <c r="M154" i="16" s="1"/>
  <c r="M174" i="16"/>
  <c r="M173" i="16" s="1"/>
  <c r="L268" i="16"/>
  <c r="L267" i="16" s="1"/>
  <c r="M294" i="16"/>
  <c r="O294" i="16" s="1"/>
  <c r="Q294" i="16" s="1"/>
  <c r="M314" i="16"/>
  <c r="S320" i="16"/>
  <c r="S319" i="16" s="1"/>
  <c r="P327" i="16"/>
  <c r="P326" i="16" s="1"/>
  <c r="M341" i="16"/>
  <c r="O341" i="16" s="1"/>
  <c r="Q341" i="16" s="1"/>
  <c r="L76" i="16"/>
  <c r="L122" i="16"/>
  <c r="L121" i="16" s="1"/>
  <c r="M163" i="16"/>
  <c r="M162" i="16" s="1"/>
  <c r="M161" i="16" s="1"/>
  <c r="X222" i="16"/>
  <c r="N254" i="16"/>
  <c r="M263" i="16"/>
  <c r="M266" i="16"/>
  <c r="O266" i="16" s="1"/>
  <c r="R297" i="16"/>
  <c r="R296" i="16" s="1"/>
  <c r="R295" i="16" s="1"/>
  <c r="P302" i="16"/>
  <c r="P301" i="16" s="1"/>
  <c r="P300" i="16" s="1"/>
  <c r="N18" i="16"/>
  <c r="K45" i="16"/>
  <c r="K44" i="16" s="1"/>
  <c r="S87" i="16"/>
  <c r="S86" i="16" s="1"/>
  <c r="S90" i="16"/>
  <c r="S89" i="16" s="1"/>
  <c r="S88" i="16" s="1"/>
  <c r="X88" i="16" s="1"/>
  <c r="O187" i="16"/>
  <c r="O186" i="16" s="1"/>
  <c r="O185" i="16" s="1"/>
  <c r="O181" i="16" s="1"/>
  <c r="O180" i="16" s="1"/>
  <c r="M209" i="16"/>
  <c r="M272" i="16"/>
  <c r="M271" i="16" s="1"/>
  <c r="M270" i="16" s="1"/>
  <c r="M303" i="16"/>
  <c r="O303" i="16" s="1"/>
  <c r="Q303" i="16" s="1"/>
  <c r="R302" i="16"/>
  <c r="R301" i="16" s="1"/>
  <c r="R300" i="16" s="1"/>
  <c r="M345" i="16"/>
  <c r="M349" i="16"/>
  <c r="O349" i="16" s="1"/>
  <c r="L281" i="16"/>
  <c r="R117" i="16"/>
  <c r="R116" i="16" s="1"/>
  <c r="N160" i="16"/>
  <c r="N159" i="16" s="1"/>
  <c r="L160" i="16"/>
  <c r="L159" i="16" s="1"/>
  <c r="M203" i="16"/>
  <c r="O203" i="16" s="1"/>
  <c r="Q203" i="16" s="1"/>
  <c r="O217" i="16"/>
  <c r="O216" i="16" s="1"/>
  <c r="R223" i="16"/>
  <c r="M242" i="16"/>
  <c r="M241" i="16" s="1"/>
  <c r="W254" i="16"/>
  <c r="N302" i="16"/>
  <c r="N301" i="16" s="1"/>
  <c r="N300" i="16" s="1"/>
  <c r="S325" i="16"/>
  <c r="R326" i="16"/>
  <c r="R322" i="16" s="1"/>
  <c r="M351" i="16"/>
  <c r="P31" i="16"/>
  <c r="K58" i="16"/>
  <c r="R58" i="16"/>
  <c r="L83" i="16"/>
  <c r="L82" i="16" s="1"/>
  <c r="M285" i="16"/>
  <c r="M284" i="16" s="1"/>
  <c r="R31" i="16"/>
  <c r="R136" i="16"/>
  <c r="R135" i="16" s="1"/>
  <c r="R125" i="16" s="1"/>
  <c r="R124" i="16" s="1"/>
  <c r="R160" i="16"/>
  <c r="R159" i="16" s="1"/>
  <c r="P172" i="16"/>
  <c r="P168" i="16" s="1"/>
  <c r="P167" i="16" s="1"/>
  <c r="N223" i="16"/>
  <c r="P254" i="16"/>
  <c r="M283" i="16"/>
  <c r="O283" i="16" s="1"/>
  <c r="Q283" i="16" s="1"/>
  <c r="L293" i="16"/>
  <c r="L292" i="16" s="1"/>
  <c r="M12" i="16"/>
  <c r="M11" i="16" s="1"/>
  <c r="M10" i="16" s="1"/>
  <c r="O30" i="16"/>
  <c r="Q30" i="16" s="1"/>
  <c r="M38" i="16"/>
  <c r="K50" i="16"/>
  <c r="N58" i="16"/>
  <c r="P58" i="16"/>
  <c r="M67" i="16"/>
  <c r="L80" i="16"/>
  <c r="W136" i="16"/>
  <c r="W135" i="16" s="1"/>
  <c r="K146" i="16"/>
  <c r="K145" i="16" s="1"/>
  <c r="K125" i="16" s="1"/>
  <c r="K124" i="16" s="1"/>
  <c r="S151" i="16"/>
  <c r="X151" i="16" s="1"/>
  <c r="M166" i="16"/>
  <c r="W172" i="16"/>
  <c r="W168" i="16" s="1"/>
  <c r="W167" i="16" s="1"/>
  <c r="M176" i="16"/>
  <c r="O176" i="16" s="1"/>
  <c r="O175" i="16" s="1"/>
  <c r="S184" i="16"/>
  <c r="X184" i="16" s="1"/>
  <c r="M287" i="16"/>
  <c r="O298" i="16"/>
  <c r="Q298" i="16" s="1"/>
  <c r="S298" i="16" s="1"/>
  <c r="X298" i="16" s="1"/>
  <c r="N36" i="16"/>
  <c r="L117" i="16"/>
  <c r="L116" i="16" s="1"/>
  <c r="P117" i="16"/>
  <c r="P116" i="16" s="1"/>
  <c r="M122" i="16"/>
  <c r="M121" i="16" s="1"/>
  <c r="O123" i="16"/>
  <c r="Q123" i="16" s="1"/>
  <c r="Q122" i="16" s="1"/>
  <c r="Q121" i="16" s="1"/>
  <c r="V9" i="16"/>
  <c r="V8" i="16" s="1"/>
  <c r="Q21" i="16"/>
  <c r="S21" i="16" s="1"/>
  <c r="X21" i="16" s="1"/>
  <c r="K36" i="16"/>
  <c r="T9" i="16"/>
  <c r="T8" i="16" s="1"/>
  <c r="M29" i="16"/>
  <c r="M28" i="16" s="1"/>
  <c r="M54" i="16"/>
  <c r="M62" i="16"/>
  <c r="O62" i="16" s="1"/>
  <c r="L71" i="16"/>
  <c r="M80" i="16"/>
  <c r="P91" i="16"/>
  <c r="M15" i="16"/>
  <c r="O15" i="16" s="1"/>
  <c r="R13" i="16"/>
  <c r="P18" i="16"/>
  <c r="P13" i="16" s="1"/>
  <c r="M33" i="16"/>
  <c r="M32" i="16" s="1"/>
  <c r="W36" i="16"/>
  <c r="M40" i="16"/>
  <c r="O40" i="16" s="1"/>
  <c r="S56" i="16"/>
  <c r="S55" i="16" s="1"/>
  <c r="L61" i="16"/>
  <c r="L58" i="16" s="1"/>
  <c r="K66" i="16"/>
  <c r="K65" i="16" s="1"/>
  <c r="P76" i="16"/>
  <c r="Q86" i="16"/>
  <c r="Q85" i="16" s="1"/>
  <c r="O103" i="16"/>
  <c r="Q103" i="16" s="1"/>
  <c r="S109" i="16"/>
  <c r="X109" i="16" s="1"/>
  <c r="O115" i="16"/>
  <c r="Q115" i="16" s="1"/>
  <c r="S115" i="16" s="1"/>
  <c r="X115" i="16" s="1"/>
  <c r="M128" i="16"/>
  <c r="M127" i="16" s="1"/>
  <c r="M126" i="16" s="1"/>
  <c r="M134" i="16"/>
  <c r="O134" i="16" s="1"/>
  <c r="M141" i="16"/>
  <c r="O146" i="16"/>
  <c r="O145" i="16" s="1"/>
  <c r="M150" i="16"/>
  <c r="O150" i="16" s="1"/>
  <c r="Q150" i="16" s="1"/>
  <c r="S150" i="16" s="1"/>
  <c r="X150" i="16" s="1"/>
  <c r="L149" i="16"/>
  <c r="L148" i="16" s="1"/>
  <c r="L125" i="16" s="1"/>
  <c r="L124" i="16" s="1"/>
  <c r="K162" i="16"/>
  <c r="K161" i="16" s="1"/>
  <c r="M171" i="16"/>
  <c r="M170" i="16" s="1"/>
  <c r="M169" i="16" s="1"/>
  <c r="K170" i="16"/>
  <c r="K169" i="16" s="1"/>
  <c r="K173" i="16"/>
  <c r="K172" i="16" s="1"/>
  <c r="K168" i="16" s="1"/>
  <c r="K167" i="16" s="1"/>
  <c r="R181" i="16"/>
  <c r="R180" i="16" s="1"/>
  <c r="Q217" i="16"/>
  <c r="P281" i="16"/>
  <c r="K31" i="16"/>
  <c r="P36" i="16"/>
  <c r="K117" i="16"/>
  <c r="K116" i="16" s="1"/>
  <c r="N172" i="16"/>
  <c r="N168" i="16" s="1"/>
  <c r="N167" i="16" s="1"/>
  <c r="O227" i="16"/>
  <c r="M226" i="16"/>
  <c r="K16" i="16"/>
  <c r="M19" i="16"/>
  <c r="O19" i="16" s="1"/>
  <c r="M35" i="16"/>
  <c r="M34" i="16" s="1"/>
  <c r="M43" i="16"/>
  <c r="O43" i="16" s="1"/>
  <c r="K71" i="16"/>
  <c r="M137" i="16"/>
  <c r="M136" i="16" s="1"/>
  <c r="M135" i="16" s="1"/>
  <c r="P160" i="16"/>
  <c r="P159" i="16" s="1"/>
  <c r="L168" i="16"/>
  <c r="L167" i="16" s="1"/>
  <c r="N32" i="16"/>
  <c r="N31" i="16" s="1"/>
  <c r="L36" i="16"/>
  <c r="P71" i="16"/>
  <c r="R91" i="16"/>
  <c r="M95" i="16"/>
  <c r="O95" i="16" s="1"/>
  <c r="N117" i="16"/>
  <c r="N116" i="16" s="1"/>
  <c r="M144" i="16"/>
  <c r="O144" i="16" s="1"/>
  <c r="O143" i="16" s="1"/>
  <c r="O142" i="16" s="1"/>
  <c r="K157" i="16"/>
  <c r="K156" i="16" s="1"/>
  <c r="K155" i="16" s="1"/>
  <c r="K154" i="16" s="1"/>
  <c r="K165" i="16"/>
  <c r="K164" i="16" s="1"/>
  <c r="S153" i="16"/>
  <c r="X153" i="16" s="1"/>
  <c r="W160" i="16"/>
  <c r="W159" i="16" s="1"/>
  <c r="R172" i="16"/>
  <c r="R168" i="16" s="1"/>
  <c r="R167" i="16" s="1"/>
  <c r="N213" i="16"/>
  <c r="N200" i="16" s="1"/>
  <c r="N199" i="16" s="1"/>
  <c r="L216" i="16"/>
  <c r="L213" i="16" s="1"/>
  <c r="M225" i="16"/>
  <c r="N240" i="16"/>
  <c r="M253" i="16"/>
  <c r="O253" i="16" s="1"/>
  <c r="M265" i="16"/>
  <c r="M264" i="16" s="1"/>
  <c r="X274" i="16"/>
  <c r="N297" i="16"/>
  <c r="N296" i="16" s="1"/>
  <c r="N295" i="16" s="1"/>
  <c r="X299" i="16"/>
  <c r="K313" i="16"/>
  <c r="K312" i="16" s="1"/>
  <c r="P324" i="16"/>
  <c r="P323" i="16" s="1"/>
  <c r="M343" i="16"/>
  <c r="M342" i="16" s="1"/>
  <c r="K213" i="16"/>
  <c r="P347" i="16"/>
  <c r="P346" i="16" s="1"/>
  <c r="M195" i="16"/>
  <c r="M194" i="16" s="1"/>
  <c r="M193" i="16" s="1"/>
  <c r="M189" i="16" s="1"/>
  <c r="L226" i="16"/>
  <c r="L223" i="16" s="1"/>
  <c r="M236" i="16"/>
  <c r="M235" i="16" s="1"/>
  <c r="M234" i="16" s="1"/>
  <c r="R240" i="16"/>
  <c r="P249" i="16"/>
  <c r="P248" i="16" s="1"/>
  <c r="K255" i="16"/>
  <c r="K254" i="16" s="1"/>
  <c r="M258" i="16"/>
  <c r="O258" i="16" s="1"/>
  <c r="K262" i="16"/>
  <c r="K261" i="16" s="1"/>
  <c r="K271" i="16"/>
  <c r="K270" i="16" s="1"/>
  <c r="X275" i="16"/>
  <c r="M282" i="16"/>
  <c r="O317" i="16"/>
  <c r="Q317" i="16" s="1"/>
  <c r="S317" i="16" s="1"/>
  <c r="R347" i="16"/>
  <c r="R346" i="16" s="1"/>
  <c r="M206" i="16"/>
  <c r="O206" i="16" s="1"/>
  <c r="M215" i="16"/>
  <c r="O215" i="16" s="1"/>
  <c r="O214" i="16" s="1"/>
  <c r="M221" i="16"/>
  <c r="M220" i="16" s="1"/>
  <c r="X229" i="16"/>
  <c r="X228" i="16" s="1"/>
  <c r="L235" i="16"/>
  <c r="L234" i="16" s="1"/>
  <c r="K241" i="16"/>
  <c r="K240" i="16" s="1"/>
  <c r="M247" i="16"/>
  <c r="O247" i="16" s="1"/>
  <c r="K265" i="16"/>
  <c r="K264" i="16" s="1"/>
  <c r="O272" i="16"/>
  <c r="Q272" i="16" s="1"/>
  <c r="R281" i="16"/>
  <c r="M291" i="16"/>
  <c r="O291" i="16" s="1"/>
  <c r="O290" i="16" s="1"/>
  <c r="O289" i="16" s="1"/>
  <c r="L297" i="16"/>
  <c r="L296" i="16" s="1"/>
  <c r="L295" i="16" s="1"/>
  <c r="K302" i="16"/>
  <c r="K301" i="16" s="1"/>
  <c r="K300" i="16" s="1"/>
  <c r="M300" i="16" s="1"/>
  <c r="O300" i="16" s="1"/>
  <c r="Q300" i="16" s="1"/>
  <c r="S300" i="16" s="1"/>
  <c r="X300" i="16" s="1"/>
  <c r="W347" i="16"/>
  <c r="W346" i="16" s="1"/>
  <c r="W223" i="16"/>
  <c r="P213" i="16"/>
  <c r="P223" i="16"/>
  <c r="P125" i="16"/>
  <c r="P124" i="16" s="1"/>
  <c r="W71" i="16"/>
  <c r="P50" i="16"/>
  <c r="W50" i="16"/>
  <c r="R36" i="16"/>
  <c r="M39" i="16"/>
  <c r="W31" i="16"/>
  <c r="X55" i="16"/>
  <c r="W58" i="16"/>
  <c r="M102" i="16"/>
  <c r="M99" i="16" s="1"/>
  <c r="W99" i="16"/>
  <c r="W91" i="16"/>
  <c r="W117" i="16"/>
  <c r="W116" i="16" s="1"/>
  <c r="W213" i="16"/>
  <c r="W240" i="16"/>
  <c r="W281" i="16"/>
  <c r="W280" i="16" s="1"/>
  <c r="W279" i="16" s="1"/>
  <c r="R280" i="16"/>
  <c r="R279" i="16" s="1"/>
  <c r="L339" i="16"/>
  <c r="L335" i="16" s="1"/>
  <c r="W339" i="16"/>
  <c r="W335" i="16" s="1"/>
  <c r="R339" i="16"/>
  <c r="R335" i="16" s="1"/>
  <c r="P339" i="16"/>
  <c r="P335" i="16" s="1"/>
  <c r="W326" i="16"/>
  <c r="W322" i="16" s="1"/>
  <c r="Q319" i="16"/>
  <c r="Q318" i="16" s="1"/>
  <c r="P280" i="16"/>
  <c r="P279" i="16" s="1"/>
  <c r="O24" i="16"/>
  <c r="M23" i="16"/>
  <c r="M22" i="16" s="1"/>
  <c r="M37" i="16"/>
  <c r="O38" i="16"/>
  <c r="M45" i="16"/>
  <c r="M44" i="16" s="1"/>
  <c r="O46" i="16"/>
  <c r="M53" i="16"/>
  <c r="O54" i="16"/>
  <c r="W13" i="16"/>
  <c r="M66" i="16"/>
  <c r="M65" i="16" s="1"/>
  <c r="O67" i="16"/>
  <c r="U9" i="16"/>
  <c r="U8" i="16" s="1"/>
  <c r="N13" i="16"/>
  <c r="O39" i="16"/>
  <c r="Q40" i="16"/>
  <c r="M42" i="16"/>
  <c r="M41" i="16" s="1"/>
  <c r="Q17" i="16"/>
  <c r="O16" i="16"/>
  <c r="M18" i="16"/>
  <c r="O12" i="16"/>
  <c r="L18" i="16"/>
  <c r="L13" i="16" s="1"/>
  <c r="K23" i="16"/>
  <c r="K22" i="16" s="1"/>
  <c r="N71" i="16"/>
  <c r="X73" i="16"/>
  <c r="N77" i="16"/>
  <c r="K14" i="16"/>
  <c r="K13" i="16" s="1"/>
  <c r="L34" i="16"/>
  <c r="L31" i="16" s="1"/>
  <c r="L42" i="16"/>
  <c r="L41" i="16" s="1"/>
  <c r="M49" i="16"/>
  <c r="M60" i="16"/>
  <c r="M70" i="16"/>
  <c r="X72" i="16"/>
  <c r="M75" i="16"/>
  <c r="R80" i="16"/>
  <c r="R79" i="16"/>
  <c r="X87" i="16"/>
  <c r="Q89" i="16"/>
  <c r="Q88" i="16" s="1"/>
  <c r="K96" i="16"/>
  <c r="M98" i="16"/>
  <c r="O98" i="16" s="1"/>
  <c r="Q98" i="16" s="1"/>
  <c r="S98" i="16" s="1"/>
  <c r="X98" i="16" s="1"/>
  <c r="L97" i="16"/>
  <c r="L96" i="16" s="1"/>
  <c r="R100" i="16"/>
  <c r="R99" i="16" s="1"/>
  <c r="Q144" i="16"/>
  <c r="N80" i="16"/>
  <c r="N79" i="16"/>
  <c r="O102" i="16"/>
  <c r="O99" i="16" s="1"/>
  <c r="S147" i="16"/>
  <c r="Q146" i="16"/>
  <c r="Q145" i="16" s="1"/>
  <c r="M178" i="16"/>
  <c r="M177" i="16" s="1"/>
  <c r="O179" i="16"/>
  <c r="R50" i="16"/>
  <c r="X56" i="16"/>
  <c r="R71" i="16"/>
  <c r="O81" i="16"/>
  <c r="O84" i="16"/>
  <c r="X89" i="16"/>
  <c r="M93" i="16"/>
  <c r="K92" i="16"/>
  <c r="K91" i="16" s="1"/>
  <c r="S100" i="16"/>
  <c r="X101" i="16"/>
  <c r="S123" i="16"/>
  <c r="W125" i="16"/>
  <c r="W124" i="16" s="1"/>
  <c r="M16" i="16"/>
  <c r="M27" i="16"/>
  <c r="N50" i="16"/>
  <c r="M52" i="16"/>
  <c r="K77" i="16"/>
  <c r="M78" i="16"/>
  <c r="K76" i="16"/>
  <c r="L91" i="16"/>
  <c r="M106" i="16"/>
  <c r="K105" i="16"/>
  <c r="K104" i="16" s="1"/>
  <c r="S108" i="16"/>
  <c r="M112" i="16"/>
  <c r="K111" i="16"/>
  <c r="K110" i="16" s="1"/>
  <c r="L114" i="16"/>
  <c r="M120" i="16"/>
  <c r="O128" i="16"/>
  <c r="M131" i="16"/>
  <c r="M143" i="16"/>
  <c r="M142" i="16" s="1"/>
  <c r="M146" i="16"/>
  <c r="M145" i="16" s="1"/>
  <c r="M149" i="16"/>
  <c r="O149" i="16" s="1"/>
  <c r="Q149" i="16" s="1"/>
  <c r="S149" i="16" s="1"/>
  <c r="X149" i="16" s="1"/>
  <c r="M175" i="16"/>
  <c r="M172" i="16" s="1"/>
  <c r="S183" i="16"/>
  <c r="Q187" i="16"/>
  <c r="S190" i="16"/>
  <c r="X191" i="16"/>
  <c r="K194" i="16"/>
  <c r="K193" i="16" s="1"/>
  <c r="K189" i="16" s="1"/>
  <c r="K188" i="16" s="1"/>
  <c r="M188" i="16" s="1"/>
  <c r="O188" i="16" s="1"/>
  <c r="Q188" i="16" s="1"/>
  <c r="S188" i="16" s="1"/>
  <c r="O195" i="16"/>
  <c r="M205" i="16"/>
  <c r="M204" i="16" s="1"/>
  <c r="Q215" i="16"/>
  <c r="S217" i="16"/>
  <c r="Q216" i="16"/>
  <c r="O236" i="16"/>
  <c r="W181" i="16"/>
  <c r="W180" i="16" s="1"/>
  <c r="X198" i="16"/>
  <c r="W197" i="16"/>
  <c r="O202" i="16"/>
  <c r="O201" i="16" s="1"/>
  <c r="M224" i="16"/>
  <c r="O225" i="16"/>
  <c r="O260" i="16"/>
  <c r="M259" i="16"/>
  <c r="S152" i="16"/>
  <c r="X152" i="16" s="1"/>
  <c r="M186" i="16"/>
  <c r="M185" i="16" s="1"/>
  <c r="M181" i="16" s="1"/>
  <c r="M180" i="16" s="1"/>
  <c r="X192" i="16"/>
  <c r="O221" i="16"/>
  <c r="S250" i="16"/>
  <c r="Q249" i="16"/>
  <c r="Q248" i="16" s="1"/>
  <c r="M252" i="16"/>
  <c r="M251" i="16" s="1"/>
  <c r="M262" i="16"/>
  <c r="M261" i="16" s="1"/>
  <c r="O263" i="16"/>
  <c r="N125" i="16"/>
  <c r="N124" i="16" s="1"/>
  <c r="K160" i="16"/>
  <c r="K159" i="16" s="1"/>
  <c r="O163" i="16"/>
  <c r="O209" i="16"/>
  <c r="M208" i="16"/>
  <c r="M207" i="16" s="1"/>
  <c r="O226" i="16"/>
  <c r="Q227" i="16"/>
  <c r="O239" i="16"/>
  <c r="M238" i="16"/>
  <c r="M237" i="16" s="1"/>
  <c r="M246" i="16"/>
  <c r="M245" i="16" s="1"/>
  <c r="M212" i="16"/>
  <c r="M216" i="16"/>
  <c r="M219" i="16"/>
  <c r="M233" i="16"/>
  <c r="L238" i="16"/>
  <c r="L237" i="16" s="1"/>
  <c r="L240" i="16"/>
  <c r="M244" i="16"/>
  <c r="O256" i="16"/>
  <c r="M257" i="16"/>
  <c r="L259" i="16"/>
  <c r="L254" i="16" s="1"/>
  <c r="M268" i="16"/>
  <c r="M267" i="16" s="1"/>
  <c r="O269" i="16"/>
  <c r="N281" i="16"/>
  <c r="N280" i="16" s="1"/>
  <c r="N279" i="16" s="1"/>
  <c r="M302" i="16"/>
  <c r="M301" i="16" s="1"/>
  <c r="O304" i="16"/>
  <c r="O282" i="16"/>
  <c r="M286" i="16"/>
  <c r="M281" i="16" s="1"/>
  <c r="O287" i="16"/>
  <c r="M297" i="16"/>
  <c r="K296" i="16"/>
  <c r="K295" i="16" s="1"/>
  <c r="M202" i="16"/>
  <c r="M201" i="16" s="1"/>
  <c r="L205" i="16"/>
  <c r="L204" i="16" s="1"/>
  <c r="K208" i="16"/>
  <c r="K207" i="16" s="1"/>
  <c r="O265" i="16"/>
  <c r="O264" i="16" s="1"/>
  <c r="Q266" i="16"/>
  <c r="R220" i="16"/>
  <c r="R213" i="16" s="1"/>
  <c r="W228" i="16"/>
  <c r="P240" i="16"/>
  <c r="Q291" i="16"/>
  <c r="W273" i="16"/>
  <c r="X273" i="16" s="1"/>
  <c r="M290" i="16"/>
  <c r="M289" i="16" s="1"/>
  <c r="S303" i="16"/>
  <c r="O308" i="16"/>
  <c r="X328" i="16"/>
  <c r="S327" i="16"/>
  <c r="K286" i="16"/>
  <c r="K281" i="16" s="1"/>
  <c r="O316" i="16"/>
  <c r="O315" i="16" s="1"/>
  <c r="X278" i="16"/>
  <c r="O285" i="16"/>
  <c r="M313" i="16"/>
  <c r="M312" i="16" s="1"/>
  <c r="O314" i="16"/>
  <c r="X319" i="16"/>
  <c r="S318" i="16"/>
  <c r="X318" i="16" s="1"/>
  <c r="P322" i="16"/>
  <c r="P321" i="16" s="1"/>
  <c r="X325" i="16"/>
  <c r="S324" i="16"/>
  <c r="O340" i="16"/>
  <c r="O351" i="16"/>
  <c r="M350" i="16"/>
  <c r="O311" i="16"/>
  <c r="M333" i="16"/>
  <c r="O333" i="16" s="1"/>
  <c r="Q333" i="16" s="1"/>
  <c r="S333" i="16" s="1"/>
  <c r="X333" i="16" s="1"/>
  <c r="K332" i="16"/>
  <c r="N339" i="16"/>
  <c r="N335" i="16" s="1"/>
  <c r="N321" i="16" s="1"/>
  <c r="O345" i="16"/>
  <c r="M344" i="16"/>
  <c r="X320" i="16"/>
  <c r="Q324" i="16"/>
  <c r="Q323" i="16" s="1"/>
  <c r="Q327" i="16"/>
  <c r="M330" i="16"/>
  <c r="M334" i="16"/>
  <c r="O334" i="16" s="1"/>
  <c r="Q334" i="16" s="1"/>
  <c r="S334" i="16" s="1"/>
  <c r="X334" i="16" s="1"/>
  <c r="M338" i="16"/>
  <c r="K344" i="16"/>
  <c r="K339" i="16" s="1"/>
  <c r="K335" i="16" s="1"/>
  <c r="K348" i="16"/>
  <c r="K347" i="16" s="1"/>
  <c r="K346" i="16" s="1"/>
  <c r="M354" i="16"/>
  <c r="L350" i="16"/>
  <c r="L347" i="16" s="1"/>
  <c r="L346" i="16" s="1"/>
  <c r="L414" i="15"/>
  <c r="N414" i="15" s="1"/>
  <c r="P414" i="15" s="1"/>
  <c r="AB413" i="15"/>
  <c r="AA413" i="15"/>
  <c r="Y413" i="15"/>
  <c r="Y412" i="15" s="1"/>
  <c r="X413" i="15"/>
  <c r="X412" i="15" s="1"/>
  <c r="W413" i="15"/>
  <c r="V413" i="15"/>
  <c r="V412" i="15" s="1"/>
  <c r="Q413" i="15"/>
  <c r="Q412" i="15" s="1"/>
  <c r="O413" i="15"/>
  <c r="O412" i="15" s="1"/>
  <c r="M413" i="15"/>
  <c r="L413" i="15"/>
  <c r="L412" i="15" s="1"/>
  <c r="K413" i="15"/>
  <c r="K412" i="15" s="1"/>
  <c r="J413" i="15"/>
  <c r="J412" i="15" s="1"/>
  <c r="AB412" i="15"/>
  <c r="AA412" i="15"/>
  <c r="W412" i="15"/>
  <c r="M412" i="15"/>
  <c r="V411" i="15"/>
  <c r="X411" i="15" s="1"/>
  <c r="X410" i="15" s="1"/>
  <c r="P411" i="15"/>
  <c r="P410" i="15" s="1"/>
  <c r="L411" i="15"/>
  <c r="N411" i="15" s="1"/>
  <c r="AC410" i="15"/>
  <c r="AA410" i="15"/>
  <c r="Y410" i="15"/>
  <c r="W410" i="15"/>
  <c r="V410" i="15"/>
  <c r="Q410" i="15"/>
  <c r="O410" i="15"/>
  <c r="O407" i="15" s="1"/>
  <c r="O406" i="15" s="1"/>
  <c r="O405" i="15" s="1"/>
  <c r="O404" i="15" s="1"/>
  <c r="N410" i="15"/>
  <c r="M410" i="15"/>
  <c r="L410" i="15"/>
  <c r="K410" i="15"/>
  <c r="K407" i="15" s="1"/>
  <c r="K406" i="15" s="1"/>
  <c r="K405" i="15" s="1"/>
  <c r="K404" i="15" s="1"/>
  <c r="J410" i="15"/>
  <c r="X409" i="15"/>
  <c r="X408" i="15" s="1"/>
  <c r="J409" i="15"/>
  <c r="J408" i="15" s="1"/>
  <c r="J407" i="15" s="1"/>
  <c r="AC408" i="15"/>
  <c r="AA408" i="15"/>
  <c r="Y408" i="15"/>
  <c r="W408" i="15"/>
  <c r="W407" i="15" s="1"/>
  <c r="W406" i="15" s="1"/>
  <c r="W405" i="15" s="1"/>
  <c r="W404" i="15" s="1"/>
  <c r="V408" i="15"/>
  <c r="Q408" i="15"/>
  <c r="Q407" i="15" s="1"/>
  <c r="Q406" i="15" s="1"/>
  <c r="Q405" i="15" s="1"/>
  <c r="Q404" i="15" s="1"/>
  <c r="O408" i="15"/>
  <c r="M408" i="15"/>
  <c r="M407" i="15" s="1"/>
  <c r="M406" i="15" s="1"/>
  <c r="M405" i="15" s="1"/>
  <c r="M404" i="15" s="1"/>
  <c r="K408" i="15"/>
  <c r="V407" i="15"/>
  <c r="J403" i="15"/>
  <c r="J402" i="15" s="1"/>
  <c r="AC402" i="15"/>
  <c r="AA402" i="15"/>
  <c r="Y402" i="15"/>
  <c r="X402" i="15"/>
  <c r="W402" i="15"/>
  <c r="V402" i="15"/>
  <c r="Q402" i="15"/>
  <c r="O402" i="15"/>
  <c r="M402" i="15"/>
  <c r="K402" i="15"/>
  <c r="L401" i="15"/>
  <c r="L400" i="15" s="1"/>
  <c r="J401" i="15"/>
  <c r="AC400" i="15"/>
  <c r="AC397" i="15" s="1"/>
  <c r="AC396" i="15" s="1"/>
  <c r="AA400" i="15"/>
  <c r="Y400" i="15"/>
  <c r="Y397" i="15" s="1"/>
  <c r="Y396" i="15" s="1"/>
  <c r="X400" i="15"/>
  <c r="W400" i="15"/>
  <c r="V400" i="15"/>
  <c r="Q400" i="15"/>
  <c r="O400" i="15"/>
  <c r="M400" i="15"/>
  <c r="M397" i="15" s="1"/>
  <c r="M396" i="15" s="1"/>
  <c r="K400" i="15"/>
  <c r="J400" i="15"/>
  <c r="X399" i="15"/>
  <c r="J399" i="15"/>
  <c r="AC398" i="15"/>
  <c r="AA398" i="15"/>
  <c r="Y398" i="15"/>
  <c r="X398" i="15"/>
  <c r="W398" i="15"/>
  <c r="V398" i="15"/>
  <c r="Q398" i="15"/>
  <c r="O398" i="15"/>
  <c r="O397" i="15" s="1"/>
  <c r="O396" i="15" s="1"/>
  <c r="M398" i="15"/>
  <c r="K398" i="15"/>
  <c r="K397" i="15" s="1"/>
  <c r="Q397" i="15"/>
  <c r="Q396" i="15" s="1"/>
  <c r="K396" i="15"/>
  <c r="X395" i="15"/>
  <c r="J395" i="15"/>
  <c r="L395" i="15" s="1"/>
  <c r="AC394" i="15"/>
  <c r="AC393" i="15" s="1"/>
  <c r="AC392" i="15" s="1"/>
  <c r="AA394" i="15"/>
  <c r="Y394" i="15"/>
  <c r="Y393" i="15" s="1"/>
  <c r="X394" i="15"/>
  <c r="X393" i="15" s="1"/>
  <c r="X392" i="15" s="1"/>
  <c r="W394" i="15"/>
  <c r="V394" i="15"/>
  <c r="Q394" i="15"/>
  <c r="Q393" i="15" s="1"/>
  <c r="O394" i="15"/>
  <c r="O393" i="15" s="1"/>
  <c r="O392" i="15" s="1"/>
  <c r="M394" i="15"/>
  <c r="M393" i="15" s="1"/>
  <c r="K394" i="15"/>
  <c r="K393" i="15" s="1"/>
  <c r="K392" i="15" s="1"/>
  <c r="K391" i="15" s="1"/>
  <c r="K390" i="15" s="1"/>
  <c r="AA393" i="15"/>
  <c r="AA392" i="15" s="1"/>
  <c r="W393" i="15"/>
  <c r="W392" i="15" s="1"/>
  <c r="V393" i="15"/>
  <c r="V392" i="15" s="1"/>
  <c r="Y392" i="15"/>
  <c r="Q392" i="15"/>
  <c r="M392" i="15"/>
  <c r="L389" i="15"/>
  <c r="N389" i="15" s="1"/>
  <c r="P389" i="15" s="1"/>
  <c r="U389" i="15" s="1"/>
  <c r="Z389" i="15" s="1"/>
  <c r="V388" i="15"/>
  <c r="V387" i="15" s="1"/>
  <c r="V386" i="15" s="1"/>
  <c r="Q388" i="15"/>
  <c r="Q387" i="15" s="1"/>
  <c r="Q386" i="15" s="1"/>
  <c r="O388" i="15"/>
  <c r="O387" i="15" s="1"/>
  <c r="O386" i="15" s="1"/>
  <c r="M388" i="15"/>
  <c r="M387" i="15" s="1"/>
  <c r="M386" i="15" s="1"/>
  <c r="K388" i="15"/>
  <c r="K387" i="15" s="1"/>
  <c r="K386" i="15" s="1"/>
  <c r="J388" i="15"/>
  <c r="L388" i="15" s="1"/>
  <c r="N388" i="15" s="1"/>
  <c r="P388" i="15" s="1"/>
  <c r="U388" i="15" s="1"/>
  <c r="Z388" i="15" s="1"/>
  <c r="J387" i="15"/>
  <c r="L387" i="15" s="1"/>
  <c r="N387" i="15" s="1"/>
  <c r="P387" i="15" s="1"/>
  <c r="U387" i="15" s="1"/>
  <c r="Z387" i="15" s="1"/>
  <c r="N385" i="15"/>
  <c r="N384" i="15" s="1"/>
  <c r="AC384" i="15"/>
  <c r="AA384" i="15"/>
  <c r="Y384" i="15"/>
  <c r="X384" i="15"/>
  <c r="W384" i="15"/>
  <c r="V384" i="15"/>
  <c r="Q384" i="15"/>
  <c r="O384" i="15"/>
  <c r="M384" i="15"/>
  <c r="L384" i="15"/>
  <c r="AC383" i="15"/>
  <c r="AA383" i="15"/>
  <c r="Y383" i="15"/>
  <c r="Y382" i="15" s="1"/>
  <c r="X383" i="15"/>
  <c r="W383" i="15"/>
  <c r="V383" i="15"/>
  <c r="Q383" i="15"/>
  <c r="Q382" i="15" s="1"/>
  <c r="O383" i="15"/>
  <c r="M383" i="15"/>
  <c r="L383" i="15"/>
  <c r="AC382" i="15"/>
  <c r="AA382" i="15"/>
  <c r="X382" i="15"/>
  <c r="W382" i="15"/>
  <c r="L381" i="15"/>
  <c r="L380" i="15"/>
  <c r="N380" i="15" s="1"/>
  <c r="P380" i="15" s="1"/>
  <c r="AC379" i="15"/>
  <c r="AC378" i="15" s="1"/>
  <c r="AC377" i="15" s="1"/>
  <c r="AC376" i="15" s="1"/>
  <c r="AB379" i="15"/>
  <c r="AB378" i="15" s="1"/>
  <c r="AB377" i="15" s="1"/>
  <c r="Y379" i="15"/>
  <c r="Y378" i="15" s="1"/>
  <c r="X379" i="15"/>
  <c r="X378" i="15" s="1"/>
  <c r="X377" i="15" s="1"/>
  <c r="W379" i="15"/>
  <c r="V379" i="15"/>
  <c r="V378" i="15" s="1"/>
  <c r="V377" i="15" s="1"/>
  <c r="Q379" i="15"/>
  <c r="Q378" i="15" s="1"/>
  <c r="O379" i="15"/>
  <c r="M379" i="15"/>
  <c r="M378" i="15" s="1"/>
  <c r="M377" i="15" s="1"/>
  <c r="K379" i="15"/>
  <c r="K378" i="15" s="1"/>
  <c r="K377" i="15" s="1"/>
  <c r="K376" i="15" s="1"/>
  <c r="J379" i="15"/>
  <c r="J378" i="15" s="1"/>
  <c r="J377" i="15" s="1"/>
  <c r="J376" i="15" s="1"/>
  <c r="W378" i="15"/>
  <c r="W377" i="15" s="1"/>
  <c r="O378" i="15"/>
  <c r="O377" i="15" s="1"/>
  <c r="Y377" i="15"/>
  <c r="Q377" i="15"/>
  <c r="L375" i="15"/>
  <c r="N375" i="15" s="1"/>
  <c r="P375" i="15" s="1"/>
  <c r="U375" i="15" s="1"/>
  <c r="Z375" i="15" s="1"/>
  <c r="L374" i="15"/>
  <c r="N374" i="15" s="1"/>
  <c r="P374" i="15" s="1"/>
  <c r="AC373" i="15"/>
  <c r="AB373" i="15"/>
  <c r="AB372" i="15" s="1"/>
  <c r="AB371" i="15" s="1"/>
  <c r="AB370" i="15" s="1"/>
  <c r="Y373" i="15"/>
  <c r="X373" i="15"/>
  <c r="X372" i="15" s="1"/>
  <c r="X371" i="15" s="1"/>
  <c r="X370" i="15" s="1"/>
  <c r="W373" i="15"/>
  <c r="W372" i="15" s="1"/>
  <c r="W371" i="15" s="1"/>
  <c r="W370" i="15" s="1"/>
  <c r="V373" i="15"/>
  <c r="V372" i="15" s="1"/>
  <c r="V371" i="15" s="1"/>
  <c r="V370" i="15" s="1"/>
  <c r="Q373" i="15"/>
  <c r="Q372" i="15" s="1"/>
  <c r="O373" i="15"/>
  <c r="O372" i="15" s="1"/>
  <c r="O371" i="15" s="1"/>
  <c r="O370" i="15" s="1"/>
  <c r="M373" i="15"/>
  <c r="M372" i="15" s="1"/>
  <c r="L373" i="15"/>
  <c r="L372" i="15" s="1"/>
  <c r="L371" i="15" s="1"/>
  <c r="L370" i="15" s="1"/>
  <c r="K373" i="15"/>
  <c r="J373" i="15"/>
  <c r="J372" i="15" s="1"/>
  <c r="J371" i="15" s="1"/>
  <c r="J370" i="15" s="1"/>
  <c r="J369" i="15" s="1"/>
  <c r="AC372" i="15"/>
  <c r="Y372" i="15"/>
  <c r="Y371" i="15" s="1"/>
  <c r="Y370" i="15" s="1"/>
  <c r="K372" i="15"/>
  <c r="K371" i="15" s="1"/>
  <c r="K370" i="15" s="1"/>
  <c r="AC371" i="15"/>
  <c r="AC370" i="15" s="1"/>
  <c r="Q371" i="15"/>
  <c r="Q370" i="15" s="1"/>
  <c r="M371" i="15"/>
  <c r="M370" i="15" s="1"/>
  <c r="W368" i="15"/>
  <c r="W367" i="15" s="1"/>
  <c r="W366" i="15" s="1"/>
  <c r="W365" i="15" s="1"/>
  <c r="L368" i="15"/>
  <c r="N368" i="15" s="1"/>
  <c r="P368" i="15" s="1"/>
  <c r="AC367" i="15"/>
  <c r="AC366" i="15" s="1"/>
  <c r="AC365" i="15" s="1"/>
  <c r="AB367" i="15"/>
  <c r="AB366" i="15" s="1"/>
  <c r="AB365" i="15" s="1"/>
  <c r="Y367" i="15"/>
  <c r="Y366" i="15" s="1"/>
  <c r="X367" i="15"/>
  <c r="X366" i="15" s="1"/>
  <c r="X365" i="15" s="1"/>
  <c r="V367" i="15"/>
  <c r="V366" i="15" s="1"/>
  <c r="V365" i="15" s="1"/>
  <c r="Q367" i="15"/>
  <c r="Q366" i="15" s="1"/>
  <c r="Q365" i="15" s="1"/>
  <c r="O367" i="15"/>
  <c r="M367" i="15"/>
  <c r="L367" i="15"/>
  <c r="K367" i="15"/>
  <c r="K366" i="15" s="1"/>
  <c r="K365" i="15" s="1"/>
  <c r="J367" i="15"/>
  <c r="J366" i="15" s="1"/>
  <c r="O366" i="15"/>
  <c r="O365" i="15" s="1"/>
  <c r="M366" i="15"/>
  <c r="M365" i="15" s="1"/>
  <c r="L366" i="15"/>
  <c r="L365" i="15" s="1"/>
  <c r="Y365" i="15"/>
  <c r="J365" i="15"/>
  <c r="L364" i="15"/>
  <c r="N364" i="15" s="1"/>
  <c r="P364" i="15" s="1"/>
  <c r="U364" i="15" s="1"/>
  <c r="Z364" i="15" s="1"/>
  <c r="AC363" i="15"/>
  <c r="AC362" i="15" s="1"/>
  <c r="AC361" i="15" s="1"/>
  <c r="AC360" i="15" s="1"/>
  <c r="AB363" i="15"/>
  <c r="AB362" i="15" s="1"/>
  <c r="AB361" i="15" s="1"/>
  <c r="AA363" i="15"/>
  <c r="AA362" i="15" s="1"/>
  <c r="AA361" i="15" s="1"/>
  <c r="Y363" i="15"/>
  <c r="Y362" i="15" s="1"/>
  <c r="X363" i="15"/>
  <c r="X362" i="15" s="1"/>
  <c r="X361" i="15" s="1"/>
  <c r="W363" i="15"/>
  <c r="W362" i="15" s="1"/>
  <c r="W361" i="15" s="1"/>
  <c r="W360" i="15" s="1"/>
  <c r="V363" i="15"/>
  <c r="Q363" i="15"/>
  <c r="Q362" i="15" s="1"/>
  <c r="Q361" i="15" s="1"/>
  <c r="O363" i="15"/>
  <c r="M363" i="15"/>
  <c r="K363" i="15"/>
  <c r="K362" i="15" s="1"/>
  <c r="K361" i="15" s="1"/>
  <c r="K360" i="15" s="1"/>
  <c r="K356" i="15" s="1"/>
  <c r="J363" i="15"/>
  <c r="V362" i="15"/>
  <c r="V361" i="15" s="1"/>
  <c r="O362" i="15"/>
  <c r="O361" i="15" s="1"/>
  <c r="M362" i="15"/>
  <c r="M361" i="15" s="1"/>
  <c r="M360" i="15" s="1"/>
  <c r="Y361" i="15"/>
  <c r="Y360" i="15" s="1"/>
  <c r="X359" i="15"/>
  <c r="X358" i="15" s="1"/>
  <c r="X357" i="15" s="1"/>
  <c r="X356" i="15" s="1"/>
  <c r="Q359" i="15"/>
  <c r="S359" i="15" s="1"/>
  <c r="S351" i="15" s="1"/>
  <c r="N359" i="15"/>
  <c r="P359" i="15" s="1"/>
  <c r="AC358" i="15"/>
  <c r="AA358" i="15"/>
  <c r="Y358" i="15"/>
  <c r="Y357" i="15" s="1"/>
  <c r="Y356" i="15" s="1"/>
  <c r="W358" i="15"/>
  <c r="W357" i="15" s="1"/>
  <c r="W356" i="15" s="1"/>
  <c r="V358" i="15"/>
  <c r="Q358" i="15"/>
  <c r="Q357" i="15" s="1"/>
  <c r="Q356" i="15" s="1"/>
  <c r="O358" i="15"/>
  <c r="O357" i="15" s="1"/>
  <c r="O356" i="15" s="1"/>
  <c r="O351" i="15" s="1"/>
  <c r="N358" i="15"/>
  <c r="N357" i="15" s="1"/>
  <c r="N356" i="15" s="1"/>
  <c r="M358" i="15"/>
  <c r="L358" i="15"/>
  <c r="AC357" i="15"/>
  <c r="AC356" i="15" s="1"/>
  <c r="AA357" i="15"/>
  <c r="AA356" i="15" s="1"/>
  <c r="V357" i="15"/>
  <c r="V356" i="15" s="1"/>
  <c r="M357" i="15"/>
  <c r="L357" i="15"/>
  <c r="M356" i="15"/>
  <c r="L356" i="15"/>
  <c r="V355" i="15"/>
  <c r="X355" i="15" s="1"/>
  <c r="X354" i="15" s="1"/>
  <c r="X353" i="15" s="1"/>
  <c r="X352" i="15" s="1"/>
  <c r="N355" i="15"/>
  <c r="P355" i="15" s="1"/>
  <c r="U355" i="15" s="1"/>
  <c r="AC354" i="15"/>
  <c r="AA354" i="15"/>
  <c r="Y354" i="15"/>
  <c r="Y353" i="15" s="1"/>
  <c r="Y352" i="15" s="1"/>
  <c r="W354" i="15"/>
  <c r="W353" i="15" s="1"/>
  <c r="W352" i="15" s="1"/>
  <c r="Q354" i="15"/>
  <c r="P354" i="15"/>
  <c r="P353" i="15" s="1"/>
  <c r="P352" i="15" s="1"/>
  <c r="O354" i="15"/>
  <c r="O353" i="15" s="1"/>
  <c r="O352" i="15" s="1"/>
  <c r="N354" i="15"/>
  <c r="N353" i="15" s="1"/>
  <c r="N352" i="15" s="1"/>
  <c r="M354" i="15"/>
  <c r="L354" i="15"/>
  <c r="L353" i="15" s="1"/>
  <c r="L352" i="15" s="1"/>
  <c r="L351" i="15" s="1"/>
  <c r="K354" i="15"/>
  <c r="J354" i="15"/>
  <c r="AC353" i="15"/>
  <c r="AC352" i="15" s="1"/>
  <c r="AA353" i="15"/>
  <c r="AA352" i="15" s="1"/>
  <c r="Q353" i="15"/>
  <c r="M353" i="15"/>
  <c r="M352" i="15" s="1"/>
  <c r="Q352" i="15"/>
  <c r="K352" i="15"/>
  <c r="J352" i="15"/>
  <c r="J351" i="15" s="1"/>
  <c r="T351" i="15"/>
  <c r="R351" i="15"/>
  <c r="K351" i="15"/>
  <c r="N350" i="15"/>
  <c r="N349" i="15" s="1"/>
  <c r="N348" i="15" s="1"/>
  <c r="N347" i="15" s="1"/>
  <c r="N346" i="15" s="1"/>
  <c r="L350" i="15"/>
  <c r="AC349" i="15"/>
  <c r="AC348" i="15" s="1"/>
  <c r="AC347" i="15" s="1"/>
  <c r="AC346" i="15" s="1"/>
  <c r="AA349" i="15"/>
  <c r="AA348" i="15" s="1"/>
  <c r="AA347" i="15" s="1"/>
  <c r="AA346" i="15" s="1"/>
  <c r="Y349" i="15"/>
  <c r="Y348" i="15" s="1"/>
  <c r="Y347" i="15" s="1"/>
  <c r="Y346" i="15" s="1"/>
  <c r="X349" i="15"/>
  <c r="W349" i="15"/>
  <c r="V349" i="15"/>
  <c r="V348" i="15" s="1"/>
  <c r="V347" i="15" s="1"/>
  <c r="V346" i="15" s="1"/>
  <c r="Q349" i="15"/>
  <c r="Q348" i="15" s="1"/>
  <c r="Q347" i="15" s="1"/>
  <c r="Q346" i="15" s="1"/>
  <c r="O349" i="15"/>
  <c r="M349" i="15"/>
  <c r="M348" i="15" s="1"/>
  <c r="L349" i="15"/>
  <c r="L348" i="15" s="1"/>
  <c r="L347" i="15" s="1"/>
  <c r="L346" i="15" s="1"/>
  <c r="K349" i="15"/>
  <c r="K348" i="15" s="1"/>
  <c r="K347" i="15" s="1"/>
  <c r="K346" i="15" s="1"/>
  <c r="J349" i="15"/>
  <c r="J348" i="15" s="1"/>
  <c r="J347" i="15" s="1"/>
  <c r="J346" i="15" s="1"/>
  <c r="X348" i="15"/>
  <c r="X347" i="15" s="1"/>
  <c r="X346" i="15" s="1"/>
  <c r="W348" i="15"/>
  <c r="W347" i="15" s="1"/>
  <c r="W346" i="15" s="1"/>
  <c r="O348" i="15"/>
  <c r="O347" i="15" s="1"/>
  <c r="O346" i="15" s="1"/>
  <c r="M347" i="15"/>
  <c r="M346" i="15" s="1"/>
  <c r="T346" i="15"/>
  <c r="S346" i="15"/>
  <c r="R346" i="15"/>
  <c r="L345" i="15"/>
  <c r="N345" i="15" s="1"/>
  <c r="AC344" i="15"/>
  <c r="AB344" i="15"/>
  <c r="Y344" i="15"/>
  <c r="X344" i="15"/>
  <c r="W344" i="15"/>
  <c r="W343" i="15" s="1"/>
  <c r="V344" i="15"/>
  <c r="V343" i="15" s="1"/>
  <c r="V342" i="15" s="1"/>
  <c r="V341" i="15" s="1"/>
  <c r="Q344" i="15"/>
  <c r="Q343" i="15" s="1"/>
  <c r="Q342" i="15" s="1"/>
  <c r="Q341" i="15" s="1"/>
  <c r="O344" i="15"/>
  <c r="O343" i="15" s="1"/>
  <c r="O342" i="15" s="1"/>
  <c r="O341" i="15" s="1"/>
  <c r="M344" i="15"/>
  <c r="L344" i="15"/>
  <c r="L343" i="15" s="1"/>
  <c r="L342" i="15" s="1"/>
  <c r="L341" i="15" s="1"/>
  <c r="K344" i="15"/>
  <c r="J344" i="15"/>
  <c r="AC343" i="15"/>
  <c r="AC342" i="15" s="1"/>
  <c r="AC341" i="15" s="1"/>
  <c r="AB343" i="15"/>
  <c r="AB342" i="15" s="1"/>
  <c r="AB341" i="15" s="1"/>
  <c r="Y343" i="15"/>
  <c r="Y342" i="15" s="1"/>
  <c r="X343" i="15"/>
  <c r="X342" i="15" s="1"/>
  <c r="X341" i="15" s="1"/>
  <c r="M343" i="15"/>
  <c r="M342" i="15" s="1"/>
  <c r="M341" i="15" s="1"/>
  <c r="K343" i="15"/>
  <c r="K342" i="15" s="1"/>
  <c r="K341" i="15" s="1"/>
  <c r="J343" i="15"/>
  <c r="J342" i="15" s="1"/>
  <c r="J341" i="15" s="1"/>
  <c r="W342" i="15"/>
  <c r="W341" i="15" s="1"/>
  <c r="Y341" i="15"/>
  <c r="L340" i="15"/>
  <c r="N340" i="15" s="1"/>
  <c r="AC339" i="15"/>
  <c r="AC338" i="15" s="1"/>
  <c r="AB339" i="15"/>
  <c r="AB338" i="15" s="1"/>
  <c r="AB337" i="15" s="1"/>
  <c r="Y339" i="15"/>
  <c r="Y338" i="15" s="1"/>
  <c r="Y337" i="15" s="1"/>
  <c r="X339" i="15"/>
  <c r="W339" i="15"/>
  <c r="W338" i="15" s="1"/>
  <c r="W337" i="15" s="1"/>
  <c r="V339" i="15"/>
  <c r="V338" i="15" s="1"/>
  <c r="V337" i="15" s="1"/>
  <c r="Q339" i="15"/>
  <c r="Q338" i="15" s="1"/>
  <c r="Q337" i="15" s="1"/>
  <c r="O339" i="15"/>
  <c r="O338" i="15" s="1"/>
  <c r="O337" i="15" s="1"/>
  <c r="M339" i="15"/>
  <c r="M338" i="15" s="1"/>
  <c r="M337" i="15" s="1"/>
  <c r="K339" i="15"/>
  <c r="K338" i="15" s="1"/>
  <c r="K337" i="15" s="1"/>
  <c r="J339" i="15"/>
  <c r="J338" i="15" s="1"/>
  <c r="J337" i="15" s="1"/>
  <c r="X338" i="15"/>
  <c r="X337" i="15" s="1"/>
  <c r="AC337" i="15"/>
  <c r="X336" i="15"/>
  <c r="L336" i="15"/>
  <c r="N336" i="15" s="1"/>
  <c r="P336" i="15" s="1"/>
  <c r="U336" i="15" s="1"/>
  <c r="X335" i="15"/>
  <c r="J335" i="15"/>
  <c r="L335" i="15" s="1"/>
  <c r="AC334" i="15"/>
  <c r="AA334" i="15"/>
  <c r="Y334" i="15"/>
  <c r="W334" i="15"/>
  <c r="V334" i="15"/>
  <c r="Q334" i="15"/>
  <c r="O334" i="15"/>
  <c r="M334" i="15"/>
  <c r="K334" i="15"/>
  <c r="J334" i="15"/>
  <c r="X333" i="15"/>
  <c r="X332" i="15" s="1"/>
  <c r="J333" i="15"/>
  <c r="L333" i="15" s="1"/>
  <c r="N333" i="15" s="1"/>
  <c r="AC332" i="15"/>
  <c r="AA332" i="15"/>
  <c r="AA329" i="15" s="1"/>
  <c r="AA328" i="15" s="1"/>
  <c r="Y332" i="15"/>
  <c r="W332" i="15"/>
  <c r="V332" i="15"/>
  <c r="Q332" i="15"/>
  <c r="O332" i="15"/>
  <c r="M332" i="15"/>
  <c r="K332" i="15"/>
  <c r="X331" i="15"/>
  <c r="J331" i="15"/>
  <c r="L331" i="15" s="1"/>
  <c r="N331" i="15" s="1"/>
  <c r="AC330" i="15"/>
  <c r="AA330" i="15"/>
  <c r="Y330" i="15"/>
  <c r="X330" i="15"/>
  <c r="W330" i="15"/>
  <c r="W329" i="15" s="1"/>
  <c r="W328" i="15" s="1"/>
  <c r="W327" i="15" s="1"/>
  <c r="V330" i="15"/>
  <c r="Q330" i="15"/>
  <c r="O330" i="15"/>
  <c r="M330" i="15"/>
  <c r="M329" i="15" s="1"/>
  <c r="M328" i="15" s="1"/>
  <c r="M327" i="15" s="1"/>
  <c r="K330" i="15"/>
  <c r="J330" i="15"/>
  <c r="Y329" i="15"/>
  <c r="Y328" i="15" s="1"/>
  <c r="Q329" i="15"/>
  <c r="Q328" i="15" s="1"/>
  <c r="T326" i="15"/>
  <c r="W325" i="15"/>
  <c r="L325" i="15"/>
  <c r="L324" i="15" s="1"/>
  <c r="AC324" i="15"/>
  <c r="AC321" i="15" s="1"/>
  <c r="AB324" i="15"/>
  <c r="Y324" i="15"/>
  <c r="X324" i="15"/>
  <c r="W324" i="15"/>
  <c r="V324" i="15"/>
  <c r="Q324" i="15"/>
  <c r="O324" i="15"/>
  <c r="O321" i="15" s="1"/>
  <c r="M324" i="15"/>
  <c r="K324" i="15"/>
  <c r="J324" i="15"/>
  <c r="W323" i="15"/>
  <c r="W322" i="15" s="1"/>
  <c r="N323" i="15"/>
  <c r="P323" i="15" s="1"/>
  <c r="L323" i="15"/>
  <c r="AC322" i="15"/>
  <c r="AB322" i="15"/>
  <c r="AB321" i="15" s="1"/>
  <c r="Y322" i="15"/>
  <c r="Y321" i="15" s="1"/>
  <c r="X322" i="15"/>
  <c r="V322" i="15"/>
  <c r="Q322" i="15"/>
  <c r="Q321" i="15" s="1"/>
  <c r="O322" i="15"/>
  <c r="M322" i="15"/>
  <c r="L322" i="15"/>
  <c r="L321" i="15" s="1"/>
  <c r="K322" i="15"/>
  <c r="K321" i="15" s="1"/>
  <c r="J322" i="15"/>
  <c r="V321" i="15"/>
  <c r="J321" i="15"/>
  <c r="W320" i="15"/>
  <c r="W319" i="15" s="1"/>
  <c r="M320" i="15"/>
  <c r="M319" i="15" s="1"/>
  <c r="M316" i="15" s="1"/>
  <c r="J320" i="15"/>
  <c r="L320" i="15" s="1"/>
  <c r="L319" i="15" s="1"/>
  <c r="AC319" i="15"/>
  <c r="AC316" i="15" s="1"/>
  <c r="AB319" i="15"/>
  <c r="Y319" i="15"/>
  <c r="X319" i="15"/>
  <c r="V319" i="15"/>
  <c r="Q319" i="15"/>
  <c r="O319" i="15"/>
  <c r="K319" i="15"/>
  <c r="J319" i="15"/>
  <c r="W318" i="15"/>
  <c r="W317" i="15" s="1"/>
  <c r="W316" i="15" s="1"/>
  <c r="J318" i="15"/>
  <c r="J317" i="15" s="1"/>
  <c r="AC317" i="15"/>
  <c r="AB317" i="15"/>
  <c r="Y317" i="15"/>
  <c r="X317" i="15"/>
  <c r="V317" i="15"/>
  <c r="Q317" i="15"/>
  <c r="Q316" i="15" s="1"/>
  <c r="Q315" i="15" s="1"/>
  <c r="O317" i="15"/>
  <c r="O316" i="15" s="1"/>
  <c r="M317" i="15"/>
  <c r="K317" i="15"/>
  <c r="K316" i="15" s="1"/>
  <c r="Y316" i="15"/>
  <c r="W314" i="15"/>
  <c r="W313" i="15" s="1"/>
  <c r="W312" i="15" s="1"/>
  <c r="L314" i="15"/>
  <c r="N314" i="15" s="1"/>
  <c r="AC313" i="15"/>
  <c r="AC312" i="15" s="1"/>
  <c r="AB313" i="15"/>
  <c r="AB312" i="15" s="1"/>
  <c r="Y313" i="15"/>
  <c r="X313" i="15"/>
  <c r="X312" i="15" s="1"/>
  <c r="V313" i="15"/>
  <c r="Q313" i="15"/>
  <c r="Q312" i="15" s="1"/>
  <c r="O313" i="15"/>
  <c r="O312" i="15" s="1"/>
  <c r="M313" i="15"/>
  <c r="M312" i="15" s="1"/>
  <c r="K313" i="15"/>
  <c r="J313" i="15"/>
  <c r="J312" i="15" s="1"/>
  <c r="Y312" i="15"/>
  <c r="V312" i="15"/>
  <c r="K312" i="15"/>
  <c r="W311" i="15"/>
  <c r="W310" i="15" s="1"/>
  <c r="J311" i="15"/>
  <c r="AC310" i="15"/>
  <c r="AB310" i="15"/>
  <c r="Y310" i="15"/>
  <c r="X310" i="15"/>
  <c r="X307" i="15" s="1"/>
  <c r="V310" i="15"/>
  <c r="Q310" i="15"/>
  <c r="O310" i="15"/>
  <c r="M310" i="15"/>
  <c r="K310" i="15"/>
  <c r="W309" i="15"/>
  <c r="W308" i="15" s="1"/>
  <c r="J309" i="15"/>
  <c r="L309" i="15" s="1"/>
  <c r="N309" i="15" s="1"/>
  <c r="AC308" i="15"/>
  <c r="AC307" i="15" s="1"/>
  <c r="AB308" i="15"/>
  <c r="AB307" i="15" s="1"/>
  <c r="Y308" i="15"/>
  <c r="Y307" i="15" s="1"/>
  <c r="X308" i="15"/>
  <c r="V308" i="15"/>
  <c r="V307" i="15" s="1"/>
  <c r="Q308" i="15"/>
  <c r="Q307" i="15" s="1"/>
  <c r="O308" i="15"/>
  <c r="M308" i="15"/>
  <c r="L308" i="15"/>
  <c r="K308" i="15"/>
  <c r="K307" i="15" s="1"/>
  <c r="W306" i="15"/>
  <c r="W305" i="15" s="1"/>
  <c r="W304" i="15" s="1"/>
  <c r="N306" i="15"/>
  <c r="L306" i="15"/>
  <c r="AC305" i="15"/>
  <c r="AC304" i="15" s="1"/>
  <c r="AB305" i="15"/>
  <c r="AB304" i="15" s="1"/>
  <c r="Y305" i="15"/>
  <c r="Y304" i="15" s="1"/>
  <c r="X305" i="15"/>
  <c r="V305" i="15"/>
  <c r="Q305" i="15"/>
  <c r="Q304" i="15" s="1"/>
  <c r="O305" i="15"/>
  <c r="O304" i="15" s="1"/>
  <c r="M305" i="15"/>
  <c r="M304" i="15" s="1"/>
  <c r="L305" i="15"/>
  <c r="L304" i="15" s="1"/>
  <c r="K305" i="15"/>
  <c r="K304" i="15" s="1"/>
  <c r="J305" i="15"/>
  <c r="J304" i="15" s="1"/>
  <c r="X304" i="15"/>
  <c r="V304" i="15"/>
  <c r="T303" i="15"/>
  <c r="S303" i="15"/>
  <c r="R303" i="15"/>
  <c r="N302" i="15"/>
  <c r="L302" i="15"/>
  <c r="L301" i="15" s="1"/>
  <c r="L300" i="15" s="1"/>
  <c r="L299" i="15" s="1"/>
  <c r="AC301" i="15"/>
  <c r="AB301" i="15"/>
  <c r="AB300" i="15" s="1"/>
  <c r="AB299" i="15" s="1"/>
  <c r="Y301" i="15"/>
  <c r="Y300" i="15" s="1"/>
  <c r="Y299" i="15" s="1"/>
  <c r="X301" i="15"/>
  <c r="X300" i="15" s="1"/>
  <c r="X299" i="15" s="1"/>
  <c r="W301" i="15"/>
  <c r="W300" i="15" s="1"/>
  <c r="W299" i="15" s="1"/>
  <c r="V301" i="15"/>
  <c r="Q301" i="15"/>
  <c r="Q300" i="15" s="1"/>
  <c r="Q299" i="15" s="1"/>
  <c r="O301" i="15"/>
  <c r="M301" i="15"/>
  <c r="M300" i="15" s="1"/>
  <c r="M299" i="15" s="1"/>
  <c r="K301" i="15"/>
  <c r="K300" i="15" s="1"/>
  <c r="K299" i="15" s="1"/>
  <c r="J301" i="15"/>
  <c r="AC300" i="15"/>
  <c r="AC299" i="15" s="1"/>
  <c r="V300" i="15"/>
  <c r="V299" i="15" s="1"/>
  <c r="O300" i="15"/>
  <c r="O299" i="15" s="1"/>
  <c r="J300" i="15"/>
  <c r="J299" i="15" s="1"/>
  <c r="T299" i="15"/>
  <c r="T298" i="15" s="1"/>
  <c r="S299" i="15"/>
  <c r="R299" i="15"/>
  <c r="R298" i="15" s="1"/>
  <c r="X297" i="15"/>
  <c r="X296" i="15" s="1"/>
  <c r="X295" i="15" s="1"/>
  <c r="P297" i="15"/>
  <c r="P296" i="15" s="1"/>
  <c r="P295" i="15" s="1"/>
  <c r="AC296" i="15"/>
  <c r="AC295" i="15" s="1"/>
  <c r="AA296" i="15"/>
  <c r="Y296" i="15"/>
  <c r="Y295" i="15" s="1"/>
  <c r="W296" i="15"/>
  <c r="W295" i="15" s="1"/>
  <c r="V296" i="15"/>
  <c r="V295" i="15" s="1"/>
  <c r="Q296" i="15"/>
  <c r="Q295" i="15" s="1"/>
  <c r="AA295" i="15"/>
  <c r="W294" i="15"/>
  <c r="W293" i="15" s="1"/>
  <c r="W292" i="15" s="1"/>
  <c r="P294" i="15"/>
  <c r="P293" i="15" s="1"/>
  <c r="P292" i="15" s="1"/>
  <c r="L294" i="15"/>
  <c r="N294" i="15" s="1"/>
  <c r="N293" i="15" s="1"/>
  <c r="N292" i="15" s="1"/>
  <c r="AC293" i="15"/>
  <c r="AC292" i="15" s="1"/>
  <c r="AB293" i="15"/>
  <c r="AB292" i="15" s="1"/>
  <c r="Y293" i="15"/>
  <c r="Y292" i="15" s="1"/>
  <c r="X293" i="15"/>
  <c r="V293" i="15"/>
  <c r="V292" i="15" s="1"/>
  <c r="Q293" i="15"/>
  <c r="Q292" i="15" s="1"/>
  <c r="O293" i="15"/>
  <c r="O292" i="15" s="1"/>
  <c r="M293" i="15"/>
  <c r="L293" i="15"/>
  <c r="L292" i="15" s="1"/>
  <c r="K293" i="15"/>
  <c r="K292" i="15" s="1"/>
  <c r="J293" i="15"/>
  <c r="X292" i="15"/>
  <c r="M292" i="15"/>
  <c r="J292" i="15"/>
  <c r="U291" i="15"/>
  <c r="Z291" i="15" s="1"/>
  <c r="AB291" i="15" s="1"/>
  <c r="X290" i="15"/>
  <c r="X289" i="15" s="1"/>
  <c r="N290" i="15"/>
  <c r="P290" i="15" s="1"/>
  <c r="L290" i="15"/>
  <c r="AC289" i="15"/>
  <c r="AA289" i="15"/>
  <c r="Y289" i="15"/>
  <c r="W289" i="15"/>
  <c r="V289" i="15"/>
  <c r="Q289" i="15"/>
  <c r="O289" i="15"/>
  <c r="M289" i="15"/>
  <c r="L289" i="15"/>
  <c r="K289" i="15"/>
  <c r="J289" i="15"/>
  <c r="L288" i="15"/>
  <c r="L287" i="15" s="1"/>
  <c r="AC287" i="15"/>
  <c r="AA287" i="15"/>
  <c r="Y287" i="15"/>
  <c r="X287" i="15"/>
  <c r="W287" i="15"/>
  <c r="V287" i="15"/>
  <c r="Q287" i="15"/>
  <c r="O287" i="15"/>
  <c r="M287" i="15"/>
  <c r="K287" i="15"/>
  <c r="J287" i="15"/>
  <c r="X286" i="15"/>
  <c r="M286" i="15"/>
  <c r="M285" i="15" s="1"/>
  <c r="AC285" i="15"/>
  <c r="AA285" i="15"/>
  <c r="Y285" i="15"/>
  <c r="X285" i="15"/>
  <c r="W285" i="15"/>
  <c r="V285" i="15"/>
  <c r="Q285" i="15"/>
  <c r="O285" i="15"/>
  <c r="K285" i="15"/>
  <c r="V284" i="15"/>
  <c r="X284" i="15" s="1"/>
  <c r="X283" i="15" s="1"/>
  <c r="J284" i="15"/>
  <c r="J283" i="15" s="1"/>
  <c r="AC283" i="15"/>
  <c r="AA283" i="15"/>
  <c r="AA282" i="15" s="1"/>
  <c r="Y283" i="15"/>
  <c r="W283" i="15"/>
  <c r="Q283" i="15"/>
  <c r="O283" i="15"/>
  <c r="M283" i="15"/>
  <c r="K283" i="15"/>
  <c r="K282" i="15" s="1"/>
  <c r="X281" i="15"/>
  <c r="X280" i="15" s="1"/>
  <c r="X279" i="15" s="1"/>
  <c r="J281" i="15"/>
  <c r="AC280" i="15"/>
  <c r="AC279" i="15" s="1"/>
  <c r="AA280" i="15"/>
  <c r="AA279" i="15" s="1"/>
  <c r="Y280" i="15"/>
  <c r="W280" i="15"/>
  <c r="W279" i="15" s="1"/>
  <c r="V280" i="15"/>
  <c r="V279" i="15" s="1"/>
  <c r="Q280" i="15"/>
  <c r="O280" i="15"/>
  <c r="O279" i="15" s="1"/>
  <c r="M280" i="15"/>
  <c r="M279" i="15" s="1"/>
  <c r="K280" i="15"/>
  <c r="K279" i="15" s="1"/>
  <c r="K278" i="15" s="1"/>
  <c r="Y279" i="15"/>
  <c r="Q279" i="15"/>
  <c r="T278" i="15"/>
  <c r="S278" i="15"/>
  <c r="R278" i="15"/>
  <c r="X277" i="15"/>
  <c r="L277" i="15"/>
  <c r="L276" i="15" s="1"/>
  <c r="L275" i="15" s="1"/>
  <c r="L274" i="15" s="1"/>
  <c r="AC276" i="15"/>
  <c r="AC275" i="15" s="1"/>
  <c r="AC274" i="15" s="1"/>
  <c r="AA276" i="15"/>
  <c r="AA275" i="15" s="1"/>
  <c r="Y276" i="15"/>
  <c r="X276" i="15"/>
  <c r="X275" i="15" s="1"/>
  <c r="X274" i="15" s="1"/>
  <c r="W276" i="15"/>
  <c r="W275" i="15" s="1"/>
  <c r="W274" i="15" s="1"/>
  <c r="V276" i="15"/>
  <c r="Q276" i="15"/>
  <c r="Q275" i="15" s="1"/>
  <c r="Q274" i="15" s="1"/>
  <c r="O276" i="15"/>
  <c r="O275" i="15" s="1"/>
  <c r="O274" i="15" s="1"/>
  <c r="M276" i="15"/>
  <c r="M275" i="15" s="1"/>
  <c r="M274" i="15" s="1"/>
  <c r="K276" i="15"/>
  <c r="K275" i="15" s="1"/>
  <c r="J276" i="15"/>
  <c r="J275" i="15" s="1"/>
  <c r="J274" i="15" s="1"/>
  <c r="Y275" i="15"/>
  <c r="Y274" i="15" s="1"/>
  <c r="V275" i="15"/>
  <c r="V274" i="15" s="1"/>
  <c r="AA274" i="15"/>
  <c r="K274" i="15"/>
  <c r="AA273" i="15"/>
  <c r="AA272" i="15" s="1"/>
  <c r="AA271" i="15" s="1"/>
  <c r="Z273" i="15"/>
  <c r="W273" i="15"/>
  <c r="W272" i="15" s="1"/>
  <c r="W271" i="15" s="1"/>
  <c r="AC272" i="15"/>
  <c r="AB272" i="15"/>
  <c r="AB271" i="15" s="1"/>
  <c r="Y272" i="15"/>
  <c r="Y271" i="15" s="1"/>
  <c r="X272" i="15"/>
  <c r="X271" i="15" s="1"/>
  <c r="V272" i="15"/>
  <c r="U272" i="15"/>
  <c r="AC271" i="15"/>
  <c r="V271" i="15"/>
  <c r="U271" i="15"/>
  <c r="Z270" i="15"/>
  <c r="Z269" i="15" s="1"/>
  <c r="AC269" i="15"/>
  <c r="AC268" i="15" s="1"/>
  <c r="AB269" i="15"/>
  <c r="AB268" i="15" s="1"/>
  <c r="Y269" i="15"/>
  <c r="Y268" i="15" s="1"/>
  <c r="X269" i="15"/>
  <c r="X268" i="15" s="1"/>
  <c r="W269" i="15"/>
  <c r="V269" i="15"/>
  <c r="V268" i="15" s="1"/>
  <c r="U269" i="15"/>
  <c r="U268" i="15" s="1"/>
  <c r="W268" i="15"/>
  <c r="X267" i="15"/>
  <c r="N267" i="15"/>
  <c r="L267" i="15"/>
  <c r="L266" i="15" s="1"/>
  <c r="L265" i="15" s="1"/>
  <c r="AC266" i="15"/>
  <c r="AC265" i="15" s="1"/>
  <c r="AA266" i="15"/>
  <c r="Y266" i="15"/>
  <c r="Y265" i="15" s="1"/>
  <c r="X266" i="15"/>
  <c r="X265" i="15" s="1"/>
  <c r="W266" i="15"/>
  <c r="W265" i="15" s="1"/>
  <c r="V266" i="15"/>
  <c r="V265" i="15" s="1"/>
  <c r="Q266" i="15"/>
  <c r="Q265" i="15" s="1"/>
  <c r="O266" i="15"/>
  <c r="M266" i="15"/>
  <c r="M265" i="15" s="1"/>
  <c r="K266" i="15"/>
  <c r="K265" i="15" s="1"/>
  <c r="J266" i="15"/>
  <c r="J265" i="15" s="1"/>
  <c r="AA265" i="15"/>
  <c r="O265" i="15"/>
  <c r="V264" i="15"/>
  <c r="X264" i="15" s="1"/>
  <c r="X263" i="15" s="1"/>
  <c r="X262" i="15" s="1"/>
  <c r="K264" i="15"/>
  <c r="J264" i="15"/>
  <c r="AC263" i="15"/>
  <c r="AA263" i="15"/>
  <c r="AA262" i="15" s="1"/>
  <c r="Y263" i="15"/>
  <c r="W263" i="15"/>
  <c r="W262" i="15" s="1"/>
  <c r="V263" i="15"/>
  <c r="V262" i="15" s="1"/>
  <c r="Q263" i="15"/>
  <c r="Q262" i="15" s="1"/>
  <c r="O263" i="15"/>
  <c r="O262" i="15" s="1"/>
  <c r="M263" i="15"/>
  <c r="M262" i="15" s="1"/>
  <c r="K263" i="15"/>
  <c r="K262" i="15" s="1"/>
  <c r="AC262" i="15"/>
  <c r="Y262" i="15"/>
  <c r="P261" i="15"/>
  <c r="U261" i="15" s="1"/>
  <c r="AC260" i="15"/>
  <c r="AC259" i="15" s="1"/>
  <c r="AB260" i="15"/>
  <c r="AB259" i="15" s="1"/>
  <c r="Y260" i="15"/>
  <c r="Y259" i="15" s="1"/>
  <c r="X260" i="15"/>
  <c r="X259" i="15" s="1"/>
  <c r="W260" i="15"/>
  <c r="W259" i="15" s="1"/>
  <c r="V260" i="15"/>
  <c r="V259" i="15" s="1"/>
  <c r="Q260" i="15"/>
  <c r="O260" i="15"/>
  <c r="N260" i="15"/>
  <c r="N259" i="15" s="1"/>
  <c r="M260" i="15"/>
  <c r="M259" i="15" s="1"/>
  <c r="L260" i="15"/>
  <c r="L259" i="15" s="1"/>
  <c r="K260" i="15"/>
  <c r="K259" i="15" s="1"/>
  <c r="J260" i="15"/>
  <c r="J259" i="15" s="1"/>
  <c r="Q259" i="15"/>
  <c r="O259" i="15"/>
  <c r="W258" i="15"/>
  <c r="W257" i="15" s="1"/>
  <c r="W256" i="15" s="1"/>
  <c r="L258" i="15"/>
  <c r="AC257" i="15"/>
  <c r="AB257" i="15"/>
  <c r="AB256" i="15" s="1"/>
  <c r="Y257" i="15"/>
  <c r="Y256" i="15" s="1"/>
  <c r="X257" i="15"/>
  <c r="X256" i="15" s="1"/>
  <c r="V257" i="15"/>
  <c r="Q257" i="15"/>
  <c r="Q256" i="15" s="1"/>
  <c r="O257" i="15"/>
  <c r="O256" i="15" s="1"/>
  <c r="M257" i="15"/>
  <c r="M256" i="15" s="1"/>
  <c r="K257" i="15"/>
  <c r="J257" i="15"/>
  <c r="J256" i="15" s="1"/>
  <c r="AC256" i="15"/>
  <c r="V256" i="15"/>
  <c r="K256" i="15"/>
  <c r="L255" i="15"/>
  <c r="N255" i="15" s="1"/>
  <c r="N254" i="15" s="1"/>
  <c r="N253" i="15" s="1"/>
  <c r="AC254" i="15"/>
  <c r="AB254" i="15"/>
  <c r="Y254" i="15"/>
  <c r="X254" i="15"/>
  <c r="W254" i="15"/>
  <c r="V254" i="15"/>
  <c r="V253" i="15" s="1"/>
  <c r="Q254" i="15"/>
  <c r="O254" i="15"/>
  <c r="O253" i="15" s="1"/>
  <c r="M254" i="15"/>
  <c r="M253" i="15" s="1"/>
  <c r="L254" i="15"/>
  <c r="L253" i="15" s="1"/>
  <c r="K254" i="15"/>
  <c r="K253" i="15" s="1"/>
  <c r="J254" i="15"/>
  <c r="J253" i="15" s="1"/>
  <c r="AC253" i="15"/>
  <c r="AB253" i="15"/>
  <c r="Y253" i="15"/>
  <c r="X253" i="15"/>
  <c r="W253" i="15"/>
  <c r="Q253" i="15"/>
  <c r="L252" i="15"/>
  <c r="AC251" i="15"/>
  <c r="AC250" i="15" s="1"/>
  <c r="AB251" i="15"/>
  <c r="AB250" i="15" s="1"/>
  <c r="Y251" i="15"/>
  <c r="Y250" i="15" s="1"/>
  <c r="X251" i="15"/>
  <c r="X250" i="15" s="1"/>
  <c r="W251" i="15"/>
  <c r="V251" i="15"/>
  <c r="Q251" i="15"/>
  <c r="Q250" i="15" s="1"/>
  <c r="O251" i="15"/>
  <c r="O250" i="15" s="1"/>
  <c r="M251" i="15"/>
  <c r="M250" i="15" s="1"/>
  <c r="K251" i="15"/>
  <c r="J251" i="15"/>
  <c r="J250" i="15" s="1"/>
  <c r="W250" i="15"/>
  <c r="V250" i="15"/>
  <c r="K250" i="15"/>
  <c r="Z249" i="15"/>
  <c r="Z248" i="15" s="1"/>
  <c r="AC248" i="15"/>
  <c r="AC247" i="15" s="1"/>
  <c r="AB248" i="15"/>
  <c r="Y248" i="15"/>
  <c r="Y247" i="15" s="1"/>
  <c r="X248" i="15"/>
  <c r="X247" i="15" s="1"/>
  <c r="W248" i="15"/>
  <c r="V248" i="15"/>
  <c r="V247" i="15" s="1"/>
  <c r="U248" i="15"/>
  <c r="U247" i="15" s="1"/>
  <c r="AB247" i="15"/>
  <c r="W247" i="15"/>
  <c r="Q246" i="15"/>
  <c r="Q245" i="15" s="1"/>
  <c r="Q244" i="15" s="1"/>
  <c r="L246" i="15"/>
  <c r="N246" i="15" s="1"/>
  <c r="AC245" i="15"/>
  <c r="AC244" i="15" s="1"/>
  <c r="AA245" i="15"/>
  <c r="AA244" i="15" s="1"/>
  <c r="Y245" i="15"/>
  <c r="Y244" i="15" s="1"/>
  <c r="X245" i="15"/>
  <c r="W245" i="15"/>
  <c r="W244" i="15" s="1"/>
  <c r="V245" i="15"/>
  <c r="V244" i="15" s="1"/>
  <c r="O245" i="15"/>
  <c r="O244" i="15" s="1"/>
  <c r="M245" i="15"/>
  <c r="L245" i="15"/>
  <c r="K245" i="15"/>
  <c r="K244" i="15" s="1"/>
  <c r="J245" i="15"/>
  <c r="J244" i="15" s="1"/>
  <c r="X244" i="15"/>
  <c r="M244" i="15"/>
  <c r="L244" i="15"/>
  <c r="X243" i="15"/>
  <c r="X242" i="15" s="1"/>
  <c r="X241" i="15" s="1"/>
  <c r="N243" i="15"/>
  <c r="L243" i="15"/>
  <c r="AC242" i="15"/>
  <c r="AC241" i="15" s="1"/>
  <c r="AA242" i="15"/>
  <c r="AA241" i="15" s="1"/>
  <c r="Y242" i="15"/>
  <c r="Y241" i="15" s="1"/>
  <c r="W242" i="15"/>
  <c r="W241" i="15" s="1"/>
  <c r="V242" i="15"/>
  <c r="Q242" i="15"/>
  <c r="O242" i="15"/>
  <c r="M242" i="15"/>
  <c r="L242" i="15"/>
  <c r="L241" i="15" s="1"/>
  <c r="K242" i="15"/>
  <c r="J242" i="15"/>
  <c r="J241" i="15" s="1"/>
  <c r="V241" i="15"/>
  <c r="Q241" i="15"/>
  <c r="O241" i="15"/>
  <c r="M241" i="15"/>
  <c r="K241" i="15"/>
  <c r="T240" i="15"/>
  <c r="S240" i="15"/>
  <c r="R240" i="15"/>
  <c r="L239" i="15"/>
  <c r="N239" i="15" s="1"/>
  <c r="P239" i="15" s="1"/>
  <c r="AC238" i="15"/>
  <c r="AC237" i="15" s="1"/>
  <c r="AA238" i="15"/>
  <c r="Y238" i="15"/>
  <c r="Y237" i="15" s="1"/>
  <c r="X238" i="15"/>
  <c r="X237" i="15" s="1"/>
  <c r="W238" i="15"/>
  <c r="W237" i="15" s="1"/>
  <c r="V238" i="15"/>
  <c r="V237" i="15" s="1"/>
  <c r="Q238" i="15"/>
  <c r="Q237" i="15" s="1"/>
  <c r="O238" i="15"/>
  <c r="O237" i="15" s="1"/>
  <c r="M238" i="15"/>
  <c r="K238" i="15"/>
  <c r="K237" i="15" s="1"/>
  <c r="J238" i="15"/>
  <c r="AA237" i="15"/>
  <c r="M237" i="15"/>
  <c r="J237" i="15"/>
  <c r="Z236" i="15"/>
  <c r="P236" i="15"/>
  <c r="U236" i="15" s="1"/>
  <c r="AC235" i="15"/>
  <c r="AC234" i="15" s="1"/>
  <c r="AA235" i="15"/>
  <c r="AA234" i="15" s="1"/>
  <c r="Y235" i="15"/>
  <c r="Y234" i="15" s="1"/>
  <c r="X235" i="15"/>
  <c r="W235" i="15"/>
  <c r="W234" i="15" s="1"/>
  <c r="V235" i="15"/>
  <c r="U235" i="15"/>
  <c r="Q235" i="15"/>
  <c r="P235" i="15"/>
  <c r="X234" i="15"/>
  <c r="V234" i="15"/>
  <c r="Q234" i="15"/>
  <c r="P234" i="15"/>
  <c r="U234" i="15" s="1"/>
  <c r="L233" i="15"/>
  <c r="N233" i="15" s="1"/>
  <c r="N232" i="15" s="1"/>
  <c r="N231" i="15" s="1"/>
  <c r="AC232" i="15"/>
  <c r="AB232" i="15"/>
  <c r="AB231" i="15" s="1"/>
  <c r="Y232" i="15"/>
  <c r="X232" i="15"/>
  <c r="X231" i="15" s="1"/>
  <c r="W232" i="15"/>
  <c r="W231" i="15" s="1"/>
  <c r="V232" i="15"/>
  <c r="V231" i="15" s="1"/>
  <c r="Q232" i="15"/>
  <c r="Q231" i="15" s="1"/>
  <c r="O232" i="15"/>
  <c r="O231" i="15" s="1"/>
  <c r="M232" i="15"/>
  <c r="M231" i="15" s="1"/>
  <c r="K232" i="15"/>
  <c r="J232" i="15"/>
  <c r="J231" i="15" s="1"/>
  <c r="AC231" i="15"/>
  <c r="Y231" i="15"/>
  <c r="K231" i="15"/>
  <c r="J230" i="15"/>
  <c r="J229" i="15" s="1"/>
  <c r="J228" i="15" s="1"/>
  <c r="AC229" i="15"/>
  <c r="AC228" i="15" s="1"/>
  <c r="AB229" i="15"/>
  <c r="AB228" i="15" s="1"/>
  <c r="Y229" i="15"/>
  <c r="X229" i="15"/>
  <c r="X228" i="15" s="1"/>
  <c r="W229" i="15"/>
  <c r="W228" i="15" s="1"/>
  <c r="V229" i="15"/>
  <c r="V228" i="15" s="1"/>
  <c r="Q229" i="15"/>
  <c r="O229" i="15"/>
  <c r="O228" i="15" s="1"/>
  <c r="M229" i="15"/>
  <c r="M228" i="15" s="1"/>
  <c r="K229" i="15"/>
  <c r="K228" i="15" s="1"/>
  <c r="Y228" i="15"/>
  <c r="Q228" i="15"/>
  <c r="Q224" i="15" s="1"/>
  <c r="X227" i="15"/>
  <c r="Q227" i="15"/>
  <c r="J227" i="15"/>
  <c r="L227" i="15" s="1"/>
  <c r="AC226" i="15"/>
  <c r="AC225" i="15" s="1"/>
  <c r="AA226" i="15"/>
  <c r="Y226" i="15"/>
  <c r="Y225" i="15" s="1"/>
  <c r="X226" i="15"/>
  <c r="X225" i="15" s="1"/>
  <c r="W226" i="15"/>
  <c r="V226" i="15"/>
  <c r="V225" i="15" s="1"/>
  <c r="Q226" i="15"/>
  <c r="Q225" i="15" s="1"/>
  <c r="O226" i="15"/>
  <c r="M226" i="15"/>
  <c r="M225" i="15" s="1"/>
  <c r="K226" i="15"/>
  <c r="K225" i="15" s="1"/>
  <c r="AA225" i="15"/>
  <c r="W225" i="15"/>
  <c r="O225" i="15"/>
  <c r="T224" i="15"/>
  <c r="S224" i="15"/>
  <c r="R224" i="15"/>
  <c r="N221" i="15"/>
  <c r="N220" i="15" s="1"/>
  <c r="N219" i="15" s="1"/>
  <c r="L221" i="15"/>
  <c r="L220" i="15" s="1"/>
  <c r="L219" i="15" s="1"/>
  <c r="AB220" i="15"/>
  <c r="AB219" i="15" s="1"/>
  <c r="AA220" i="15"/>
  <c r="Y220" i="15"/>
  <c r="Y219" i="15" s="1"/>
  <c r="X220" i="15"/>
  <c r="X219" i="15" s="1"/>
  <c r="W220" i="15"/>
  <c r="W219" i="15" s="1"/>
  <c r="V220" i="15"/>
  <c r="Q220" i="15"/>
  <c r="Q219" i="15" s="1"/>
  <c r="O220" i="15"/>
  <c r="O219" i="15" s="1"/>
  <c r="M220" i="15"/>
  <c r="M219" i="15" s="1"/>
  <c r="K220" i="15"/>
  <c r="K219" i="15" s="1"/>
  <c r="J220" i="15"/>
  <c r="AA219" i="15"/>
  <c r="V219" i="15"/>
  <c r="J219" i="15"/>
  <c r="L218" i="15"/>
  <c r="N218" i="15" s="1"/>
  <c r="N217" i="15" s="1"/>
  <c r="N216" i="15" s="1"/>
  <c r="AC217" i="15"/>
  <c r="AC216" i="15" s="1"/>
  <c r="AA217" i="15"/>
  <c r="Y217" i="15"/>
  <c r="Y216" i="15" s="1"/>
  <c r="Y215" i="15" s="1"/>
  <c r="Y214" i="15" s="1"/>
  <c r="X217" i="15"/>
  <c r="X216" i="15" s="1"/>
  <c r="W217" i="15"/>
  <c r="W216" i="15" s="1"/>
  <c r="W215" i="15" s="1"/>
  <c r="W214" i="15" s="1"/>
  <c r="V217" i="15"/>
  <c r="Q217" i="15"/>
  <c r="Q216" i="15" s="1"/>
  <c r="Q215" i="15" s="1"/>
  <c r="Q214" i="15" s="1"/>
  <c r="O217" i="15"/>
  <c r="O216" i="15" s="1"/>
  <c r="O215" i="15" s="1"/>
  <c r="O214" i="15" s="1"/>
  <c r="M217" i="15"/>
  <c r="M216" i="15" s="1"/>
  <c r="M215" i="15" s="1"/>
  <c r="M214" i="15" s="1"/>
  <c r="K217" i="15"/>
  <c r="K216" i="15" s="1"/>
  <c r="J217" i="15"/>
  <c r="AA216" i="15"/>
  <c r="AA215" i="15" s="1"/>
  <c r="AA214" i="15" s="1"/>
  <c r="V216" i="15"/>
  <c r="V215" i="15" s="1"/>
  <c r="V214" i="15" s="1"/>
  <c r="J216" i="15"/>
  <c r="J215" i="15" s="1"/>
  <c r="X215" i="15"/>
  <c r="X214" i="15" s="1"/>
  <c r="N213" i="15"/>
  <c r="P213" i="15" s="1"/>
  <c r="U213" i="15" s="1"/>
  <c r="L213" i="15"/>
  <c r="AC212" i="15"/>
  <c r="AA212" i="15"/>
  <c r="Y212" i="15"/>
  <c r="W212" i="15"/>
  <c r="V212" i="15"/>
  <c r="X213" i="15" s="1"/>
  <c r="X212" i="15" s="1"/>
  <c r="Q212" i="15"/>
  <c r="O212" i="15"/>
  <c r="M212" i="15"/>
  <c r="K212" i="15"/>
  <c r="L212" i="15" s="1"/>
  <c r="N212" i="15" s="1"/>
  <c r="J212" i="15"/>
  <c r="L211" i="15"/>
  <c r="N211" i="15" s="1"/>
  <c r="AC210" i="15"/>
  <c r="AA210" i="15"/>
  <c r="AA209" i="15" s="1"/>
  <c r="AA208" i="15" s="1"/>
  <c r="Y210" i="15"/>
  <c r="X210" i="15"/>
  <c r="X209" i="15" s="1"/>
  <c r="X208" i="15" s="1"/>
  <c r="W210" i="15"/>
  <c r="W209" i="15" s="1"/>
  <c r="W208" i="15" s="1"/>
  <c r="V210" i="15"/>
  <c r="V209" i="15" s="1"/>
  <c r="V208" i="15" s="1"/>
  <c r="Q210" i="15"/>
  <c r="Q209" i="15" s="1"/>
  <c r="Q208" i="15" s="1"/>
  <c r="O210" i="15"/>
  <c r="O209" i="15" s="1"/>
  <c r="O208" i="15" s="1"/>
  <c r="M210" i="15"/>
  <c r="M209" i="15" s="1"/>
  <c r="M208" i="15" s="1"/>
  <c r="K210" i="15"/>
  <c r="J210" i="15"/>
  <c r="J209" i="15" s="1"/>
  <c r="J208" i="15" s="1"/>
  <c r="K209" i="15"/>
  <c r="K208" i="15" s="1"/>
  <c r="L207" i="15"/>
  <c r="N207" i="15" s="1"/>
  <c r="AC206" i="15"/>
  <c r="AB206" i="15"/>
  <c r="AB205" i="15" s="1"/>
  <c r="Y206" i="15"/>
  <c r="X206" i="15"/>
  <c r="X205" i="15" s="1"/>
  <c r="W206" i="15"/>
  <c r="W205" i="15" s="1"/>
  <c r="V206" i="15"/>
  <c r="V204" i="15" s="1"/>
  <c r="Q206" i="15"/>
  <c r="Q205" i="15" s="1"/>
  <c r="O206" i="15"/>
  <c r="O204" i="15" s="1"/>
  <c r="M206" i="15"/>
  <c r="M205" i="15" s="1"/>
  <c r="K206" i="15"/>
  <c r="K204" i="15" s="1"/>
  <c r="J206" i="15"/>
  <c r="J204" i="15" s="1"/>
  <c r="AC205" i="15"/>
  <c r="Y205" i="15"/>
  <c r="AC204" i="15"/>
  <c r="Y204" i="15"/>
  <c r="Q204" i="15"/>
  <c r="M204" i="15"/>
  <c r="L203" i="15"/>
  <c r="N203" i="15" s="1"/>
  <c r="AC202" i="15"/>
  <c r="AC201" i="15" s="1"/>
  <c r="AA202" i="15"/>
  <c r="AA201" i="15" s="1"/>
  <c r="Y202" i="15"/>
  <c r="Y201" i="15" s="1"/>
  <c r="X202" i="15"/>
  <c r="X201" i="15" s="1"/>
  <c r="W202" i="15"/>
  <c r="W201" i="15" s="1"/>
  <c r="V202" i="15"/>
  <c r="V201" i="15" s="1"/>
  <c r="Q202" i="15"/>
  <c r="O202" i="15"/>
  <c r="O201" i="15" s="1"/>
  <c r="M202" i="15"/>
  <c r="K202" i="15"/>
  <c r="K201" i="15" s="1"/>
  <c r="K194" i="15" s="1"/>
  <c r="J202" i="15"/>
  <c r="J201" i="15" s="1"/>
  <c r="J194" i="15" s="1"/>
  <c r="Q201" i="15"/>
  <c r="M201" i="15"/>
  <c r="M194" i="15" s="1"/>
  <c r="W200" i="15"/>
  <c r="U200" i="15"/>
  <c r="L200" i="15"/>
  <c r="N200" i="15" s="1"/>
  <c r="N199" i="15" s="1"/>
  <c r="N198" i="15" s="1"/>
  <c r="AC199" i="15"/>
  <c r="AC198" i="15" s="1"/>
  <c r="AB199" i="15"/>
  <c r="Y199" i="15"/>
  <c r="Y198" i="15" s="1"/>
  <c r="X199" i="15"/>
  <c r="X198" i="15" s="1"/>
  <c r="W199" i="15"/>
  <c r="W198" i="15" s="1"/>
  <c r="V199" i="15"/>
  <c r="V198" i="15" s="1"/>
  <c r="U199" i="15"/>
  <c r="U198" i="15" s="1"/>
  <c r="Q199" i="15"/>
  <c r="Q198" i="15" s="1"/>
  <c r="P199" i="15"/>
  <c r="P198" i="15" s="1"/>
  <c r="O199" i="15"/>
  <c r="O198" i="15" s="1"/>
  <c r="M199" i="15"/>
  <c r="M198" i="15" s="1"/>
  <c r="K199" i="15"/>
  <c r="K198" i="15" s="1"/>
  <c r="J199" i="15"/>
  <c r="J198" i="15" s="1"/>
  <c r="AB198" i="15"/>
  <c r="X197" i="15"/>
  <c r="X196" i="15" s="1"/>
  <c r="X195" i="15" s="1"/>
  <c r="X194" i="15" s="1"/>
  <c r="P197" i="15"/>
  <c r="U197" i="15" s="1"/>
  <c r="AC196" i="15"/>
  <c r="AC195" i="15" s="1"/>
  <c r="AC194" i="15" s="1"/>
  <c r="AA196" i="15"/>
  <c r="Y196" i="15"/>
  <c r="Y195" i="15" s="1"/>
  <c r="Y194" i="15" s="1"/>
  <c r="W196" i="15"/>
  <c r="V196" i="15"/>
  <c r="V195" i="15" s="1"/>
  <c r="Q196" i="15"/>
  <c r="Q195" i="15" s="1"/>
  <c r="O196" i="15"/>
  <c r="O195" i="15" s="1"/>
  <c r="N196" i="15"/>
  <c r="N195" i="15" s="1"/>
  <c r="M196" i="15"/>
  <c r="M195" i="15" s="1"/>
  <c r="L196" i="15"/>
  <c r="L195" i="15" s="1"/>
  <c r="K196" i="15"/>
  <c r="K195" i="15" s="1"/>
  <c r="J196" i="15"/>
  <c r="J195" i="15" s="1"/>
  <c r="AA195" i="15"/>
  <c r="W195" i="15"/>
  <c r="W194" i="15" s="1"/>
  <c r="L193" i="15"/>
  <c r="N193" i="15" s="1"/>
  <c r="AC192" i="15"/>
  <c r="AC191" i="15" s="1"/>
  <c r="AC190" i="15" s="1"/>
  <c r="AA192" i="15"/>
  <c r="AA191" i="15" s="1"/>
  <c r="AA190" i="15" s="1"/>
  <c r="Y192" i="15"/>
  <c r="Y191" i="15" s="1"/>
  <c r="Y190" i="15" s="1"/>
  <c r="X192" i="15"/>
  <c r="X191" i="15" s="1"/>
  <c r="X190" i="15" s="1"/>
  <c r="W192" i="15"/>
  <c r="W191" i="15" s="1"/>
  <c r="W190" i="15" s="1"/>
  <c r="V192" i="15"/>
  <c r="Q192" i="15"/>
  <c r="Q191" i="15" s="1"/>
  <c r="Q190" i="15" s="1"/>
  <c r="O192" i="15"/>
  <c r="O191" i="15" s="1"/>
  <c r="O190" i="15" s="1"/>
  <c r="M192" i="15"/>
  <c r="M191" i="15" s="1"/>
  <c r="M190" i="15" s="1"/>
  <c r="K192" i="15"/>
  <c r="J192" i="15"/>
  <c r="J191" i="15" s="1"/>
  <c r="J190" i="15" s="1"/>
  <c r="V191" i="15"/>
  <c r="V190" i="15" s="1"/>
  <c r="K191" i="15"/>
  <c r="K190" i="15" s="1"/>
  <c r="T189" i="15"/>
  <c r="S189" i="15"/>
  <c r="R189" i="15"/>
  <c r="L188" i="15"/>
  <c r="AC187" i="15"/>
  <c r="AC186" i="15" s="1"/>
  <c r="AC185" i="15" s="1"/>
  <c r="AA187" i="15"/>
  <c r="AA186" i="15" s="1"/>
  <c r="AA185" i="15" s="1"/>
  <c r="Y187" i="15"/>
  <c r="Y186" i="15" s="1"/>
  <c r="Y185" i="15" s="1"/>
  <c r="X187" i="15"/>
  <c r="X186" i="15" s="1"/>
  <c r="X185" i="15" s="1"/>
  <c r="W187" i="15"/>
  <c r="V187" i="15"/>
  <c r="V186" i="15" s="1"/>
  <c r="Q187" i="15"/>
  <c r="Q186" i="15" s="1"/>
  <c r="Q185" i="15" s="1"/>
  <c r="O187" i="15"/>
  <c r="O186" i="15" s="1"/>
  <c r="O185" i="15" s="1"/>
  <c r="M187" i="15"/>
  <c r="M186" i="15" s="1"/>
  <c r="M185" i="15" s="1"/>
  <c r="K187" i="15"/>
  <c r="K186" i="15" s="1"/>
  <c r="K185" i="15" s="1"/>
  <c r="J187" i="15"/>
  <c r="J186" i="15" s="1"/>
  <c r="J185" i="15" s="1"/>
  <c r="W186" i="15"/>
  <c r="W185" i="15" s="1"/>
  <c r="V185" i="15"/>
  <c r="U184" i="15"/>
  <c r="AC183" i="15"/>
  <c r="AB183" i="15"/>
  <c r="AB182" i="15" s="1"/>
  <c r="Y183" i="15"/>
  <c r="Y182" i="15" s="1"/>
  <c r="X183" i="15"/>
  <c r="X182" i="15" s="1"/>
  <c r="W183" i="15"/>
  <c r="W182" i="15" s="1"/>
  <c r="V183" i="15"/>
  <c r="Q183" i="15"/>
  <c r="Q182" i="15" s="1"/>
  <c r="P183" i="15"/>
  <c r="P182" i="15" s="1"/>
  <c r="AC182" i="15"/>
  <c r="V182" i="15"/>
  <c r="K181" i="15"/>
  <c r="L181" i="15" s="1"/>
  <c r="L180" i="15" s="1"/>
  <c r="L179" i="15" s="1"/>
  <c r="AC180" i="15"/>
  <c r="AC179" i="15" s="1"/>
  <c r="AA180" i="15"/>
  <c r="AA179" i="15" s="1"/>
  <c r="Y180" i="15"/>
  <c r="Y179" i="15" s="1"/>
  <c r="X180" i="15"/>
  <c r="W180" i="15"/>
  <c r="W179" i="15" s="1"/>
  <c r="V180" i="15"/>
  <c r="V179" i="15" s="1"/>
  <c r="Q180" i="15"/>
  <c r="O180" i="15"/>
  <c r="O179" i="15" s="1"/>
  <c r="M180" i="15"/>
  <c r="M179" i="15" s="1"/>
  <c r="K180" i="15"/>
  <c r="K179" i="15" s="1"/>
  <c r="J180" i="15"/>
  <c r="J179" i="15" s="1"/>
  <c r="X179" i="15"/>
  <c r="Q179" i="15"/>
  <c r="L178" i="15"/>
  <c r="N178" i="15" s="1"/>
  <c r="P178" i="15" s="1"/>
  <c r="AC177" i="15"/>
  <c r="AC176" i="15" s="1"/>
  <c r="AA177" i="15"/>
  <c r="AA176" i="15" s="1"/>
  <c r="Y177" i="15"/>
  <c r="W177" i="15"/>
  <c r="V177" i="15"/>
  <c r="V176" i="15" s="1"/>
  <c r="Q177" i="15"/>
  <c r="Q176" i="15" s="1"/>
  <c r="O177" i="15"/>
  <c r="O176" i="15" s="1"/>
  <c r="N177" i="15"/>
  <c r="M177" i="15"/>
  <c r="M176" i="15" s="1"/>
  <c r="L177" i="15"/>
  <c r="L176" i="15" s="1"/>
  <c r="K177" i="15"/>
  <c r="K176" i="15" s="1"/>
  <c r="J177" i="15"/>
  <c r="J176" i="15" s="1"/>
  <c r="Y176" i="15"/>
  <c r="W176" i="15"/>
  <c r="N176" i="15"/>
  <c r="Q175" i="15"/>
  <c r="L175" i="15"/>
  <c r="N175" i="15" s="1"/>
  <c r="AC174" i="15"/>
  <c r="AC173" i="15" s="1"/>
  <c r="AB174" i="15"/>
  <c r="AA174" i="15"/>
  <c r="AA173" i="15" s="1"/>
  <c r="Y174" i="15"/>
  <c r="X174" i="15"/>
  <c r="W174" i="15"/>
  <c r="W173" i="15" s="1"/>
  <c r="V174" i="15"/>
  <c r="V173" i="15" s="1"/>
  <c r="Q174" i="15"/>
  <c r="Q173" i="15" s="1"/>
  <c r="O174" i="15"/>
  <c r="O173" i="15" s="1"/>
  <c r="M174" i="15"/>
  <c r="L174" i="15"/>
  <c r="L173" i="15" s="1"/>
  <c r="K174" i="15"/>
  <c r="J174" i="15"/>
  <c r="AB173" i="15"/>
  <c r="Y173" i="15"/>
  <c r="X173" i="15"/>
  <c r="M173" i="15"/>
  <c r="K173" i="15"/>
  <c r="J173" i="15"/>
  <c r="U172" i="15"/>
  <c r="Z172" i="15" s="1"/>
  <c r="Q171" i="15"/>
  <c r="J171" i="15"/>
  <c r="L171" i="15" s="1"/>
  <c r="AB170" i="15"/>
  <c r="AB169" i="15" s="1"/>
  <c r="AA170" i="15"/>
  <c r="AA169" i="15" s="1"/>
  <c r="Y170" i="15"/>
  <c r="Y169" i="15" s="1"/>
  <c r="X170" i="15"/>
  <c r="X169" i="15" s="1"/>
  <c r="W170" i="15"/>
  <c r="W169" i="15" s="1"/>
  <c r="V170" i="15"/>
  <c r="Q170" i="15"/>
  <c r="Q169" i="15" s="1"/>
  <c r="O170" i="15"/>
  <c r="O169" i="15" s="1"/>
  <c r="M170" i="15"/>
  <c r="M169" i="15" s="1"/>
  <c r="K170" i="15"/>
  <c r="V169" i="15"/>
  <c r="K169" i="15"/>
  <c r="Y168" i="15"/>
  <c r="Y167" i="15" s="1"/>
  <c r="Y166" i="15" s="1"/>
  <c r="O168" i="15"/>
  <c r="J168" i="15"/>
  <c r="L168" i="15" s="1"/>
  <c r="AB167" i="15"/>
  <c r="AB166" i="15" s="1"/>
  <c r="AA167" i="15"/>
  <c r="X167" i="15"/>
  <c r="X166" i="15" s="1"/>
  <c r="W167" i="15"/>
  <c r="V167" i="15"/>
  <c r="Q167" i="15"/>
  <c r="Q166" i="15" s="1"/>
  <c r="O167" i="15"/>
  <c r="O166" i="15" s="1"/>
  <c r="M167" i="15"/>
  <c r="M166" i="15" s="1"/>
  <c r="K167" i="15"/>
  <c r="AA166" i="15"/>
  <c r="W166" i="15"/>
  <c r="V166" i="15"/>
  <c r="K166" i="15"/>
  <c r="J165" i="15"/>
  <c r="L165" i="15" s="1"/>
  <c r="N165" i="15" s="1"/>
  <c r="AC164" i="15"/>
  <c r="AC163" i="15" s="1"/>
  <c r="AA164" i="15"/>
  <c r="AA163" i="15" s="1"/>
  <c r="Y164" i="15"/>
  <c r="Y163" i="15" s="1"/>
  <c r="X164" i="15"/>
  <c r="W164" i="15"/>
  <c r="W163" i="15" s="1"/>
  <c r="V164" i="15"/>
  <c r="V163" i="15" s="1"/>
  <c r="Q164" i="15"/>
  <c r="Q163" i="15" s="1"/>
  <c r="O164" i="15"/>
  <c r="O163" i="15" s="1"/>
  <c r="M164" i="15"/>
  <c r="K164" i="15"/>
  <c r="K163" i="15" s="1"/>
  <c r="J164" i="15"/>
  <c r="J163" i="15" s="1"/>
  <c r="X163" i="15"/>
  <c r="M163" i="15"/>
  <c r="L162" i="15"/>
  <c r="N162" i="15" s="1"/>
  <c r="J162" i="15"/>
  <c r="AC161" i="15"/>
  <c r="AC160" i="15" s="1"/>
  <c r="AA161" i="15"/>
  <c r="AA160" i="15" s="1"/>
  <c r="Y161" i="15"/>
  <c r="Y160" i="15" s="1"/>
  <c r="X161" i="15"/>
  <c r="X160" i="15" s="1"/>
  <c r="W161" i="15"/>
  <c r="V161" i="15"/>
  <c r="V160" i="15" s="1"/>
  <c r="Q161" i="15"/>
  <c r="Q160" i="15" s="1"/>
  <c r="O161" i="15"/>
  <c r="M161" i="15"/>
  <c r="M160" i="15" s="1"/>
  <c r="K161" i="15"/>
  <c r="J161" i="15"/>
  <c r="W160" i="15"/>
  <c r="O160" i="15"/>
  <c r="K160" i="15"/>
  <c r="J160" i="15"/>
  <c r="T158" i="15"/>
  <c r="S158" i="15"/>
  <c r="R158" i="15"/>
  <c r="V157" i="15"/>
  <c r="M157" i="15"/>
  <c r="M156" i="15" s="1"/>
  <c r="M153" i="15" s="1"/>
  <c r="J157" i="15"/>
  <c r="J156" i="15" s="1"/>
  <c r="AC156" i="15"/>
  <c r="AA156" i="15"/>
  <c r="AA153" i="15" s="1"/>
  <c r="Y156" i="15"/>
  <c r="Y153" i="15" s="1"/>
  <c r="X156" i="15"/>
  <c r="X153" i="15" s="1"/>
  <c r="W156" i="15"/>
  <c r="W153" i="15" s="1"/>
  <c r="W149" i="15" s="1"/>
  <c r="W148" i="15" s="1"/>
  <c r="V156" i="15"/>
  <c r="V153" i="15" s="1"/>
  <c r="Q156" i="15"/>
  <c r="O156" i="15"/>
  <c r="O153" i="15" s="1"/>
  <c r="K156" i="15"/>
  <c r="L155" i="15"/>
  <c r="N155" i="15" s="1"/>
  <c r="P155" i="15" s="1"/>
  <c r="U155" i="15" s="1"/>
  <c r="J154" i="15"/>
  <c r="J153" i="15" s="1"/>
  <c r="AC153" i="15"/>
  <c r="Q153" i="15"/>
  <c r="K153" i="15"/>
  <c r="L152" i="15"/>
  <c r="L151" i="15" s="1"/>
  <c r="L150" i="15" s="1"/>
  <c r="AC151" i="15"/>
  <c r="AB151" i="15"/>
  <c r="Y151" i="15"/>
  <c r="X151" i="15"/>
  <c r="X150" i="15" s="1"/>
  <c r="X149" i="15" s="1"/>
  <c r="X148" i="15" s="1"/>
  <c r="W151" i="15"/>
  <c r="W150" i="15" s="1"/>
  <c r="V151" i="15"/>
  <c r="Q151" i="15"/>
  <c r="Q150" i="15" s="1"/>
  <c r="O151" i="15"/>
  <c r="O150" i="15" s="1"/>
  <c r="O149" i="15" s="1"/>
  <c r="O148" i="15" s="1"/>
  <c r="M151" i="15"/>
  <c r="M150" i="15" s="1"/>
  <c r="K151" i="15"/>
  <c r="K150" i="15" s="1"/>
  <c r="K149" i="15" s="1"/>
  <c r="K148" i="15" s="1"/>
  <c r="J151" i="15"/>
  <c r="J150" i="15" s="1"/>
  <c r="AC150" i="15"/>
  <c r="AB150" i="15"/>
  <c r="Y150" i="15"/>
  <c r="V150" i="15"/>
  <c r="V149" i="15" s="1"/>
  <c r="V148" i="15" s="1"/>
  <c r="U147" i="15"/>
  <c r="Z147" i="15" s="1"/>
  <c r="AC146" i="15"/>
  <c r="AC145" i="15" s="1"/>
  <c r="AB146" i="15"/>
  <c r="AB145" i="15" s="1"/>
  <c r="Y146" i="15"/>
  <c r="Y145" i="15" s="1"/>
  <c r="X146" i="15"/>
  <c r="W146" i="15"/>
  <c r="V146" i="15"/>
  <c r="V145" i="15" s="1"/>
  <c r="U146" i="15"/>
  <c r="U145" i="15" s="1"/>
  <c r="Q146" i="15"/>
  <c r="P146" i="15"/>
  <c r="O146" i="15"/>
  <c r="N146" i="15"/>
  <c r="M146" i="15"/>
  <c r="L146" i="15"/>
  <c r="K146" i="15"/>
  <c r="J146" i="15"/>
  <c r="X145" i="15"/>
  <c r="W145" i="15"/>
  <c r="Q145" i="15"/>
  <c r="P145" i="15"/>
  <c r="Q144" i="15"/>
  <c r="U144" i="15" s="1"/>
  <c r="P144" i="15"/>
  <c r="AC143" i="15"/>
  <c r="AA143" i="15"/>
  <c r="Y143" i="15"/>
  <c r="W143" i="15"/>
  <c r="V143" i="15"/>
  <c r="X144" i="15" s="1"/>
  <c r="X143" i="15" s="1"/>
  <c r="X142" i="15" s="1"/>
  <c r="Q143" i="15"/>
  <c r="P143" i="15"/>
  <c r="AC142" i="15"/>
  <c r="AA142" i="15"/>
  <c r="Y142" i="15"/>
  <c r="W142" i="15"/>
  <c r="V142" i="15"/>
  <c r="Q142" i="15"/>
  <c r="P142" i="15"/>
  <c r="Q141" i="15"/>
  <c r="Q140" i="15" s="1"/>
  <c r="L141" i="15"/>
  <c r="N141" i="15" s="1"/>
  <c r="P141" i="15" s="1"/>
  <c r="AC140" i="15"/>
  <c r="AC139" i="15" s="1"/>
  <c r="AA140" i="15"/>
  <c r="AA139" i="15" s="1"/>
  <c r="Y140" i="15"/>
  <c r="X140" i="15"/>
  <c r="X139" i="15" s="1"/>
  <c r="W140" i="15"/>
  <c r="W139" i="15" s="1"/>
  <c r="V140" i="15"/>
  <c r="V139" i="15" s="1"/>
  <c r="O140" i="15"/>
  <c r="O139" i="15" s="1"/>
  <c r="N140" i="15"/>
  <c r="N139" i="15" s="1"/>
  <c r="M140" i="15"/>
  <c r="M139" i="15" s="1"/>
  <c r="K140" i="15"/>
  <c r="K139" i="15" s="1"/>
  <c r="J140" i="15"/>
  <c r="J139" i="15" s="1"/>
  <c r="Y139" i="15"/>
  <c r="Q139" i="15"/>
  <c r="L138" i="15"/>
  <c r="L137" i="15" s="1"/>
  <c r="L136" i="15" s="1"/>
  <c r="AC137" i="15"/>
  <c r="AA137" i="15"/>
  <c r="AA136" i="15" s="1"/>
  <c r="Y137" i="15"/>
  <c r="Y136" i="15" s="1"/>
  <c r="X137" i="15"/>
  <c r="X136" i="15" s="1"/>
  <c r="W137" i="15"/>
  <c r="W136" i="15" s="1"/>
  <c r="V137" i="15"/>
  <c r="Q137" i="15"/>
  <c r="Q136" i="15" s="1"/>
  <c r="O137" i="15"/>
  <c r="O136" i="15" s="1"/>
  <c r="M137" i="15"/>
  <c r="M136" i="15" s="1"/>
  <c r="K137" i="15"/>
  <c r="K136" i="15" s="1"/>
  <c r="J137" i="15"/>
  <c r="AC136" i="15"/>
  <c r="V136" i="15"/>
  <c r="J136" i="15"/>
  <c r="L135" i="15"/>
  <c r="N135" i="15" s="1"/>
  <c r="AC134" i="15"/>
  <c r="AC133" i="15" s="1"/>
  <c r="AA134" i="15"/>
  <c r="Y134" i="15"/>
  <c r="Y133" i="15" s="1"/>
  <c r="W134" i="15"/>
  <c r="W133" i="15" s="1"/>
  <c r="V134" i="15"/>
  <c r="X135" i="15" s="1"/>
  <c r="X134" i="15" s="1"/>
  <c r="X133" i="15" s="1"/>
  <c r="Q134" i="15"/>
  <c r="O134" i="15"/>
  <c r="O133" i="15" s="1"/>
  <c r="M134" i="15"/>
  <c r="M133" i="15" s="1"/>
  <c r="K134" i="15"/>
  <c r="K133" i="15" s="1"/>
  <c r="J134" i="15"/>
  <c r="J133" i="15" s="1"/>
  <c r="AA133" i="15"/>
  <c r="Q133" i="15"/>
  <c r="L132" i="15"/>
  <c r="N132" i="15" s="1"/>
  <c r="P132" i="15" s="1"/>
  <c r="AC131" i="15"/>
  <c r="AC130" i="15" s="1"/>
  <c r="AC129" i="15" s="1"/>
  <c r="AB131" i="15"/>
  <c r="AB130" i="15" s="1"/>
  <c r="Y131" i="15"/>
  <c r="Y130" i="15" s="1"/>
  <c r="X131" i="15"/>
  <c r="X130" i="15" s="1"/>
  <c r="W131" i="15"/>
  <c r="V131" i="15"/>
  <c r="Q131" i="15"/>
  <c r="Q130" i="15" s="1"/>
  <c r="O131" i="15"/>
  <c r="M131" i="15"/>
  <c r="M130" i="15" s="1"/>
  <c r="K131" i="15"/>
  <c r="J131" i="15"/>
  <c r="J130" i="15" s="1"/>
  <c r="W130" i="15"/>
  <c r="V130" i="15"/>
  <c r="O130" i="15"/>
  <c r="K130" i="15"/>
  <c r="J128" i="15"/>
  <c r="L128" i="15" s="1"/>
  <c r="AC127" i="15"/>
  <c r="AC126" i="15" s="1"/>
  <c r="AC125" i="15" s="1"/>
  <c r="AA127" i="15"/>
  <c r="Y127" i="15"/>
  <c r="Y126" i="15" s="1"/>
  <c r="Y125" i="15" s="1"/>
  <c r="W127" i="15"/>
  <c r="V127" i="15"/>
  <c r="X128" i="15" s="1"/>
  <c r="X127" i="15" s="1"/>
  <c r="X126" i="15" s="1"/>
  <c r="X125" i="15" s="1"/>
  <c r="Q127" i="15"/>
  <c r="O127" i="15"/>
  <c r="O126" i="15" s="1"/>
  <c r="O125" i="15" s="1"/>
  <c r="M127" i="15"/>
  <c r="K127" i="15"/>
  <c r="K126" i="15" s="1"/>
  <c r="K125" i="15" s="1"/>
  <c r="J127" i="15"/>
  <c r="J126" i="15" s="1"/>
  <c r="J125" i="15" s="1"/>
  <c r="AA126" i="15"/>
  <c r="AA125" i="15" s="1"/>
  <c r="W126" i="15"/>
  <c r="W125" i="15" s="1"/>
  <c r="Q126" i="15"/>
  <c r="Q125" i="15" s="1"/>
  <c r="M126" i="15"/>
  <c r="M125" i="15" s="1"/>
  <c r="T124" i="15"/>
  <c r="R124" i="15"/>
  <c r="Z123" i="15"/>
  <c r="Z122" i="15" s="1"/>
  <c r="Y122" i="15"/>
  <c r="Y121" i="15" s="1"/>
  <c r="X122" i="15"/>
  <c r="W122" i="15"/>
  <c r="W121" i="15" s="1"/>
  <c r="V122" i="15"/>
  <c r="V121" i="15" s="1"/>
  <c r="U122" i="15"/>
  <c r="U121" i="15" s="1"/>
  <c r="X121" i="15"/>
  <c r="L120" i="15"/>
  <c r="N120" i="15" s="1"/>
  <c r="AC119" i="15"/>
  <c r="AA119" i="15"/>
  <c r="AA118" i="15" s="1"/>
  <c r="Y119" i="15"/>
  <c r="Y118" i="15" s="1"/>
  <c r="X119" i="15"/>
  <c r="X118" i="15" s="1"/>
  <c r="W119" i="15"/>
  <c r="W118" i="15" s="1"/>
  <c r="V119" i="15"/>
  <c r="V118" i="15" s="1"/>
  <c r="Q119" i="15"/>
  <c r="Q118" i="15" s="1"/>
  <c r="O119" i="15"/>
  <c r="M119" i="15"/>
  <c r="M118" i="15" s="1"/>
  <c r="L119" i="15"/>
  <c r="L118" i="15" s="1"/>
  <c r="K119" i="15"/>
  <c r="K118" i="15" s="1"/>
  <c r="J119" i="15"/>
  <c r="AC118" i="15"/>
  <c r="O118" i="15"/>
  <c r="J118" i="15"/>
  <c r="Z117" i="15"/>
  <c r="Z116" i="15" s="1"/>
  <c r="Y116" i="15"/>
  <c r="Y115" i="15" s="1"/>
  <c r="X116" i="15"/>
  <c r="X115" i="15" s="1"/>
  <c r="W116" i="15"/>
  <c r="W115" i="15" s="1"/>
  <c r="V116" i="15"/>
  <c r="V115" i="15" s="1"/>
  <c r="U116" i="15"/>
  <c r="U115" i="15" s="1"/>
  <c r="W114" i="15"/>
  <c r="W113" i="15" s="1"/>
  <c r="L114" i="15"/>
  <c r="N114" i="15" s="1"/>
  <c r="AC113" i="15"/>
  <c r="AB113" i="15"/>
  <c r="Y113" i="15"/>
  <c r="X113" i="15"/>
  <c r="V113" i="15"/>
  <c r="Q113" i="15"/>
  <c r="O113" i="15"/>
  <c r="M113" i="15"/>
  <c r="L113" i="15"/>
  <c r="K113" i="15"/>
  <c r="J113" i="15"/>
  <c r="W112" i="15"/>
  <c r="L112" i="15"/>
  <c r="N112" i="15" s="1"/>
  <c r="P112" i="15" s="1"/>
  <c r="AC111" i="15"/>
  <c r="AB111" i="15"/>
  <c r="Y111" i="15"/>
  <c r="Y110" i="15" s="1"/>
  <c r="X111" i="15"/>
  <c r="X110" i="15" s="1"/>
  <c r="W111" i="15"/>
  <c r="V111" i="15"/>
  <c r="Q111" i="15"/>
  <c r="O111" i="15"/>
  <c r="M111" i="15"/>
  <c r="M110" i="15" s="1"/>
  <c r="K111" i="15"/>
  <c r="J111" i="15"/>
  <c r="L111" i="15" s="1"/>
  <c r="N111" i="15" s="1"/>
  <c r="AC110" i="15"/>
  <c r="AC109" i="15" s="1"/>
  <c r="V110" i="15"/>
  <c r="O110" i="15"/>
  <c r="K110" i="15"/>
  <c r="Q108" i="15"/>
  <c r="Q107" i="15" s="1"/>
  <c r="Q106" i="15" s="1"/>
  <c r="L108" i="15"/>
  <c r="N108" i="15" s="1"/>
  <c r="AC107" i="15"/>
  <c r="AC106" i="15" s="1"/>
  <c r="AA107" i="15"/>
  <c r="Y107" i="15"/>
  <c r="Y106" i="15" s="1"/>
  <c r="X107" i="15"/>
  <c r="W107" i="15"/>
  <c r="W106" i="15" s="1"/>
  <c r="V107" i="15"/>
  <c r="V106" i="15" s="1"/>
  <c r="O107" i="15"/>
  <c r="O106" i="15" s="1"/>
  <c r="O99" i="15" s="1"/>
  <c r="M107" i="15"/>
  <c r="L107" i="15"/>
  <c r="L106" i="15" s="1"/>
  <c r="L99" i="15" s="1"/>
  <c r="K107" i="15"/>
  <c r="K106" i="15" s="1"/>
  <c r="K99" i="15" s="1"/>
  <c r="J107" i="15"/>
  <c r="J106" i="15" s="1"/>
  <c r="J99" i="15" s="1"/>
  <c r="AA106" i="15"/>
  <c r="X106" i="15"/>
  <c r="M106" i="15"/>
  <c r="M99" i="15" s="1"/>
  <c r="U105" i="15"/>
  <c r="U104" i="15" s="1"/>
  <c r="U103" i="15" s="1"/>
  <c r="AC104" i="15"/>
  <c r="AA104" i="15"/>
  <c r="Y104" i="15"/>
  <c r="X104" i="15"/>
  <c r="W104" i="15"/>
  <c r="V104" i="15"/>
  <c r="Q104" i="15"/>
  <c r="P104" i="15"/>
  <c r="AC103" i="15"/>
  <c r="AA103" i="15"/>
  <c r="Y103" i="15"/>
  <c r="X103" i="15"/>
  <c r="X99" i="15" s="1"/>
  <c r="W103" i="15"/>
  <c r="V103" i="15"/>
  <c r="Q103" i="15"/>
  <c r="P103" i="15"/>
  <c r="U102" i="15"/>
  <c r="U101" i="15" s="1"/>
  <c r="U100" i="15" s="1"/>
  <c r="AC101" i="15"/>
  <c r="AA101" i="15"/>
  <c r="Y101" i="15"/>
  <c r="X101" i="15"/>
  <c r="W101" i="15"/>
  <c r="V101" i="15"/>
  <c r="Q101" i="15"/>
  <c r="P101" i="15"/>
  <c r="AC100" i="15"/>
  <c r="AA100" i="15"/>
  <c r="Y100" i="15"/>
  <c r="X100" i="15"/>
  <c r="W100" i="15"/>
  <c r="V100" i="15"/>
  <c r="Q100" i="15"/>
  <c r="P100" i="15"/>
  <c r="AA99" i="15"/>
  <c r="X98" i="15"/>
  <c r="X97" i="15" s="1"/>
  <c r="X96" i="15" s="1"/>
  <c r="L98" i="15"/>
  <c r="N98" i="15" s="1"/>
  <c r="AC97" i="15"/>
  <c r="AA97" i="15"/>
  <c r="AA96" i="15" s="1"/>
  <c r="Y97" i="15"/>
  <c r="Y96" i="15" s="1"/>
  <c r="W97" i="15"/>
  <c r="W96" i="15" s="1"/>
  <c r="V97" i="15"/>
  <c r="Q97" i="15"/>
  <c r="Q96" i="15" s="1"/>
  <c r="O97" i="15"/>
  <c r="M97" i="15"/>
  <c r="M96" i="15" s="1"/>
  <c r="K97" i="15"/>
  <c r="J97" i="15"/>
  <c r="J96" i="15" s="1"/>
  <c r="AC96" i="15"/>
  <c r="V96" i="15"/>
  <c r="O96" i="15"/>
  <c r="K96" i="15"/>
  <c r="L95" i="15"/>
  <c r="N95" i="15" s="1"/>
  <c r="AC94" i="15"/>
  <c r="AC93" i="15" s="1"/>
  <c r="AA94" i="15"/>
  <c r="AA93" i="15" s="1"/>
  <c r="Y94" i="15"/>
  <c r="Y93" i="15" s="1"/>
  <c r="X94" i="15"/>
  <c r="X93" i="15" s="1"/>
  <c r="W94" i="15"/>
  <c r="W93" i="15" s="1"/>
  <c r="V94" i="15"/>
  <c r="V93" i="15" s="1"/>
  <c r="V86" i="15" s="1"/>
  <c r="Q94" i="15"/>
  <c r="Q93" i="15" s="1"/>
  <c r="O94" i="15"/>
  <c r="M94" i="15"/>
  <c r="M93" i="15" s="1"/>
  <c r="K94" i="15"/>
  <c r="K93" i="15" s="1"/>
  <c r="K86" i="15" s="1"/>
  <c r="J94" i="15"/>
  <c r="J93" i="15" s="1"/>
  <c r="O93" i="15"/>
  <c r="L92" i="15"/>
  <c r="N92" i="15" s="1"/>
  <c r="N91" i="15" s="1"/>
  <c r="N90" i="15" s="1"/>
  <c r="AC91" i="15"/>
  <c r="AC90" i="15" s="1"/>
  <c r="AB91" i="15"/>
  <c r="Y91" i="15"/>
  <c r="Y90" i="15" s="1"/>
  <c r="X91" i="15"/>
  <c r="X90" i="15" s="1"/>
  <c r="W91" i="15"/>
  <c r="W90" i="15" s="1"/>
  <c r="V91" i="15"/>
  <c r="V90" i="15" s="1"/>
  <c r="Q91" i="15"/>
  <c r="Q90" i="15" s="1"/>
  <c r="O91" i="15"/>
  <c r="O90" i="15" s="1"/>
  <c r="M91" i="15"/>
  <c r="M90" i="15" s="1"/>
  <c r="K91" i="15"/>
  <c r="K90" i="15" s="1"/>
  <c r="J91" i="15"/>
  <c r="J90" i="15" s="1"/>
  <c r="AB90" i="15"/>
  <c r="N89" i="15"/>
  <c r="P89" i="15" s="1"/>
  <c r="AC88" i="15"/>
  <c r="AC87" i="15" s="1"/>
  <c r="AA88" i="15"/>
  <c r="AA87" i="15" s="1"/>
  <c r="Y88" i="15"/>
  <c r="W88" i="15"/>
  <c r="W87" i="15" s="1"/>
  <c r="V88" i="15"/>
  <c r="V87" i="15" s="1"/>
  <c r="Q88" i="15"/>
  <c r="Q87" i="15" s="1"/>
  <c r="O88" i="15"/>
  <c r="O87" i="15" s="1"/>
  <c r="M88" i="15"/>
  <c r="M87" i="15" s="1"/>
  <c r="L88" i="15"/>
  <c r="L87" i="15" s="1"/>
  <c r="K88" i="15"/>
  <c r="K87" i="15" s="1"/>
  <c r="J88" i="15"/>
  <c r="J87" i="15" s="1"/>
  <c r="Y87" i="15"/>
  <c r="T85" i="15"/>
  <c r="S85" i="15"/>
  <c r="R85" i="15"/>
  <c r="X84" i="15"/>
  <c r="X83" i="15" s="1"/>
  <c r="L84" i="15"/>
  <c r="N84" i="15" s="1"/>
  <c r="AC83" i="15"/>
  <c r="AA83" i="15"/>
  <c r="Y83" i="15"/>
  <c r="W83" i="15"/>
  <c r="V83" i="15"/>
  <c r="Q83" i="15"/>
  <c r="O83" i="15"/>
  <c r="M83" i="15"/>
  <c r="L83" i="15"/>
  <c r="K83" i="15"/>
  <c r="K80" i="15" s="1"/>
  <c r="K79" i="15" s="1"/>
  <c r="K78" i="15" s="1"/>
  <c r="J83" i="15"/>
  <c r="X82" i="15"/>
  <c r="X81" i="15" s="1"/>
  <c r="L82" i="15"/>
  <c r="AC81" i="15"/>
  <c r="AA81" i="15"/>
  <c r="Y81" i="15"/>
  <c r="Y80" i="15" s="1"/>
  <c r="Y79" i="15" s="1"/>
  <c r="Y78" i="15" s="1"/>
  <c r="W81" i="15"/>
  <c r="W80" i="15" s="1"/>
  <c r="W79" i="15" s="1"/>
  <c r="W78" i="15" s="1"/>
  <c r="V81" i="15"/>
  <c r="Q81" i="15"/>
  <c r="O81" i="15"/>
  <c r="M81" i="15"/>
  <c r="M80" i="15" s="1"/>
  <c r="M79" i="15" s="1"/>
  <c r="M78" i="15" s="1"/>
  <c r="K81" i="15"/>
  <c r="J81" i="15"/>
  <c r="J80" i="15" s="1"/>
  <c r="J79" i="15" s="1"/>
  <c r="AC80" i="15"/>
  <c r="AC79" i="15" s="1"/>
  <c r="AC78" i="15" s="1"/>
  <c r="V80" i="15"/>
  <c r="V79" i="15" s="1"/>
  <c r="V78" i="15" s="1"/>
  <c r="O80" i="15"/>
  <c r="O79" i="15" s="1"/>
  <c r="O78" i="15"/>
  <c r="J78" i="15"/>
  <c r="Y77" i="15"/>
  <c r="L77" i="15"/>
  <c r="N77" i="15" s="1"/>
  <c r="AB76" i="15"/>
  <c r="AA76" i="15"/>
  <c r="Y76" i="15"/>
  <c r="X76" i="15"/>
  <c r="W76" i="15"/>
  <c r="V76" i="15"/>
  <c r="Q76" i="15"/>
  <c r="O76" i="15"/>
  <c r="M76" i="15"/>
  <c r="L76" i="15"/>
  <c r="K76" i="15"/>
  <c r="J76" i="15"/>
  <c r="Y75" i="15"/>
  <c r="P75" i="15"/>
  <c r="U75" i="15" s="1"/>
  <c r="L75" i="15"/>
  <c r="N75" i="15" s="1"/>
  <c r="N74" i="15" s="1"/>
  <c r="AB74" i="15"/>
  <c r="AA74" i="15"/>
  <c r="AA73" i="15" s="1"/>
  <c r="AA72" i="15" s="1"/>
  <c r="AA71" i="15" s="1"/>
  <c r="Y74" i="15"/>
  <c r="Y73" i="15" s="1"/>
  <c r="Y72" i="15" s="1"/>
  <c r="Y71" i="15" s="1"/>
  <c r="X74" i="15"/>
  <c r="W74" i="15"/>
  <c r="W73" i="15" s="1"/>
  <c r="W72" i="15" s="1"/>
  <c r="W71" i="15" s="1"/>
  <c r="V74" i="15"/>
  <c r="V73" i="15" s="1"/>
  <c r="V72" i="15" s="1"/>
  <c r="V71" i="15" s="1"/>
  <c r="Q74" i="15"/>
  <c r="Q73" i="15" s="1"/>
  <c r="Q72" i="15" s="1"/>
  <c r="Q71" i="15" s="1"/>
  <c r="O74" i="15"/>
  <c r="O73" i="15" s="1"/>
  <c r="M74" i="15"/>
  <c r="L74" i="15"/>
  <c r="K74" i="15"/>
  <c r="K73" i="15" s="1"/>
  <c r="K72" i="15" s="1"/>
  <c r="K71" i="15" s="1"/>
  <c r="J74" i="15"/>
  <c r="AB73" i="15"/>
  <c r="AB72" i="15" s="1"/>
  <c r="AB71" i="15" s="1"/>
  <c r="X73" i="15"/>
  <c r="X72" i="15" s="1"/>
  <c r="X71" i="15" s="1"/>
  <c r="M73" i="15"/>
  <c r="M72" i="15" s="1"/>
  <c r="M71" i="15" s="1"/>
  <c r="J73" i="15"/>
  <c r="J72" i="15" s="1"/>
  <c r="J71" i="15" s="1"/>
  <c r="O72" i="15"/>
  <c r="O71" i="15" s="1"/>
  <c r="N70" i="15"/>
  <c r="P70" i="15" s="1"/>
  <c r="U70" i="15" s="1"/>
  <c r="V69" i="15"/>
  <c r="Q69" i="15"/>
  <c r="O69" i="15"/>
  <c r="O66" i="15" s="1"/>
  <c r="N69" i="15"/>
  <c r="M69" i="15"/>
  <c r="M66" i="15" s="1"/>
  <c r="L69" i="15"/>
  <c r="L66" i="15" s="1"/>
  <c r="X68" i="15"/>
  <c r="X67" i="15" s="1"/>
  <c r="X66" i="15" s="1"/>
  <c r="P68" i="15"/>
  <c r="U68" i="15" s="1"/>
  <c r="U67" i="15" s="1"/>
  <c r="AC67" i="15"/>
  <c r="AC66" i="15" s="1"/>
  <c r="AB67" i="15"/>
  <c r="AB66" i="15" s="1"/>
  <c r="Y67" i="15"/>
  <c r="Y66" i="15" s="1"/>
  <c r="W67" i="15"/>
  <c r="V67" i="15"/>
  <c r="Q67" i="15"/>
  <c r="P67" i="15"/>
  <c r="W66" i="15"/>
  <c r="N66" i="15"/>
  <c r="X65" i="15"/>
  <c r="X64" i="15" s="1"/>
  <c r="X63" i="15" s="1"/>
  <c r="S65" i="15"/>
  <c r="L65" i="15"/>
  <c r="N65" i="15" s="1"/>
  <c r="P65" i="15" s="1"/>
  <c r="AC64" i="15"/>
  <c r="AA64" i="15"/>
  <c r="AA63" i="15" s="1"/>
  <c r="Y64" i="15"/>
  <c r="W64" i="15"/>
  <c r="V64" i="15"/>
  <c r="V63" i="15" s="1"/>
  <c r="Q64" i="15"/>
  <c r="O64" i="15"/>
  <c r="O63" i="15" s="1"/>
  <c r="M64" i="15"/>
  <c r="K64" i="15"/>
  <c r="K63" i="15" s="1"/>
  <c r="J64" i="15"/>
  <c r="J63" i="15" s="1"/>
  <c r="AC63" i="15"/>
  <c r="Y63" i="15"/>
  <c r="W63" i="15"/>
  <c r="Q63" i="15"/>
  <c r="M63" i="15"/>
  <c r="X62" i="15"/>
  <c r="X61" i="15" s="1"/>
  <c r="S62" i="15"/>
  <c r="Q62" i="15"/>
  <c r="Q61" i="15" s="1"/>
  <c r="Q60" i="15" s="1"/>
  <c r="L62" i="15"/>
  <c r="N62" i="15" s="1"/>
  <c r="P62" i="15" s="1"/>
  <c r="AC61" i="15"/>
  <c r="AC60" i="15" s="1"/>
  <c r="AA61" i="15"/>
  <c r="AA60" i="15" s="1"/>
  <c r="Y61" i="15"/>
  <c r="Y60" i="15" s="1"/>
  <c r="W61" i="15"/>
  <c r="W60" i="15" s="1"/>
  <c r="V61" i="15"/>
  <c r="V60" i="15" s="1"/>
  <c r="O61" i="15"/>
  <c r="O60" i="15" s="1"/>
  <c r="M61" i="15"/>
  <c r="M60" i="15" s="1"/>
  <c r="L61" i="15"/>
  <c r="L60" i="15" s="1"/>
  <c r="K61" i="15"/>
  <c r="K60" i="15" s="1"/>
  <c r="J61" i="15"/>
  <c r="X60" i="15"/>
  <c r="J60" i="15"/>
  <c r="Z59" i="15"/>
  <c r="AB59" i="15" s="1"/>
  <c r="AB58" i="15" s="1"/>
  <c r="X59" i="15"/>
  <c r="X58" i="15" s="1"/>
  <c r="AC58" i="15"/>
  <c r="AA58" i="15"/>
  <c r="Y58" i="15"/>
  <c r="W58" i="15"/>
  <c r="V58" i="15"/>
  <c r="U58" i="15"/>
  <c r="S57" i="15"/>
  <c r="S38" i="15" s="1"/>
  <c r="K57" i="15"/>
  <c r="K56" i="15" s="1"/>
  <c r="AC56" i="15"/>
  <c r="AA56" i="15"/>
  <c r="Y56" i="15"/>
  <c r="X56" i="15"/>
  <c r="W56" i="15"/>
  <c r="V56" i="15"/>
  <c r="V53" i="15" s="1"/>
  <c r="Q56" i="15"/>
  <c r="Q53" i="15" s="1"/>
  <c r="O56" i="15"/>
  <c r="M56" i="15"/>
  <c r="J56" i="15"/>
  <c r="X55" i="15"/>
  <c r="X54" i="15" s="1"/>
  <c r="X53" i="15" s="1"/>
  <c r="S55" i="15"/>
  <c r="L55" i="15"/>
  <c r="L54" i="15" s="1"/>
  <c r="AC54" i="15"/>
  <c r="AA54" i="15"/>
  <c r="Y54" i="15"/>
  <c r="W54" i="15"/>
  <c r="W53" i="15" s="1"/>
  <c r="V54" i="15"/>
  <c r="Q54" i="15"/>
  <c r="O54" i="15"/>
  <c r="O53" i="15" s="1"/>
  <c r="M54" i="15"/>
  <c r="M53" i="15" s="1"/>
  <c r="K54" i="15"/>
  <c r="K53" i="15" s="1"/>
  <c r="J54" i="15"/>
  <c r="AA53" i="15"/>
  <c r="L52" i="15"/>
  <c r="N52" i="15" s="1"/>
  <c r="AC51" i="15"/>
  <c r="AB51" i="15"/>
  <c r="Y51" i="15"/>
  <c r="X51" i="15"/>
  <c r="W51" i="15"/>
  <c r="V51" i="15"/>
  <c r="V50" i="15" s="1"/>
  <c r="Q51" i="15"/>
  <c r="O51" i="15"/>
  <c r="M51" i="15"/>
  <c r="K51" i="15"/>
  <c r="J51" i="15"/>
  <c r="AC50" i="15"/>
  <c r="AB50" i="15"/>
  <c r="Y50" i="15"/>
  <c r="X50" i="15"/>
  <c r="W50" i="15"/>
  <c r="X49" i="15"/>
  <c r="X48" i="15" s="1"/>
  <c r="X47" i="15" s="1"/>
  <c r="L49" i="15"/>
  <c r="N49" i="15" s="1"/>
  <c r="P49" i="15" s="1"/>
  <c r="AC48" i="15"/>
  <c r="AC47" i="15" s="1"/>
  <c r="AA48" i="15"/>
  <c r="AA47" i="15" s="1"/>
  <c r="Y48" i="15"/>
  <c r="W48" i="15"/>
  <c r="V48" i="15"/>
  <c r="V47" i="15" s="1"/>
  <c r="Q48" i="15"/>
  <c r="Q47" i="15" s="1"/>
  <c r="O48" i="15"/>
  <c r="M48" i="15"/>
  <c r="M47" i="15" s="1"/>
  <c r="L48" i="15"/>
  <c r="L47" i="15" s="1"/>
  <c r="K48" i="15"/>
  <c r="K47" i="15" s="1"/>
  <c r="J48" i="15"/>
  <c r="Y47" i="15"/>
  <c r="W47" i="15"/>
  <c r="O47" i="15"/>
  <c r="J47" i="15"/>
  <c r="X46" i="15"/>
  <c r="X45" i="15" s="1"/>
  <c r="L46" i="15"/>
  <c r="N46" i="15" s="1"/>
  <c r="N45" i="15" s="1"/>
  <c r="N44" i="15" s="1"/>
  <c r="AC45" i="15"/>
  <c r="AC44" i="15" s="1"/>
  <c r="AA45" i="15"/>
  <c r="AA44" i="15" s="1"/>
  <c r="Y45" i="15"/>
  <c r="Y44" i="15" s="1"/>
  <c r="W45" i="15"/>
  <c r="W44" i="15" s="1"/>
  <c r="V45" i="15"/>
  <c r="V44" i="15" s="1"/>
  <c r="Q45" i="15"/>
  <c r="Q44" i="15" s="1"/>
  <c r="O45" i="15"/>
  <c r="O44" i="15" s="1"/>
  <c r="M45" i="15"/>
  <c r="L45" i="15"/>
  <c r="L44" i="15" s="1"/>
  <c r="K45" i="15"/>
  <c r="K44" i="15" s="1"/>
  <c r="J45" i="15"/>
  <c r="X44" i="15"/>
  <c r="M44" i="15"/>
  <c r="J44" i="15"/>
  <c r="W43" i="15"/>
  <c r="M43" i="15"/>
  <c r="M42" i="15" s="1"/>
  <c r="J43" i="15"/>
  <c r="L43" i="15" s="1"/>
  <c r="AC42" i="15"/>
  <c r="AC39" i="15" s="1"/>
  <c r="AB42" i="15"/>
  <c r="Y42" i="15"/>
  <c r="X42" i="15"/>
  <c r="W42" i="15"/>
  <c r="V42" i="15"/>
  <c r="Q42" i="15"/>
  <c r="O42" i="15"/>
  <c r="L42" i="15"/>
  <c r="K42" i="15"/>
  <c r="W41" i="15"/>
  <c r="W40" i="15" s="1"/>
  <c r="W39" i="15" s="1"/>
  <c r="W38" i="15" s="1"/>
  <c r="L41" i="15"/>
  <c r="N41" i="15" s="1"/>
  <c r="N40" i="15" s="1"/>
  <c r="AC40" i="15"/>
  <c r="AB40" i="15"/>
  <c r="AB39" i="15" s="1"/>
  <c r="Y40" i="15"/>
  <c r="X40" i="15"/>
  <c r="V40" i="15"/>
  <c r="V39" i="15" s="1"/>
  <c r="Q40" i="15"/>
  <c r="Q39" i="15" s="1"/>
  <c r="O40" i="15"/>
  <c r="M40" i="15"/>
  <c r="L40" i="15"/>
  <c r="L39" i="15" s="1"/>
  <c r="K40" i="15"/>
  <c r="J40" i="15"/>
  <c r="Y39" i="15"/>
  <c r="X39" i="15"/>
  <c r="O39" i="15"/>
  <c r="K39" i="15"/>
  <c r="T38" i="15"/>
  <c r="R38" i="15"/>
  <c r="X37" i="15"/>
  <c r="X36" i="15" s="1"/>
  <c r="X35" i="15" s="1"/>
  <c r="X34" i="15" s="1"/>
  <c r="S37" i="15"/>
  <c r="S34" i="15" s="1"/>
  <c r="L37" i="15"/>
  <c r="N37" i="15" s="1"/>
  <c r="N36" i="15" s="1"/>
  <c r="N35" i="15" s="1"/>
  <c r="N34" i="15" s="1"/>
  <c r="AC36" i="15"/>
  <c r="AA36" i="15"/>
  <c r="AA35" i="15" s="1"/>
  <c r="AA34" i="15" s="1"/>
  <c r="Y36" i="15"/>
  <c r="W36" i="15"/>
  <c r="W35" i="15" s="1"/>
  <c r="W34" i="15" s="1"/>
  <c r="V36" i="15"/>
  <c r="V35" i="15" s="1"/>
  <c r="V34" i="15" s="1"/>
  <c r="Q36" i="15"/>
  <c r="Q35" i="15" s="1"/>
  <c r="Q34" i="15" s="1"/>
  <c r="O36" i="15"/>
  <c r="M36" i="15"/>
  <c r="M35" i="15" s="1"/>
  <c r="M34" i="15" s="1"/>
  <c r="L36" i="15"/>
  <c r="L35" i="15" s="1"/>
  <c r="L34" i="15" s="1"/>
  <c r="K36" i="15"/>
  <c r="J36" i="15"/>
  <c r="AC35" i="15"/>
  <c r="AC34" i="15" s="1"/>
  <c r="Y35" i="15"/>
  <c r="Y34" i="15" s="1"/>
  <c r="O35" i="15"/>
  <c r="K35" i="15"/>
  <c r="K34" i="15" s="1"/>
  <c r="J35" i="15"/>
  <c r="J34" i="15" s="1"/>
  <c r="T34" i="15"/>
  <c r="R34" i="15"/>
  <c r="O34" i="15"/>
  <c r="P33" i="15"/>
  <c r="U33" i="15" s="1"/>
  <c r="AC32" i="15"/>
  <c r="AC31" i="15" s="1"/>
  <c r="AC30" i="15" s="1"/>
  <c r="AA32" i="15"/>
  <c r="AA31" i="15" s="1"/>
  <c r="AA30" i="15" s="1"/>
  <c r="Y32" i="15"/>
  <c r="X32" i="15"/>
  <c r="X31" i="15" s="1"/>
  <c r="X30" i="15" s="1"/>
  <c r="W32" i="15"/>
  <c r="W31" i="15" s="1"/>
  <c r="W30" i="15" s="1"/>
  <c r="V32" i="15"/>
  <c r="Q32" i="15"/>
  <c r="Q31" i="15" s="1"/>
  <c r="Q30" i="15" s="1"/>
  <c r="P32" i="15"/>
  <c r="P31" i="15" s="1"/>
  <c r="P30" i="15" s="1"/>
  <c r="O32" i="15"/>
  <c r="N32" i="15"/>
  <c r="N31" i="15" s="1"/>
  <c r="N30" i="15" s="1"/>
  <c r="Y31" i="15"/>
  <c r="Y30" i="15" s="1"/>
  <c r="V31" i="15"/>
  <c r="V30" i="15" s="1"/>
  <c r="O31" i="15"/>
  <c r="O30" i="15" s="1"/>
  <c r="L29" i="15"/>
  <c r="N29" i="15" s="1"/>
  <c r="P29" i="15" s="1"/>
  <c r="U29" i="15" s="1"/>
  <c r="Z29" i="15" s="1"/>
  <c r="V28" i="15"/>
  <c r="V27" i="15" s="1"/>
  <c r="V26" i="15" s="1"/>
  <c r="Q28" i="15"/>
  <c r="Q27" i="15" s="1"/>
  <c r="Q26" i="15" s="1"/>
  <c r="O28" i="15"/>
  <c r="M28" i="15"/>
  <c r="K28" i="15"/>
  <c r="K27" i="15" s="1"/>
  <c r="K26" i="15" s="1"/>
  <c r="J28" i="15"/>
  <c r="L28" i="15" s="1"/>
  <c r="O27" i="15"/>
  <c r="O26" i="15" s="1"/>
  <c r="M27" i="15"/>
  <c r="M26" i="15" s="1"/>
  <c r="J25" i="15"/>
  <c r="J24" i="15" s="1"/>
  <c r="J23" i="15" s="1"/>
  <c r="AB24" i="15"/>
  <c r="AB23" i="15" s="1"/>
  <c r="AA24" i="15"/>
  <c r="AA23" i="15" s="1"/>
  <c r="Y24" i="15"/>
  <c r="W24" i="15"/>
  <c r="W23" i="15" s="1"/>
  <c r="V24" i="15"/>
  <c r="V23" i="15" s="1"/>
  <c r="Q24" i="15"/>
  <c r="Q23" i="15" s="1"/>
  <c r="O24" i="15"/>
  <c r="O23" i="15" s="1"/>
  <c r="M24" i="15"/>
  <c r="K24" i="15"/>
  <c r="K23" i="15" s="1"/>
  <c r="Y23" i="15"/>
  <c r="M23" i="15"/>
  <c r="X22" i="15"/>
  <c r="L22" i="15"/>
  <c r="N22" i="15" s="1"/>
  <c r="P22" i="15" s="1"/>
  <c r="U22" i="15" s="1"/>
  <c r="X21" i="15"/>
  <c r="J21" i="15"/>
  <c r="L21" i="15" s="1"/>
  <c r="X20" i="15"/>
  <c r="S20" i="15"/>
  <c r="L20" i="15"/>
  <c r="N20" i="15" s="1"/>
  <c r="AC19" i="15"/>
  <c r="AA19" i="15"/>
  <c r="Y19" i="15"/>
  <c r="W19" i="15"/>
  <c r="V19" i="15"/>
  <c r="Q19" i="15"/>
  <c r="O19" i="15"/>
  <c r="M19" i="15"/>
  <c r="K19" i="15"/>
  <c r="K14" i="15" s="1"/>
  <c r="X18" i="15"/>
  <c r="X17" i="15" s="1"/>
  <c r="S18" i="15"/>
  <c r="J18" i="15"/>
  <c r="L18" i="15" s="1"/>
  <c r="N18" i="15" s="1"/>
  <c r="AC17" i="15"/>
  <c r="AC14" i="15" s="1"/>
  <c r="AA17" i="15"/>
  <c r="Y17" i="15"/>
  <c r="W17" i="15"/>
  <c r="V17" i="15"/>
  <c r="Q17" i="15"/>
  <c r="O17" i="15"/>
  <c r="M17" i="15"/>
  <c r="K17" i="15"/>
  <c r="X16" i="15"/>
  <c r="X15" i="15" s="1"/>
  <c r="Q16" i="15"/>
  <c r="S16" i="15" s="1"/>
  <c r="S10" i="15" s="1"/>
  <c r="J16" i="15"/>
  <c r="L16" i="15" s="1"/>
  <c r="AC15" i="15"/>
  <c r="AA15" i="15"/>
  <c r="Y15" i="15"/>
  <c r="W15" i="15"/>
  <c r="V15" i="15"/>
  <c r="O15" i="15"/>
  <c r="M15" i="15"/>
  <c r="K15" i="15"/>
  <c r="Y14" i="15"/>
  <c r="Y10" i="15" s="1"/>
  <c r="L13" i="15"/>
  <c r="L12" i="15" s="1"/>
  <c r="L11" i="15" s="1"/>
  <c r="AC12" i="15"/>
  <c r="AC11" i="15" s="1"/>
  <c r="AA12" i="15"/>
  <c r="AA11" i="15" s="1"/>
  <c r="V12" i="15"/>
  <c r="V11" i="15" s="1"/>
  <c r="Q12" i="15"/>
  <c r="Q11" i="15" s="1"/>
  <c r="O12" i="15"/>
  <c r="O11" i="15" s="1"/>
  <c r="M12" i="15"/>
  <c r="M11" i="15" s="1"/>
  <c r="K12" i="15"/>
  <c r="K11" i="15" s="1"/>
  <c r="K10" i="15" s="1"/>
  <c r="J12" i="15"/>
  <c r="J11" i="15" s="1"/>
  <c r="T10" i="15"/>
  <c r="T9" i="15" s="1"/>
  <c r="T8" i="15" s="1"/>
  <c r="R10" i="15"/>
  <c r="R9" i="15" s="1"/>
  <c r="Q258" i="16" l="1"/>
  <c r="Q257" i="16" s="1"/>
  <c r="O257" i="16"/>
  <c r="S294" i="16"/>
  <c r="X294" i="16" s="1"/>
  <c r="Q293" i="16"/>
  <c r="Q292" i="16" s="1"/>
  <c r="M348" i="16"/>
  <c r="M347" i="16" s="1"/>
  <c r="Q316" i="16"/>
  <c r="Q315" i="16" s="1"/>
  <c r="M293" i="16"/>
  <c r="M292" i="16" s="1"/>
  <c r="O242" i="16"/>
  <c r="M214" i="16"/>
  <c r="O171" i="16"/>
  <c r="O122" i="16"/>
  <c r="O121" i="16" s="1"/>
  <c r="X90" i="16"/>
  <c r="O35" i="16"/>
  <c r="Q35" i="16" s="1"/>
  <c r="M14" i="16"/>
  <c r="L280" i="16"/>
  <c r="L279" i="16" s="1"/>
  <c r="M340" i="16"/>
  <c r="O174" i="16"/>
  <c r="O173" i="16" s="1"/>
  <c r="O172" i="16" s="1"/>
  <c r="K200" i="16"/>
  <c r="K199" i="16" s="1"/>
  <c r="M133" i="16"/>
  <c r="M132" i="16" s="1"/>
  <c r="O29" i="16"/>
  <c r="O28" i="16" s="1"/>
  <c r="M61" i="16"/>
  <c r="O293" i="16"/>
  <c r="O292" i="16" s="1"/>
  <c r="O158" i="16"/>
  <c r="O343" i="16"/>
  <c r="O271" i="16"/>
  <c r="O270" i="16" s="1"/>
  <c r="M254" i="16"/>
  <c r="M223" i="16"/>
  <c r="M94" i="16"/>
  <c r="M31" i="16"/>
  <c r="M168" i="16"/>
  <c r="M167" i="16" s="1"/>
  <c r="Q176" i="16"/>
  <c r="M165" i="16"/>
  <c r="M164" i="16" s="1"/>
  <c r="M160" i="16" s="1"/>
  <c r="M159" i="16" s="1"/>
  <c r="O166" i="16"/>
  <c r="P9" i="16"/>
  <c r="R200" i="16"/>
  <c r="R199" i="16" s="1"/>
  <c r="O137" i="16"/>
  <c r="O136" i="16" s="1"/>
  <c r="O135" i="16" s="1"/>
  <c r="L321" i="16"/>
  <c r="M140" i="16"/>
  <c r="M139" i="16" s="1"/>
  <c r="O141" i="16"/>
  <c r="M148" i="16"/>
  <c r="O148" i="16" s="1"/>
  <c r="Q148" i="16" s="1"/>
  <c r="S148" i="16" s="1"/>
  <c r="X148" i="16" s="1"/>
  <c r="K280" i="16"/>
  <c r="K279" i="16" s="1"/>
  <c r="L200" i="16"/>
  <c r="L199" i="16" s="1"/>
  <c r="Q174" i="16"/>
  <c r="O33" i="16"/>
  <c r="P200" i="16"/>
  <c r="P199" i="16" s="1"/>
  <c r="W200" i="16"/>
  <c r="W199" i="16" s="1"/>
  <c r="P8" i="16"/>
  <c r="N9" i="16"/>
  <c r="N8" i="16" s="1"/>
  <c r="N355" i="16" s="1"/>
  <c r="M36" i="16"/>
  <c r="W9" i="16"/>
  <c r="K9" i="16"/>
  <c r="K8" i="16" s="1"/>
  <c r="R9" i="16"/>
  <c r="R8" i="16" s="1"/>
  <c r="W321" i="16"/>
  <c r="M339" i="16"/>
  <c r="R321" i="16"/>
  <c r="O354" i="16"/>
  <c r="M353" i="16"/>
  <c r="M352" i="16" s="1"/>
  <c r="Q351" i="16"/>
  <c r="O350" i="16"/>
  <c r="S341" i="16"/>
  <c r="Q340" i="16"/>
  <c r="X327" i="16"/>
  <c r="S316" i="16"/>
  <c r="X317" i="16"/>
  <c r="S266" i="16"/>
  <c r="Q265" i="16"/>
  <c r="Q264" i="16" s="1"/>
  <c r="O286" i="16"/>
  <c r="Q287" i="16"/>
  <c r="O302" i="16"/>
  <c r="O301" i="16" s="1"/>
  <c r="Q304" i="16"/>
  <c r="M243" i="16"/>
  <c r="M240" i="16" s="1"/>
  <c r="O244" i="16"/>
  <c r="O219" i="16"/>
  <c r="M218" i="16"/>
  <c r="M213" i="16" s="1"/>
  <c r="S258" i="16"/>
  <c r="Q247" i="16"/>
  <c r="O246" i="16"/>
  <c r="O245" i="16" s="1"/>
  <c r="S249" i="16"/>
  <c r="X250" i="16"/>
  <c r="S203" i="16"/>
  <c r="Q202" i="16"/>
  <c r="Q201" i="16" s="1"/>
  <c r="X217" i="16"/>
  <c r="S216" i="16"/>
  <c r="X216" i="16" s="1"/>
  <c r="S182" i="16"/>
  <c r="X183" i="16"/>
  <c r="O120" i="16"/>
  <c r="M119" i="16"/>
  <c r="M118" i="16" s="1"/>
  <c r="M117" i="16" s="1"/>
  <c r="M116" i="16" s="1"/>
  <c r="S107" i="16"/>
  <c r="X107" i="16" s="1"/>
  <c r="X108" i="16"/>
  <c r="Q84" i="16"/>
  <c r="O83" i="16"/>
  <c r="O82" i="16" s="1"/>
  <c r="M97" i="16"/>
  <c r="O97" i="16" s="1"/>
  <c r="Q97" i="16" s="1"/>
  <c r="S97" i="16" s="1"/>
  <c r="X97" i="16" s="1"/>
  <c r="O70" i="16"/>
  <c r="M69" i="16"/>
  <c r="M68" i="16" s="1"/>
  <c r="Q19" i="16"/>
  <c r="O18" i="16"/>
  <c r="O42" i="16"/>
  <c r="O41" i="16" s="1"/>
  <c r="Q43" i="16"/>
  <c r="S40" i="16"/>
  <c r="Q39" i="16"/>
  <c r="O34" i="16"/>
  <c r="Q46" i="16"/>
  <c r="O45" i="16"/>
  <c r="O44" i="16" s="1"/>
  <c r="M13" i="16"/>
  <c r="O330" i="16"/>
  <c r="M329" i="16"/>
  <c r="M326" i="16" s="1"/>
  <c r="M322" i="16" s="1"/>
  <c r="O284" i="16"/>
  <c r="Q285" i="16"/>
  <c r="O241" i="16"/>
  <c r="Q242" i="16"/>
  <c r="O170" i="16"/>
  <c r="O169" i="16" s="1"/>
  <c r="Q171" i="16"/>
  <c r="O252" i="16"/>
  <c r="O251" i="16" s="1"/>
  <c r="Q253" i="16"/>
  <c r="Q225" i="16"/>
  <c r="O224" i="16"/>
  <c r="O223" i="16" s="1"/>
  <c r="M130" i="16"/>
  <c r="M129" i="16" s="1"/>
  <c r="O131" i="16"/>
  <c r="M114" i="16"/>
  <c r="O114" i="16" s="1"/>
  <c r="Q114" i="16" s="1"/>
  <c r="S114" i="16" s="1"/>
  <c r="X114" i="16" s="1"/>
  <c r="L113" i="16"/>
  <c r="M113" i="16" s="1"/>
  <c r="O113" i="16" s="1"/>
  <c r="Q113" i="16" s="1"/>
  <c r="S113" i="16" s="1"/>
  <c r="X113" i="16" s="1"/>
  <c r="O78" i="16"/>
  <c r="M77" i="16"/>
  <c r="M76" i="16"/>
  <c r="O27" i="16"/>
  <c r="M26" i="16"/>
  <c r="M25" i="16" s="1"/>
  <c r="M92" i="16"/>
  <c r="M91" i="16" s="1"/>
  <c r="O93" i="16"/>
  <c r="Q81" i="16"/>
  <c r="O80" i="16"/>
  <c r="O79" i="16"/>
  <c r="O178" i="16"/>
  <c r="O177" i="16" s="1"/>
  <c r="Q179" i="16"/>
  <c r="X147" i="16"/>
  <c r="S146" i="16"/>
  <c r="O60" i="16"/>
  <c r="M59" i="16"/>
  <c r="M58" i="16" s="1"/>
  <c r="Q12" i="16"/>
  <c r="O11" i="16"/>
  <c r="O10" i="16" s="1"/>
  <c r="S30" i="16"/>
  <c r="Q29" i="16"/>
  <c r="Q28" i="16" s="1"/>
  <c r="O66" i="16"/>
  <c r="O65" i="16" s="1"/>
  <c r="Q67" i="16"/>
  <c r="Q15" i="16"/>
  <c r="O14" i="16"/>
  <c r="O13" i="16" s="1"/>
  <c r="Q345" i="16"/>
  <c r="O344" i="16"/>
  <c r="M332" i="16"/>
  <c r="O332" i="16" s="1"/>
  <c r="Q332" i="16" s="1"/>
  <c r="S332" i="16" s="1"/>
  <c r="X332" i="16" s="1"/>
  <c r="K331" i="16"/>
  <c r="O310" i="16"/>
  <c r="O309" i="16" s="1"/>
  <c r="Q311" i="16"/>
  <c r="Q343" i="16"/>
  <c r="O342" i="16"/>
  <c r="S323" i="16"/>
  <c r="X324" i="16"/>
  <c r="Q308" i="16"/>
  <c r="O307" i="16"/>
  <c r="O306" i="16" s="1"/>
  <c r="O305" i="16" s="1"/>
  <c r="S293" i="16"/>
  <c r="S283" i="16"/>
  <c r="Q282" i="16"/>
  <c r="Q271" i="16"/>
  <c r="Q270" i="16" s="1"/>
  <c r="S272" i="16"/>
  <c r="O212" i="16"/>
  <c r="M211" i="16"/>
  <c r="M210" i="16" s="1"/>
  <c r="Q239" i="16"/>
  <c r="O238" i="16"/>
  <c r="O237" i="16" s="1"/>
  <c r="O220" i="16"/>
  <c r="Q221" i="16"/>
  <c r="O259" i="16"/>
  <c r="Q260" i="16"/>
  <c r="W196" i="16"/>
  <c r="X197" i="16"/>
  <c r="Q236" i="16"/>
  <c r="O235" i="16"/>
  <c r="O234" i="16" s="1"/>
  <c r="S215" i="16"/>
  <c r="Q214" i="16"/>
  <c r="X190" i="16"/>
  <c r="Q128" i="16"/>
  <c r="O127" i="16"/>
  <c r="O126" i="16" s="1"/>
  <c r="M111" i="16"/>
  <c r="M110" i="16" s="1"/>
  <c r="O112" i="16"/>
  <c r="M105" i="16"/>
  <c r="M104" i="16" s="1"/>
  <c r="O106" i="16"/>
  <c r="Q134" i="16"/>
  <c r="O133" i="16"/>
  <c r="O132" i="16" s="1"/>
  <c r="S103" i="16"/>
  <c r="Q102" i="16"/>
  <c r="Q99" i="16" s="1"/>
  <c r="S144" i="16"/>
  <c r="Q143" i="16"/>
  <c r="Q142" i="16" s="1"/>
  <c r="S85" i="16"/>
  <c r="X85" i="16" s="1"/>
  <c r="X86" i="16"/>
  <c r="M74" i="16"/>
  <c r="M71" i="16" s="1"/>
  <c r="O75" i="16"/>
  <c r="O49" i="16"/>
  <c r="M48" i="16"/>
  <c r="M47" i="16" s="1"/>
  <c r="S17" i="16"/>
  <c r="Q16" i="16"/>
  <c r="Q54" i="16"/>
  <c r="O53" i="16"/>
  <c r="O37" i="16"/>
  <c r="O36" i="16" s="1"/>
  <c r="Q38" i="16"/>
  <c r="O338" i="16"/>
  <c r="M337" i="16"/>
  <c r="M336" i="16" s="1"/>
  <c r="O313" i="16"/>
  <c r="O312" i="16" s="1"/>
  <c r="Q314" i="16"/>
  <c r="Q349" i="16"/>
  <c r="O348" i="16"/>
  <c r="O347" i="16" s="1"/>
  <c r="X303" i="16"/>
  <c r="S291" i="16"/>
  <c r="Q290" i="16"/>
  <c r="Q289" i="16" s="1"/>
  <c r="M296" i="16"/>
  <c r="M295" i="16" s="1"/>
  <c r="M280" i="16" s="1"/>
  <c r="M279" i="16" s="1"/>
  <c r="O297" i="16"/>
  <c r="O281" i="16"/>
  <c r="O268" i="16"/>
  <c r="O267" i="16" s="1"/>
  <c r="Q269" i="16"/>
  <c r="Q256" i="16"/>
  <c r="O255" i="16"/>
  <c r="O254" i="16" s="1"/>
  <c r="M232" i="16"/>
  <c r="M231" i="16" s="1"/>
  <c r="O233" i="16"/>
  <c r="S227" i="16"/>
  <c r="Q226" i="16"/>
  <c r="Q209" i="16"/>
  <c r="O208" i="16"/>
  <c r="O207" i="16" s="1"/>
  <c r="O162" i="16"/>
  <c r="O161" i="16" s="1"/>
  <c r="Q163" i="16"/>
  <c r="Q263" i="16"/>
  <c r="O262" i="16"/>
  <c r="O261" i="16" s="1"/>
  <c r="Q206" i="16"/>
  <c r="O205" i="16"/>
  <c r="O204" i="16" s="1"/>
  <c r="Q195" i="16"/>
  <c r="O194" i="16"/>
  <c r="O193" i="16" s="1"/>
  <c r="O189" i="16" s="1"/>
  <c r="S187" i="16"/>
  <c r="Q186" i="16"/>
  <c r="Q185" i="16" s="1"/>
  <c r="Q181" i="16" s="1"/>
  <c r="Q180" i="16" s="1"/>
  <c r="M51" i="16"/>
  <c r="M50" i="16" s="1"/>
  <c r="O52" i="16"/>
  <c r="X123" i="16"/>
  <c r="S122" i="16"/>
  <c r="X100" i="16"/>
  <c r="M96" i="16"/>
  <c r="O96" i="16" s="1"/>
  <c r="Q96" i="16" s="1"/>
  <c r="S96" i="16" s="1"/>
  <c r="X96" i="16" s="1"/>
  <c r="O94" i="16"/>
  <c r="Q95" i="16"/>
  <c r="O61" i="16"/>
  <c r="Q62" i="16"/>
  <c r="O23" i="16"/>
  <c r="O22" i="16" s="1"/>
  <c r="Q24" i="16"/>
  <c r="N28" i="15"/>
  <c r="P28" i="15" s="1"/>
  <c r="U28" i="15" s="1"/>
  <c r="Z28" i="15" s="1"/>
  <c r="Q86" i="15"/>
  <c r="W99" i="15"/>
  <c r="AC99" i="15"/>
  <c r="K109" i="15"/>
  <c r="Y109" i="15"/>
  <c r="O109" i="15"/>
  <c r="R8" i="15"/>
  <c r="K224" i="15"/>
  <c r="X224" i="15"/>
  <c r="R223" i="15"/>
  <c r="L238" i="15"/>
  <c r="L237" i="15" s="1"/>
  <c r="P260" i="15"/>
  <c r="P259" i="15" s="1"/>
  <c r="T223" i="15"/>
  <c r="T222" i="15" s="1"/>
  <c r="T415" i="15" s="1"/>
  <c r="N277" i="15"/>
  <c r="W282" i="15"/>
  <c r="S223" i="15"/>
  <c r="U297" i="15"/>
  <c r="R222" i="15"/>
  <c r="Y303" i="15"/>
  <c r="X303" i="15"/>
  <c r="Y327" i="15"/>
  <c r="AA351" i="15"/>
  <c r="AC351" i="15"/>
  <c r="M351" i="15"/>
  <c r="N351" i="15"/>
  <c r="W351" i="15"/>
  <c r="R326" i="15"/>
  <c r="W376" i="15"/>
  <c r="X376" i="15"/>
  <c r="O382" i="15"/>
  <c r="O376" i="15" s="1"/>
  <c r="O369" i="15" s="1"/>
  <c r="X369" i="15"/>
  <c r="W369" i="15"/>
  <c r="W326" i="15" s="1"/>
  <c r="Y376" i="15"/>
  <c r="Y369" i="15" s="1"/>
  <c r="V406" i="15"/>
  <c r="V405" i="15" s="1"/>
  <c r="V404" i="15" s="1"/>
  <c r="J27" i="15"/>
  <c r="J53" i="15"/>
  <c r="N82" i="15"/>
  <c r="L81" i="15"/>
  <c r="L80" i="15" s="1"/>
  <c r="L79" i="15" s="1"/>
  <c r="L78" i="15" s="1"/>
  <c r="M14" i="15"/>
  <c r="O14" i="15"/>
  <c r="O10" i="15" s="1"/>
  <c r="P41" i="15"/>
  <c r="P40" i="15" s="1"/>
  <c r="N43" i="15"/>
  <c r="X38" i="15"/>
  <c r="L51" i="15"/>
  <c r="K38" i="15"/>
  <c r="K9" i="15" s="1"/>
  <c r="N76" i="15"/>
  <c r="P77" i="15"/>
  <c r="AC86" i="15"/>
  <c r="P203" i="15"/>
  <c r="N202" i="15"/>
  <c r="N201" i="15" s="1"/>
  <c r="Y224" i="15"/>
  <c r="M86" i="15"/>
  <c r="S9" i="15"/>
  <c r="AA14" i="15"/>
  <c r="AA10" i="15" s="1"/>
  <c r="V14" i="15"/>
  <c r="V10" i="15" s="1"/>
  <c r="N51" i="15"/>
  <c r="P52" i="15"/>
  <c r="U52" i="15" s="1"/>
  <c r="N134" i="15"/>
  <c r="N133" i="15" s="1"/>
  <c r="P135" i="15"/>
  <c r="P134" i="15" s="1"/>
  <c r="P133" i="15" s="1"/>
  <c r="AA147" i="15"/>
  <c r="AA146" i="15" s="1"/>
  <c r="AA145" i="15" s="1"/>
  <c r="Z146" i="15"/>
  <c r="Z145" i="15" s="1"/>
  <c r="N245" i="15"/>
  <c r="N244" i="15" s="1"/>
  <c r="P246" i="15"/>
  <c r="M10" i="15"/>
  <c r="W14" i="15"/>
  <c r="W10" i="15" s="1"/>
  <c r="W9" i="15" s="1"/>
  <c r="J17" i="15"/>
  <c r="X19" i="15"/>
  <c r="O38" i="15"/>
  <c r="N55" i="15"/>
  <c r="M159" i="15"/>
  <c r="M158" i="15" s="1"/>
  <c r="M39" i="15"/>
  <c r="M38" i="15" s="1"/>
  <c r="V66" i="15"/>
  <c r="V38" i="15" s="1"/>
  <c r="N73" i="15"/>
  <c r="N72" i="15" s="1"/>
  <c r="N71" i="15" s="1"/>
  <c r="O86" i="15"/>
  <c r="L91" i="15"/>
  <c r="L90" i="15" s="1"/>
  <c r="L94" i="15"/>
  <c r="L93" i="15" s="1"/>
  <c r="L97" i="15"/>
  <c r="L96" i="15" s="1"/>
  <c r="V99" i="15"/>
  <c r="J110" i="15"/>
  <c r="J109" i="15" s="1"/>
  <c r="AB110" i="15"/>
  <c r="L131" i="15"/>
  <c r="L130" i="15" s="1"/>
  <c r="L134" i="15"/>
  <c r="L133" i="15" s="1"/>
  <c r="AC149" i="15"/>
  <c r="AC148" i="15" s="1"/>
  <c r="M149" i="15"/>
  <c r="M148" i="15" s="1"/>
  <c r="L156" i="15"/>
  <c r="X178" i="15"/>
  <c r="X177" i="15" s="1"/>
  <c r="X176" i="15" s="1"/>
  <c r="X159" i="15" s="1"/>
  <c r="X158" i="15" s="1"/>
  <c r="L192" i="15"/>
  <c r="L191" i="15" s="1"/>
  <c r="L190" i="15" s="1"/>
  <c r="O194" i="15"/>
  <c r="O189" i="15" s="1"/>
  <c r="L199" i="15"/>
  <c r="L198" i="15" s="1"/>
  <c r="AB204" i="15"/>
  <c r="AC209" i="15"/>
  <c r="AC208" i="15" s="1"/>
  <c r="K215" i="15"/>
  <c r="K214" i="15" s="1"/>
  <c r="P233" i="15"/>
  <c r="U233" i="15" s="1"/>
  <c r="Z233" i="15" s="1"/>
  <c r="X240" i="15"/>
  <c r="P255" i="15"/>
  <c r="Q282" i="15"/>
  <c r="Q278" i="15" s="1"/>
  <c r="AC282" i="15"/>
  <c r="N288" i="15"/>
  <c r="N287" i="15" s="1"/>
  <c r="V303" i="15"/>
  <c r="W307" i="15"/>
  <c r="K315" i="15"/>
  <c r="W110" i="15"/>
  <c r="W129" i="15"/>
  <c r="W124" i="15" s="1"/>
  <c r="M129" i="15"/>
  <c r="W159" i="15"/>
  <c r="W158" i="15" s="1"/>
  <c r="M189" i="15"/>
  <c r="AC189" i="15"/>
  <c r="Q194" i="15"/>
  <c r="Q189" i="15" s="1"/>
  <c r="V224" i="15"/>
  <c r="V240" i="15"/>
  <c r="AC240" i="15"/>
  <c r="J286" i="15"/>
  <c r="L73" i="15"/>
  <c r="L72" i="15" s="1"/>
  <c r="L71" i="15" s="1"/>
  <c r="J86" i="15"/>
  <c r="J85" i="15" s="1"/>
  <c r="M124" i="15"/>
  <c r="X129" i="15"/>
  <c r="X124" i="15" s="1"/>
  <c r="Q149" i="15"/>
  <c r="Q148" i="15" s="1"/>
  <c r="N152" i="15"/>
  <c r="J170" i="15"/>
  <c r="J169" i="15" s="1"/>
  <c r="Q159" i="15"/>
  <c r="Q158" i="15" s="1"/>
  <c r="L202" i="15"/>
  <c r="L201" i="15" s="1"/>
  <c r="L194" i="15" s="1"/>
  <c r="X204" i="15"/>
  <c r="J205" i="15"/>
  <c r="Y209" i="15"/>
  <c r="Y208" i="15" s="1"/>
  <c r="Y189" i="15" s="1"/>
  <c r="J226" i="15"/>
  <c r="J225" i="15" s="1"/>
  <c r="M224" i="15"/>
  <c r="W224" i="15"/>
  <c r="M240" i="15"/>
  <c r="W240" i="15"/>
  <c r="L311" i="15"/>
  <c r="J310" i="15"/>
  <c r="W315" i="15"/>
  <c r="AB360" i="15"/>
  <c r="Q66" i="15"/>
  <c r="Q38" i="15" s="1"/>
  <c r="Q80" i="15"/>
  <c r="Q79" i="15" s="1"/>
  <c r="Q78" i="15" s="1"/>
  <c r="AA80" i="15"/>
  <c r="AA79" i="15" s="1"/>
  <c r="AA78" i="15" s="1"/>
  <c r="W86" i="15"/>
  <c r="P92" i="15"/>
  <c r="U92" i="15" s="1"/>
  <c r="Y99" i="15"/>
  <c r="Q99" i="15"/>
  <c r="Q85" i="15" s="1"/>
  <c r="Q110" i="15"/>
  <c r="Q109" i="15" s="1"/>
  <c r="AC124" i="15"/>
  <c r="O129" i="15"/>
  <c r="O124" i="15" s="1"/>
  <c r="Q129" i="15"/>
  <c r="Q124" i="15" s="1"/>
  <c r="Y129" i="15"/>
  <c r="O159" i="15"/>
  <c r="O158" i="15" s="1"/>
  <c r="J167" i="15"/>
  <c r="J166" i="15" s="1"/>
  <c r="J159" i="15" s="1"/>
  <c r="J158" i="15" s="1"/>
  <c r="K189" i="15"/>
  <c r="N194" i="15"/>
  <c r="L206" i="15"/>
  <c r="L205" i="15" s="1"/>
  <c r="L210" i="15"/>
  <c r="L209" i="15" s="1"/>
  <c r="L208" i="15" s="1"/>
  <c r="P212" i="15"/>
  <c r="U212" i="15" s="1"/>
  <c r="O224" i="15"/>
  <c r="J224" i="15"/>
  <c r="O240" i="15"/>
  <c r="O282" i="15"/>
  <c r="O278" i="15" s="1"/>
  <c r="U296" i="15"/>
  <c r="U295" i="15" s="1"/>
  <c r="Z297" i="15"/>
  <c r="Z296" i="15" s="1"/>
  <c r="K303" i="15"/>
  <c r="Q303" i="15"/>
  <c r="Q298" i="15" s="1"/>
  <c r="Y315" i="15"/>
  <c r="Y298" i="15" s="1"/>
  <c r="P340" i="15"/>
  <c r="N339" i="15"/>
  <c r="N338" i="15" s="1"/>
  <c r="N337" i="15" s="1"/>
  <c r="O391" i="15"/>
  <c r="O390" i="15" s="1"/>
  <c r="L394" i="15"/>
  <c r="L393" i="15" s="1"/>
  <c r="L392" i="15" s="1"/>
  <c r="N395" i="15"/>
  <c r="P395" i="15" s="1"/>
  <c r="W278" i="15"/>
  <c r="Y282" i="15"/>
  <c r="Y278" i="15" s="1"/>
  <c r="M282" i="15"/>
  <c r="M278" i="15" s="1"/>
  <c r="S298" i="15"/>
  <c r="O303" i="15"/>
  <c r="O307" i="15"/>
  <c r="M307" i="15"/>
  <c r="AC303" i="15"/>
  <c r="O315" i="15"/>
  <c r="X316" i="15"/>
  <c r="X315" i="15" s="1"/>
  <c r="J316" i="15"/>
  <c r="J315" i="15" s="1"/>
  <c r="X321" i="15"/>
  <c r="K329" i="15"/>
  <c r="K328" i="15" s="1"/>
  <c r="K327" i="15" s="1"/>
  <c r="V329" i="15"/>
  <c r="V328" i="15" s="1"/>
  <c r="V327" i="15" s="1"/>
  <c r="J332" i="15"/>
  <c r="J329" i="15" s="1"/>
  <c r="J328" i="15" s="1"/>
  <c r="J327" i="15" s="1"/>
  <c r="L334" i="15"/>
  <c r="L339" i="15"/>
  <c r="L338" i="15" s="1"/>
  <c r="L337" i="15" s="1"/>
  <c r="Y351" i="15"/>
  <c r="X351" i="15"/>
  <c r="J386" i="15"/>
  <c r="L386" i="15" s="1"/>
  <c r="V382" i="15"/>
  <c r="V376" i="15" s="1"/>
  <c r="V369" i="15" s="1"/>
  <c r="AC391" i="15"/>
  <c r="AC390" i="15" s="1"/>
  <c r="N401" i="15"/>
  <c r="P401" i="15" s="1"/>
  <c r="L403" i="15"/>
  <c r="N403" i="15" s="1"/>
  <c r="AA407" i="15"/>
  <c r="AA406" i="15" s="1"/>
  <c r="AA405" i="15" s="1"/>
  <c r="AA404" i="15" s="1"/>
  <c r="W321" i="15"/>
  <c r="K369" i="15"/>
  <c r="Q376" i="15"/>
  <c r="Q369" i="15" s="1"/>
  <c r="M391" i="15"/>
  <c r="M390" i="15" s="1"/>
  <c r="X391" i="15"/>
  <c r="X390" i="15" s="1"/>
  <c r="Y407" i="15"/>
  <c r="Y406" i="15" s="1"/>
  <c r="Y405" i="15" s="1"/>
  <c r="Y404" i="15" s="1"/>
  <c r="AB303" i="15"/>
  <c r="AB316" i="15"/>
  <c r="AB315" i="15" s="1"/>
  <c r="V316" i="15"/>
  <c r="V315" i="15" s="1"/>
  <c r="AC315" i="15"/>
  <c r="O329" i="15"/>
  <c r="O328" i="15" s="1"/>
  <c r="AC329" i="15"/>
  <c r="AC328" i="15" s="1"/>
  <c r="AC327" i="15" s="1"/>
  <c r="Q327" i="15"/>
  <c r="S326" i="15"/>
  <c r="P350" i="15"/>
  <c r="O360" i="15"/>
  <c r="X360" i="15"/>
  <c r="M382" i="15"/>
  <c r="P385" i="15"/>
  <c r="P383" i="15" s="1"/>
  <c r="Q391" i="15"/>
  <c r="Q390" i="15" s="1"/>
  <c r="J394" i="15"/>
  <c r="J393" i="15" s="1"/>
  <c r="J392" i="15" s="1"/>
  <c r="X397" i="15"/>
  <c r="X396" i="15" s="1"/>
  <c r="J406" i="15"/>
  <c r="J405" i="15" s="1"/>
  <c r="J404" i="15" s="1"/>
  <c r="U411" i="15"/>
  <c r="M321" i="15"/>
  <c r="M315" i="15" s="1"/>
  <c r="X334" i="15"/>
  <c r="X329" i="15" s="1"/>
  <c r="X328" i="15" s="1"/>
  <c r="X327" i="15" s="1"/>
  <c r="Q351" i="15"/>
  <c r="N383" i="15"/>
  <c r="Y391" i="15"/>
  <c r="Y390" i="15" s="1"/>
  <c r="V397" i="15"/>
  <c r="V396" i="15" s="1"/>
  <c r="V391" i="15" s="1"/>
  <c r="V390" i="15" s="1"/>
  <c r="AC407" i="15"/>
  <c r="U62" i="15"/>
  <c r="P61" i="15"/>
  <c r="P60" i="15" s="1"/>
  <c r="Z75" i="15"/>
  <c r="U74" i="15"/>
  <c r="X14" i="15"/>
  <c r="N16" i="15"/>
  <c r="L15" i="15"/>
  <c r="Z70" i="15"/>
  <c r="U69" i="15"/>
  <c r="U66" i="15" s="1"/>
  <c r="Z22" i="15"/>
  <c r="P48" i="15"/>
  <c r="P47" i="15" s="1"/>
  <c r="U49" i="15"/>
  <c r="U51" i="15"/>
  <c r="U50" i="15" s="1"/>
  <c r="Z52" i="15"/>
  <c r="P64" i="15"/>
  <c r="P63" i="15" s="1"/>
  <c r="U65" i="15"/>
  <c r="X80" i="15"/>
  <c r="X79" i="15" s="1"/>
  <c r="X78" i="15" s="1"/>
  <c r="L19" i="15"/>
  <c r="N21" i="15"/>
  <c r="P21" i="15" s="1"/>
  <c r="U21" i="15" s="1"/>
  <c r="P18" i="15"/>
  <c r="N17" i="15"/>
  <c r="P20" i="15"/>
  <c r="N19" i="15"/>
  <c r="Z33" i="15"/>
  <c r="U32" i="15"/>
  <c r="U31" i="15" s="1"/>
  <c r="U30" i="15" s="1"/>
  <c r="N42" i="15"/>
  <c r="N39" i="15" s="1"/>
  <c r="P43" i="15"/>
  <c r="Q15" i="15"/>
  <c r="Q14" i="15" s="1"/>
  <c r="Q10" i="15" s="1"/>
  <c r="N13" i="15"/>
  <c r="J15" i="15"/>
  <c r="L25" i="15"/>
  <c r="X25" i="15"/>
  <c r="X24" i="15" s="1"/>
  <c r="X23" i="15" s="1"/>
  <c r="P37" i="15"/>
  <c r="U41" i="15"/>
  <c r="L17" i="15"/>
  <c r="J19" i="15"/>
  <c r="J42" i="15"/>
  <c r="J39" i="15" s="1"/>
  <c r="J38" i="15" s="1"/>
  <c r="P46" i="15"/>
  <c r="N48" i="15"/>
  <c r="N47" i="15" s="1"/>
  <c r="Y53" i="15"/>
  <c r="Y38" i="15" s="1"/>
  <c r="Y9" i="15" s="1"/>
  <c r="AC53" i="15"/>
  <c r="AC38" i="15" s="1"/>
  <c r="N61" i="15"/>
  <c r="N60" i="15" s="1"/>
  <c r="Z68" i="15"/>
  <c r="P69" i="15"/>
  <c r="P66" i="15" s="1"/>
  <c r="X70" i="15"/>
  <c r="Y86" i="15"/>
  <c r="P88" i="15"/>
  <c r="P87" i="15" s="1"/>
  <c r="U89" i="15"/>
  <c r="P108" i="15"/>
  <c r="N107" i="15"/>
  <c r="N106" i="15" s="1"/>
  <c r="N99" i="15" s="1"/>
  <c r="X109" i="15"/>
  <c r="P111" i="15"/>
  <c r="U112" i="15"/>
  <c r="Y124" i="15"/>
  <c r="K129" i="15"/>
  <c r="K124" i="15" s="1"/>
  <c r="U143" i="15"/>
  <c r="U142" i="15" s="1"/>
  <c r="Z144" i="15"/>
  <c r="Y159" i="15"/>
  <c r="Y158" i="15" s="1"/>
  <c r="P175" i="15"/>
  <c r="N174" i="15"/>
  <c r="N173" i="15" s="1"/>
  <c r="P51" i="15"/>
  <c r="N64" i="15"/>
  <c r="N63" i="15" s="1"/>
  <c r="P74" i="15"/>
  <c r="P73" i="15" s="1"/>
  <c r="P72" i="15" s="1"/>
  <c r="P71" i="15" s="1"/>
  <c r="P82" i="15"/>
  <c r="N81" i="15"/>
  <c r="P84" i="15"/>
  <c r="N83" i="15"/>
  <c r="L86" i="15"/>
  <c r="X89" i="15"/>
  <c r="X88" i="15" s="1"/>
  <c r="X87" i="15" s="1"/>
  <c r="X86" i="15" s="1"/>
  <c r="V109" i="15"/>
  <c r="J129" i="15"/>
  <c r="J124" i="15" s="1"/>
  <c r="U141" i="15"/>
  <c r="P140" i="15"/>
  <c r="P139" i="15" s="1"/>
  <c r="N156" i="15"/>
  <c r="N153" i="15" s="1"/>
  <c r="L153" i="15"/>
  <c r="L149" i="15" s="1"/>
  <c r="L148" i="15" s="1"/>
  <c r="N164" i="15"/>
  <c r="N163" i="15" s="1"/>
  <c r="P165" i="15"/>
  <c r="U178" i="15"/>
  <c r="P177" i="15"/>
  <c r="P176" i="15" s="1"/>
  <c r="P91" i="15"/>
  <c r="P90" i="15" s="1"/>
  <c r="P95" i="15"/>
  <c r="N94" i="15"/>
  <c r="N93" i="15" s="1"/>
  <c r="P114" i="15"/>
  <c r="N113" i="15"/>
  <c r="N110" i="15" s="1"/>
  <c r="Z115" i="15"/>
  <c r="U132" i="15"/>
  <c r="P131" i="15"/>
  <c r="P130" i="15" s="1"/>
  <c r="P162" i="15"/>
  <c r="N161" i="15"/>
  <c r="N160" i="15" s="1"/>
  <c r="N168" i="15"/>
  <c r="L167" i="15"/>
  <c r="L166" i="15" s="1"/>
  <c r="N171" i="15"/>
  <c r="L170" i="15"/>
  <c r="L169" i="15" s="1"/>
  <c r="L57" i="15"/>
  <c r="Z58" i="15"/>
  <c r="L64" i="15"/>
  <c r="L63" i="15" s="1"/>
  <c r="K85" i="15"/>
  <c r="P98" i="15"/>
  <c r="N97" i="15"/>
  <c r="N96" i="15" s="1"/>
  <c r="M109" i="15"/>
  <c r="M85" i="15" s="1"/>
  <c r="W109" i="15"/>
  <c r="W85" i="15" s="1"/>
  <c r="P120" i="15"/>
  <c r="N119" i="15"/>
  <c r="N118" i="15" s="1"/>
  <c r="L127" i="15"/>
  <c r="L126" i="15" s="1"/>
  <c r="L125" i="15" s="1"/>
  <c r="N128" i="15"/>
  <c r="N88" i="15"/>
  <c r="N87" i="15" s="1"/>
  <c r="V126" i="15"/>
  <c r="V125" i="15" s="1"/>
  <c r="S141" i="15"/>
  <c r="J189" i="15"/>
  <c r="X189" i="15"/>
  <c r="N192" i="15"/>
  <c r="N191" i="15" s="1"/>
  <c r="N190" i="15" s="1"/>
  <c r="P193" i="15"/>
  <c r="V194" i="15"/>
  <c r="U203" i="15"/>
  <c r="P202" i="15"/>
  <c r="P201" i="15" s="1"/>
  <c r="P152" i="15"/>
  <c r="N151" i="15"/>
  <c r="N150" i="15" s="1"/>
  <c r="V159" i="15"/>
  <c r="V158" i="15" s="1"/>
  <c r="Z184" i="15"/>
  <c r="U183" i="15"/>
  <c r="U182" i="15" s="1"/>
  <c r="N188" i="15"/>
  <c r="L187" i="15"/>
  <c r="L186" i="15" s="1"/>
  <c r="L185" i="15" s="1"/>
  <c r="AC224" i="15"/>
  <c r="AA233" i="15"/>
  <c r="AA232" i="15" s="1"/>
  <c r="AA231" i="15" s="1"/>
  <c r="Z232" i="15"/>
  <c r="Z102" i="15"/>
  <c r="Z105" i="15"/>
  <c r="N131" i="15"/>
  <c r="N130" i="15" s="1"/>
  <c r="U135" i="15"/>
  <c r="N138" i="15"/>
  <c r="S144" i="15"/>
  <c r="J149" i="15"/>
  <c r="J148" i="15" s="1"/>
  <c r="L154" i="15"/>
  <c r="N154" i="15" s="1"/>
  <c r="P154" i="15" s="1"/>
  <c r="U154" i="15" s="1"/>
  <c r="L157" i="15"/>
  <c r="N157" i="15" s="1"/>
  <c r="P157" i="15" s="1"/>
  <c r="L161" i="15"/>
  <c r="L160" i="15" s="1"/>
  <c r="L159" i="15" s="1"/>
  <c r="AC172" i="15"/>
  <c r="N181" i="15"/>
  <c r="U196" i="15"/>
  <c r="U195" i="15" s="1"/>
  <c r="Z197" i="15"/>
  <c r="N227" i="15"/>
  <c r="L226" i="15"/>
  <c r="L225" i="15" s="1"/>
  <c r="L110" i="15"/>
  <c r="L109" i="15" s="1"/>
  <c r="Z121" i="15"/>
  <c r="V133" i="15"/>
  <c r="V129" i="15" s="1"/>
  <c r="L140" i="15"/>
  <c r="L139" i="15" s="1"/>
  <c r="L129" i="15" s="1"/>
  <c r="Y149" i="15"/>
  <c r="Y148" i="15" s="1"/>
  <c r="K159" i="15"/>
  <c r="K158" i="15" s="1"/>
  <c r="L164" i="15"/>
  <c r="L163" i="15" s="1"/>
  <c r="V189" i="15"/>
  <c r="P207" i="15"/>
  <c r="N206" i="15"/>
  <c r="N210" i="15"/>
  <c r="N209" i="15" s="1"/>
  <c r="N208" i="15" s="1"/>
  <c r="P211" i="15"/>
  <c r="Z213" i="15"/>
  <c r="U239" i="15"/>
  <c r="P238" i="15"/>
  <c r="P237" i="15" s="1"/>
  <c r="P196" i="15"/>
  <c r="P195" i="15" s="1"/>
  <c r="Z200" i="15"/>
  <c r="L204" i="15"/>
  <c r="W204" i="15"/>
  <c r="W189" i="15" s="1"/>
  <c r="L217" i="15"/>
  <c r="L216" i="15" s="1"/>
  <c r="P218" i="15"/>
  <c r="P221" i="15"/>
  <c r="N238" i="15"/>
  <c r="N237" i="15" s="1"/>
  <c r="Q240" i="15"/>
  <c r="P243" i="15"/>
  <c r="N242" i="15"/>
  <c r="N241" i="15" s="1"/>
  <c r="L257" i="15"/>
  <c r="L256" i="15" s="1"/>
  <c r="N258" i="15"/>
  <c r="U260" i="15"/>
  <c r="U259" i="15" s="1"/>
  <c r="Z261" i="15"/>
  <c r="Z268" i="15"/>
  <c r="X282" i="15"/>
  <c r="X278" i="15" s="1"/>
  <c r="L215" i="15"/>
  <c r="N215" i="15" s="1"/>
  <c r="U232" i="15"/>
  <c r="U231" i="15" s="1"/>
  <c r="AB236" i="15"/>
  <c r="AB235" i="15" s="1"/>
  <c r="AB234" i="15" s="1"/>
  <c r="Z235" i="15"/>
  <c r="K240" i="15"/>
  <c r="K223" i="15" s="1"/>
  <c r="Z247" i="15"/>
  <c r="L251" i="15"/>
  <c r="L250" i="15" s="1"/>
  <c r="N252" i="15"/>
  <c r="P254" i="15"/>
  <c r="P253" i="15" s="1"/>
  <c r="U255" i="15"/>
  <c r="N266" i="15"/>
  <c r="N265" i="15" s="1"/>
  <c r="P267" i="15"/>
  <c r="P277" i="15"/>
  <c r="N276" i="15"/>
  <c r="N275" i="15" s="1"/>
  <c r="N274" i="15" s="1"/>
  <c r="P288" i="15"/>
  <c r="K205" i="15"/>
  <c r="O205" i="15"/>
  <c r="V205" i="15"/>
  <c r="J280" i="15"/>
  <c r="J279" i="15" s="1"/>
  <c r="L281" i="15"/>
  <c r="J214" i="15"/>
  <c r="L214" i="15" s="1"/>
  <c r="N214" i="15" s="1"/>
  <c r="L230" i="15"/>
  <c r="L232" i="15"/>
  <c r="L231" i="15" s="1"/>
  <c r="P232" i="15"/>
  <c r="P231" i="15" s="1"/>
  <c r="Y240" i="15"/>
  <c r="U290" i="15"/>
  <c r="P289" i="15"/>
  <c r="L264" i="15"/>
  <c r="J263" i="15"/>
  <c r="J262" i="15" s="1"/>
  <c r="J240" i="15" s="1"/>
  <c r="V283" i="15"/>
  <c r="V282" i="15" s="1"/>
  <c r="V278" i="15" s="1"/>
  <c r="V223" i="15" s="1"/>
  <c r="N289" i="15"/>
  <c r="U294" i="15"/>
  <c r="Z295" i="15"/>
  <c r="AB297" i="15"/>
  <c r="AB296" i="15" s="1"/>
  <c r="AB295" i="15" s="1"/>
  <c r="P306" i="15"/>
  <c r="N305" i="15"/>
  <c r="N304" i="15" s="1"/>
  <c r="N311" i="15"/>
  <c r="L310" i="15"/>
  <c r="L307" i="15" s="1"/>
  <c r="N313" i="15"/>
  <c r="N312" i="15" s="1"/>
  <c r="P314" i="15"/>
  <c r="U323" i="15"/>
  <c r="P322" i="15"/>
  <c r="P345" i="15"/>
  <c r="N344" i="15"/>
  <c r="N343" i="15" s="1"/>
  <c r="N342" i="15" s="1"/>
  <c r="N341" i="15" s="1"/>
  <c r="U246" i="15"/>
  <c r="P245" i="15"/>
  <c r="P244" i="15" s="1"/>
  <c r="AA249" i="15"/>
  <c r="AA248" i="15" s="1"/>
  <c r="AA247" i="15" s="1"/>
  <c r="AA270" i="15"/>
  <c r="AA269" i="15" s="1"/>
  <c r="AA268" i="15" s="1"/>
  <c r="P302" i="15"/>
  <c r="N301" i="15"/>
  <c r="N300" i="15" s="1"/>
  <c r="N299" i="15" s="1"/>
  <c r="K326" i="15"/>
  <c r="P333" i="15"/>
  <c r="N332" i="15"/>
  <c r="P339" i="15"/>
  <c r="P338" i="15" s="1"/>
  <c r="P337" i="15" s="1"/>
  <c r="U340" i="15"/>
  <c r="Z272" i="15"/>
  <c r="AC278" i="15"/>
  <c r="L284" i="15"/>
  <c r="M303" i="15"/>
  <c r="P309" i="15"/>
  <c r="N308" i="15"/>
  <c r="N330" i="15"/>
  <c r="P331" i="15"/>
  <c r="Z336" i="15"/>
  <c r="L313" i="15"/>
  <c r="L312" i="15" s="1"/>
  <c r="N322" i="15"/>
  <c r="Z355" i="15"/>
  <c r="U354" i="15"/>
  <c r="U353" i="15" s="1"/>
  <c r="U352" i="15" s="1"/>
  <c r="V360" i="15"/>
  <c r="Q360" i="15"/>
  <c r="AC369" i="15"/>
  <c r="AC326" i="15" s="1"/>
  <c r="P349" i="15"/>
  <c r="P348" i="15" s="1"/>
  <c r="P347" i="15" s="1"/>
  <c r="P346" i="15" s="1"/>
  <c r="U350" i="15"/>
  <c r="Z363" i="15"/>
  <c r="P367" i="15"/>
  <c r="P366" i="15" s="1"/>
  <c r="P365" i="15" s="1"/>
  <c r="U368" i="15"/>
  <c r="U374" i="15"/>
  <c r="P373" i="15"/>
  <c r="P372" i="15" s="1"/>
  <c r="P371" i="15" s="1"/>
  <c r="P370" i="15" s="1"/>
  <c r="W303" i="15"/>
  <c r="L318" i="15"/>
  <c r="N325" i="15"/>
  <c r="O327" i="15"/>
  <c r="L332" i="15"/>
  <c r="N335" i="15"/>
  <c r="J308" i="15"/>
  <c r="J307" i="15" s="1"/>
  <c r="J303" i="15" s="1"/>
  <c r="J298" i="15" s="1"/>
  <c r="N320" i="15"/>
  <c r="L330" i="15"/>
  <c r="V354" i="15"/>
  <c r="V353" i="15" s="1"/>
  <c r="V352" i="15" s="1"/>
  <c r="V351" i="15" s="1"/>
  <c r="L363" i="15"/>
  <c r="N363" i="15" s="1"/>
  <c r="P363" i="15" s="1"/>
  <c r="U363" i="15" s="1"/>
  <c r="J362" i="15"/>
  <c r="N367" i="15"/>
  <c r="N366" i="15" s="1"/>
  <c r="N365" i="15" s="1"/>
  <c r="N373" i="15"/>
  <c r="N372" i="15" s="1"/>
  <c r="N371" i="15" s="1"/>
  <c r="N370" i="15" s="1"/>
  <c r="M376" i="15"/>
  <c r="M369" i="15" s="1"/>
  <c r="M326" i="15" s="1"/>
  <c r="U380" i="15"/>
  <c r="L379" i="15"/>
  <c r="L378" i="15" s="1"/>
  <c r="L377" i="15" s="1"/>
  <c r="N381" i="15"/>
  <c r="N386" i="15"/>
  <c r="L382" i="15"/>
  <c r="U359" i="15"/>
  <c r="P358" i="15"/>
  <c r="P357" i="15" s="1"/>
  <c r="P356" i="15" s="1"/>
  <c r="P351" i="15" s="1"/>
  <c r="P413" i="15"/>
  <c r="P412" i="15" s="1"/>
  <c r="U414" i="15"/>
  <c r="W397" i="15"/>
  <c r="W396" i="15" s="1"/>
  <c r="W391" i="15" s="1"/>
  <c r="W390" i="15" s="1"/>
  <c r="AA397" i="15"/>
  <c r="AA396" i="15" s="1"/>
  <c r="AA391" i="15" s="1"/>
  <c r="AA390" i="15" s="1"/>
  <c r="L402" i="15"/>
  <c r="L409" i="15"/>
  <c r="U410" i="15"/>
  <c r="Z411" i="15"/>
  <c r="N413" i="15"/>
  <c r="N412" i="15" s="1"/>
  <c r="N394" i="15"/>
  <c r="N393" i="15" s="1"/>
  <c r="N392" i="15" s="1"/>
  <c r="N402" i="15"/>
  <c r="P403" i="15"/>
  <c r="U395" i="15"/>
  <c r="P394" i="15"/>
  <c r="P393" i="15" s="1"/>
  <c r="P392" i="15" s="1"/>
  <c r="U401" i="15"/>
  <c r="P400" i="15"/>
  <c r="X407" i="15"/>
  <c r="X406" i="15" s="1"/>
  <c r="X405" i="15" s="1"/>
  <c r="X404" i="15" s="1"/>
  <c r="L399" i="15"/>
  <c r="J398" i="15"/>
  <c r="J397" i="15" s="1"/>
  <c r="J396" i="15" s="1"/>
  <c r="J391" i="15" s="1"/>
  <c r="J390" i="15" s="1"/>
  <c r="E15" i="43"/>
  <c r="E11" i="43"/>
  <c r="O157" i="16" l="1"/>
  <c r="O156" i="16" s="1"/>
  <c r="O155" i="16" s="1"/>
  <c r="O154" i="16" s="1"/>
  <c r="Q158" i="16"/>
  <c r="M335" i="16"/>
  <c r="Q166" i="16"/>
  <c r="O165" i="16"/>
  <c r="O164" i="16" s="1"/>
  <c r="O160" i="16" s="1"/>
  <c r="O159" i="16" s="1"/>
  <c r="M346" i="16"/>
  <c r="S176" i="16"/>
  <c r="Q175" i="16"/>
  <c r="Q137" i="16"/>
  <c r="Q173" i="16"/>
  <c r="S174" i="16"/>
  <c r="O339" i="16"/>
  <c r="Q141" i="16"/>
  <c r="O140" i="16"/>
  <c r="O139" i="16" s="1"/>
  <c r="Q33" i="16"/>
  <c r="O32" i="16"/>
  <c r="O31" i="16" s="1"/>
  <c r="M125" i="16"/>
  <c r="M124" i="16" s="1"/>
  <c r="P355" i="16"/>
  <c r="M200" i="16"/>
  <c r="M199" i="16" s="1"/>
  <c r="R355" i="16"/>
  <c r="O51" i="16"/>
  <c r="O50" i="16" s="1"/>
  <c r="Q52" i="16"/>
  <c r="Q262" i="16"/>
  <c r="Q261" i="16" s="1"/>
  <c r="S263" i="16"/>
  <c r="S209" i="16"/>
  <c r="Q208" i="16"/>
  <c r="Q207" i="16" s="1"/>
  <c r="Q37" i="16"/>
  <c r="Q36" i="16" s="1"/>
  <c r="S38" i="16"/>
  <c r="Q106" i="16"/>
  <c r="O105" i="16"/>
  <c r="O104" i="16" s="1"/>
  <c r="S260" i="16"/>
  <c r="Q259" i="16"/>
  <c r="S311" i="16"/>
  <c r="Q310" i="16"/>
  <c r="Q309" i="16" s="1"/>
  <c r="S15" i="16"/>
  <c r="Q14" i="16"/>
  <c r="S12" i="16"/>
  <c r="Q11" i="16"/>
  <c r="Q10" i="16" s="1"/>
  <c r="O77" i="16"/>
  <c r="Q78" i="16"/>
  <c r="O76" i="16"/>
  <c r="Q252" i="16"/>
  <c r="Q251" i="16" s="1"/>
  <c r="S253" i="16"/>
  <c r="Q170" i="16"/>
  <c r="Q169" i="16" s="1"/>
  <c r="S171" i="16"/>
  <c r="Q45" i="16"/>
  <c r="Q44" i="16" s="1"/>
  <c r="S46" i="16"/>
  <c r="X182" i="16"/>
  <c r="S304" i="16"/>
  <c r="Q302" i="16"/>
  <c r="Q301" i="16" s="1"/>
  <c r="S62" i="16"/>
  <c r="Q61" i="16"/>
  <c r="S186" i="16"/>
  <c r="X187" i="16"/>
  <c r="Q205" i="16"/>
  <c r="Q204" i="16" s="1"/>
  <c r="S206" i="16"/>
  <c r="Q162" i="16"/>
  <c r="Q161" i="16" s="1"/>
  <c r="S163" i="16"/>
  <c r="S290" i="16"/>
  <c r="X291" i="16"/>
  <c r="S349" i="16"/>
  <c r="Q348" i="16"/>
  <c r="Q49" i="16"/>
  <c r="O48" i="16"/>
  <c r="O47" i="16" s="1"/>
  <c r="S102" i="16"/>
  <c r="X103" i="16"/>
  <c r="S128" i="16"/>
  <c r="Q127" i="16"/>
  <c r="Q126" i="16" s="1"/>
  <c r="S236" i="16"/>
  <c r="Q235" i="16"/>
  <c r="Q234" i="16" s="1"/>
  <c r="S239" i="16"/>
  <c r="Q238" i="16"/>
  <c r="Q237" i="16" s="1"/>
  <c r="O211" i="16"/>
  <c r="O210" i="16" s="1"/>
  <c r="Q212" i="16"/>
  <c r="S282" i="16"/>
  <c r="X283" i="16"/>
  <c r="X323" i="16"/>
  <c r="S345" i="16"/>
  <c r="Q344" i="16"/>
  <c r="Q178" i="16"/>
  <c r="Q177" i="16" s="1"/>
  <c r="S179" i="16"/>
  <c r="Q79" i="16"/>
  <c r="S81" i="16"/>
  <c r="Q80" i="16"/>
  <c r="O26" i="16"/>
  <c r="O25" i="16" s="1"/>
  <c r="Q27" i="16"/>
  <c r="O168" i="16"/>
  <c r="O167" i="16" s="1"/>
  <c r="O329" i="16"/>
  <c r="O326" i="16" s="1"/>
  <c r="O322" i="16" s="1"/>
  <c r="Q330" i="16"/>
  <c r="S35" i="16"/>
  <c r="Q34" i="16"/>
  <c r="S39" i="16"/>
  <c r="X39" i="16" s="1"/>
  <c r="X40" i="16"/>
  <c r="S19" i="16"/>
  <c r="Q18" i="16"/>
  <c r="X203" i="16"/>
  <c r="S202" i="16"/>
  <c r="S247" i="16"/>
  <c r="Q246" i="16"/>
  <c r="Q245" i="16" s="1"/>
  <c r="Q219" i="16"/>
  <c r="O218" i="16"/>
  <c r="O213" i="16" s="1"/>
  <c r="S265" i="16"/>
  <c r="X266" i="16"/>
  <c r="S351" i="16"/>
  <c r="Q350" i="16"/>
  <c r="S121" i="16"/>
  <c r="X121" i="16" s="1"/>
  <c r="X122" i="16"/>
  <c r="S226" i="16"/>
  <c r="X226" i="16" s="1"/>
  <c r="X227" i="16"/>
  <c r="S256" i="16"/>
  <c r="Q255" i="16"/>
  <c r="O296" i="16"/>
  <c r="O295" i="16" s="1"/>
  <c r="O280" i="16" s="1"/>
  <c r="O279" i="16" s="1"/>
  <c r="Q297" i="16"/>
  <c r="Q313" i="16"/>
  <c r="Q312" i="16" s="1"/>
  <c r="S314" i="16"/>
  <c r="Q75" i="16"/>
  <c r="O74" i="16"/>
  <c r="O71" i="16" s="1"/>
  <c r="Q112" i="16"/>
  <c r="O111" i="16"/>
  <c r="O110" i="16" s="1"/>
  <c r="S221" i="16"/>
  <c r="Q220" i="16"/>
  <c r="X272" i="16"/>
  <c r="S271" i="16"/>
  <c r="Q307" i="16"/>
  <c r="Q306" i="16" s="1"/>
  <c r="Q305" i="16" s="1"/>
  <c r="S308" i="16"/>
  <c r="M331" i="16"/>
  <c r="O331" i="16" s="1"/>
  <c r="Q331" i="16" s="1"/>
  <c r="S331" i="16" s="1"/>
  <c r="X331" i="16" s="1"/>
  <c r="K321" i="16"/>
  <c r="K355" i="16" s="1"/>
  <c r="Q66" i="16"/>
  <c r="Q65" i="16" s="1"/>
  <c r="S67" i="16"/>
  <c r="X30" i="16"/>
  <c r="X29" i="16" s="1"/>
  <c r="X28" i="16" s="1"/>
  <c r="S29" i="16"/>
  <c r="S28" i="16" s="1"/>
  <c r="Q60" i="16"/>
  <c r="O59" i="16"/>
  <c r="O58" i="16" s="1"/>
  <c r="Q93" i="16"/>
  <c r="O92" i="16"/>
  <c r="O91" i="16" s="1"/>
  <c r="Q136" i="16"/>
  <c r="Q135" i="16" s="1"/>
  <c r="S137" i="16"/>
  <c r="Q284" i="16"/>
  <c r="S285" i="16"/>
  <c r="M9" i="16"/>
  <c r="M8" i="16" s="1"/>
  <c r="S43" i="16"/>
  <c r="Q42" i="16"/>
  <c r="Q41" i="16" s="1"/>
  <c r="S84" i="16"/>
  <c r="Q83" i="16"/>
  <c r="Q82" i="16" s="1"/>
  <c r="O119" i="16"/>
  <c r="O118" i="16" s="1"/>
  <c r="O117" i="16" s="1"/>
  <c r="O116" i="16" s="1"/>
  <c r="Q120" i="16"/>
  <c r="X258" i="16"/>
  <c r="S257" i="16"/>
  <c r="X257" i="16" s="1"/>
  <c r="O243" i="16"/>
  <c r="O240" i="16" s="1"/>
  <c r="Q244" i="16"/>
  <c r="S287" i="16"/>
  <c r="Q286" i="16"/>
  <c r="Q23" i="16"/>
  <c r="Q22" i="16" s="1"/>
  <c r="S24" i="16"/>
  <c r="S95" i="16"/>
  <c r="Q94" i="16"/>
  <c r="Q194" i="16"/>
  <c r="Q193" i="16" s="1"/>
  <c r="Q189" i="16" s="1"/>
  <c r="S195" i="16"/>
  <c r="O232" i="16"/>
  <c r="O231" i="16" s="1"/>
  <c r="Q233" i="16"/>
  <c r="Q268" i="16"/>
  <c r="Q267" i="16" s="1"/>
  <c r="S269" i="16"/>
  <c r="O337" i="16"/>
  <c r="O336" i="16" s="1"/>
  <c r="Q338" i="16"/>
  <c r="Q53" i="16"/>
  <c r="S54" i="16"/>
  <c r="S16" i="16"/>
  <c r="X17" i="16"/>
  <c r="X16" i="16" s="1"/>
  <c r="S143" i="16"/>
  <c r="X144" i="16"/>
  <c r="S134" i="16"/>
  <c r="Q133" i="16"/>
  <c r="Q132" i="16" s="1"/>
  <c r="X215" i="16"/>
  <c r="S214" i="16"/>
  <c r="W189" i="16"/>
  <c r="W188" i="16" s="1"/>
  <c r="X196" i="16"/>
  <c r="X293" i="16"/>
  <c r="S292" i="16"/>
  <c r="X292" i="16" s="1"/>
  <c r="S343" i="16"/>
  <c r="Q342" i="16"/>
  <c r="X146" i="16"/>
  <c r="S145" i="16"/>
  <c r="X145" i="16" s="1"/>
  <c r="O130" i="16"/>
  <c r="O129" i="16" s="1"/>
  <c r="Q131" i="16"/>
  <c r="Q224" i="16"/>
  <c r="Q223" i="16" s="1"/>
  <c r="S225" i="16"/>
  <c r="Q241" i="16"/>
  <c r="S242" i="16"/>
  <c r="Q70" i="16"/>
  <c r="O69" i="16"/>
  <c r="O68" i="16" s="1"/>
  <c r="X249" i="16"/>
  <c r="S248" i="16"/>
  <c r="X248" i="16" s="1"/>
  <c r="S315" i="16"/>
  <c r="X315" i="16" s="1"/>
  <c r="X316" i="16"/>
  <c r="X341" i="16"/>
  <c r="S340" i="16"/>
  <c r="O353" i="16"/>
  <c r="O352" i="16" s="1"/>
  <c r="O346" i="16" s="1"/>
  <c r="Q354" i="16"/>
  <c r="L9" i="16"/>
  <c r="L8" i="16" s="1"/>
  <c r="L355" i="16" s="1"/>
  <c r="O9" i="15"/>
  <c r="O8" i="15" s="1"/>
  <c r="V85" i="15"/>
  <c r="Y85" i="15"/>
  <c r="Y8" i="15" s="1"/>
  <c r="AC85" i="15"/>
  <c r="O85" i="15"/>
  <c r="L189" i="15"/>
  <c r="X223" i="15"/>
  <c r="Y223" i="15"/>
  <c r="Y222" i="15" s="1"/>
  <c r="S222" i="15"/>
  <c r="R415" i="15"/>
  <c r="AC298" i="15"/>
  <c r="X298" i="15"/>
  <c r="X222" i="15" s="1"/>
  <c r="W298" i="15"/>
  <c r="V298" i="15"/>
  <c r="V222" i="15" s="1"/>
  <c r="O298" i="15"/>
  <c r="AB298" i="15"/>
  <c r="K298" i="15"/>
  <c r="K222" i="15" s="1"/>
  <c r="Y326" i="15"/>
  <c r="Q326" i="15"/>
  <c r="X326" i="15"/>
  <c r="N400" i="15"/>
  <c r="V9" i="15"/>
  <c r="W8" i="15"/>
  <c r="L158" i="15"/>
  <c r="O326" i="15"/>
  <c r="M298" i="15"/>
  <c r="Q223" i="15"/>
  <c r="Q222" i="15" s="1"/>
  <c r="P194" i="15"/>
  <c r="K8" i="15"/>
  <c r="X85" i="15"/>
  <c r="M223" i="15"/>
  <c r="M9" i="15"/>
  <c r="M8" i="15" s="1"/>
  <c r="V326" i="15"/>
  <c r="L303" i="15"/>
  <c r="N149" i="15"/>
  <c r="N148" i="15" s="1"/>
  <c r="N109" i="15"/>
  <c r="Q9" i="15"/>
  <c r="Q8" i="15" s="1"/>
  <c r="O223" i="15"/>
  <c r="L286" i="15"/>
  <c r="J285" i="15"/>
  <c r="J282" i="15" s="1"/>
  <c r="J278" i="15" s="1"/>
  <c r="J223" i="15" s="1"/>
  <c r="J222" i="15" s="1"/>
  <c r="P384" i="15"/>
  <c r="U385" i="15"/>
  <c r="W223" i="15"/>
  <c r="P55" i="15"/>
  <c r="N54" i="15"/>
  <c r="P76" i="15"/>
  <c r="U77" i="15"/>
  <c r="L27" i="15"/>
  <c r="N27" i="15" s="1"/>
  <c r="P27" i="15" s="1"/>
  <c r="U27" i="15" s="1"/>
  <c r="Z27" i="15" s="1"/>
  <c r="J26" i="15"/>
  <c r="L26" i="15" s="1"/>
  <c r="N26" i="15" s="1"/>
  <c r="P26" i="15" s="1"/>
  <c r="U26" i="15" s="1"/>
  <c r="Z26" i="15" s="1"/>
  <c r="N399" i="15"/>
  <c r="L398" i="15"/>
  <c r="L397" i="15" s="1"/>
  <c r="L396" i="15" s="1"/>
  <c r="L391" i="15" s="1"/>
  <c r="L390" i="15" s="1"/>
  <c r="Z359" i="15"/>
  <c r="U358" i="15"/>
  <c r="U357" i="15" s="1"/>
  <c r="U356" i="15" s="1"/>
  <c r="P386" i="15"/>
  <c r="U386" i="15" s="1"/>
  <c r="N382" i="15"/>
  <c r="P320" i="15"/>
  <c r="N319" i="15"/>
  <c r="P381" i="15"/>
  <c r="N379" i="15"/>
  <c r="N378" i="15" s="1"/>
  <c r="N377" i="15" s="1"/>
  <c r="N376" i="15" s="1"/>
  <c r="N369" i="15" s="1"/>
  <c r="P325" i="15"/>
  <c r="N324" i="15"/>
  <c r="N321" i="15" s="1"/>
  <c r="Z362" i="15"/>
  <c r="Z290" i="15"/>
  <c r="U289" i="15"/>
  <c r="P287" i="15"/>
  <c r="U288" i="15"/>
  <c r="P252" i="15"/>
  <c r="N251" i="15"/>
  <c r="N250" i="15" s="1"/>
  <c r="N204" i="15"/>
  <c r="N189" i="15" s="1"/>
  <c r="N205" i="15"/>
  <c r="Z135" i="15"/>
  <c r="U134" i="15"/>
  <c r="U133" i="15" s="1"/>
  <c r="AB105" i="15"/>
  <c r="AB104" i="15" s="1"/>
  <c r="AB103" i="15" s="1"/>
  <c r="Z104" i="15"/>
  <c r="AA184" i="15"/>
  <c r="AA183" i="15" s="1"/>
  <c r="AA182" i="15" s="1"/>
  <c r="AA159" i="15" s="1"/>
  <c r="AA158" i="15" s="1"/>
  <c r="Z183" i="15"/>
  <c r="S124" i="15"/>
  <c r="S8" i="15" s="1"/>
  <c r="P119" i="15"/>
  <c r="P118" i="15" s="1"/>
  <c r="U120" i="15"/>
  <c r="P97" i="15"/>
  <c r="P96" i="15" s="1"/>
  <c r="U98" i="15"/>
  <c r="Z178" i="15"/>
  <c r="U177" i="15"/>
  <c r="U176" i="15" s="1"/>
  <c r="Z401" i="15"/>
  <c r="U400" i="15"/>
  <c r="Z414" i="15"/>
  <c r="U413" i="15"/>
  <c r="U412" i="15" s="1"/>
  <c r="L376" i="15"/>
  <c r="L369" i="15" s="1"/>
  <c r="L329" i="15"/>
  <c r="L328" i="15" s="1"/>
  <c r="L327" i="15" s="1"/>
  <c r="P335" i="15"/>
  <c r="N334" i="15"/>
  <c r="N318" i="15"/>
  <c r="L317" i="15"/>
  <c r="L316" i="15" s="1"/>
  <c r="L315" i="15" s="1"/>
  <c r="U367" i="15"/>
  <c r="U366" i="15" s="1"/>
  <c r="U365" i="15" s="1"/>
  <c r="Z368" i="15"/>
  <c r="Z350" i="15"/>
  <c r="U349" i="15"/>
  <c r="U348" i="15" s="1"/>
  <c r="U347" i="15" s="1"/>
  <c r="U346" i="15" s="1"/>
  <c r="AB336" i="15"/>
  <c r="N329" i="15"/>
  <c r="N328" i="15" s="1"/>
  <c r="N327" i="15" s="1"/>
  <c r="N284" i="15"/>
  <c r="L283" i="15"/>
  <c r="U245" i="15"/>
  <c r="U244" i="15" s="1"/>
  <c r="Z246" i="15"/>
  <c r="Z294" i="15"/>
  <c r="U293" i="15"/>
  <c r="U292" i="15" s="1"/>
  <c r="N230" i="15"/>
  <c r="L229" i="15"/>
  <c r="L228" i="15" s="1"/>
  <c r="L224" i="15" s="1"/>
  <c r="U243" i="15"/>
  <c r="P242" i="15"/>
  <c r="P241" i="15" s="1"/>
  <c r="P217" i="15"/>
  <c r="P216" i="15" s="1"/>
  <c r="U218" i="15"/>
  <c r="Z199" i="15"/>
  <c r="AA200" i="15"/>
  <c r="AA199" i="15" s="1"/>
  <c r="AA198" i="15" s="1"/>
  <c r="AA194" i="15" s="1"/>
  <c r="AB213" i="15"/>
  <c r="AB212" i="15" s="1"/>
  <c r="Z212" i="15"/>
  <c r="U207" i="15"/>
  <c r="P206" i="15"/>
  <c r="N129" i="15"/>
  <c r="AB102" i="15"/>
  <c r="AB101" i="15" s="1"/>
  <c r="AB100" i="15" s="1"/>
  <c r="Z101" i="15"/>
  <c r="U202" i="15"/>
  <c r="U201" i="15" s="1"/>
  <c r="U194" i="15" s="1"/>
  <c r="Z203" i="15"/>
  <c r="V124" i="15"/>
  <c r="P128" i="15"/>
  <c r="N127" i="15"/>
  <c r="N126" i="15" s="1"/>
  <c r="N125" i="15" s="1"/>
  <c r="P171" i="15"/>
  <c r="N170" i="15"/>
  <c r="N169" i="15" s="1"/>
  <c r="U162" i="15"/>
  <c r="P161" i="15"/>
  <c r="P160" i="15" s="1"/>
  <c r="U95" i="15"/>
  <c r="P94" i="15"/>
  <c r="P93" i="15" s="1"/>
  <c r="P86" i="15" s="1"/>
  <c r="P164" i="15"/>
  <c r="P163" i="15" s="1"/>
  <c r="U165" i="15"/>
  <c r="L85" i="15"/>
  <c r="N80" i="15"/>
  <c r="N79" i="15" s="1"/>
  <c r="N78" i="15" s="1"/>
  <c r="AA68" i="15"/>
  <c r="AA67" i="15" s="1"/>
  <c r="AA66" i="15" s="1"/>
  <c r="Z67" i="15"/>
  <c r="L24" i="15"/>
  <c r="L23" i="15" s="1"/>
  <c r="N25" i="15"/>
  <c r="U43" i="15"/>
  <c r="P42" i="15"/>
  <c r="P39" i="15" s="1"/>
  <c r="U18" i="15"/>
  <c r="P17" i="15"/>
  <c r="Z49" i="15"/>
  <c r="U48" i="15"/>
  <c r="L14" i="15"/>
  <c r="L10" i="15" s="1"/>
  <c r="Z380" i="15"/>
  <c r="U302" i="15"/>
  <c r="P301" i="15"/>
  <c r="P300" i="15" s="1"/>
  <c r="P299" i="15" s="1"/>
  <c r="P305" i="15"/>
  <c r="P304" i="15" s="1"/>
  <c r="U306" i="15"/>
  <c r="N264" i="15"/>
  <c r="L263" i="15"/>
  <c r="L262" i="15" s="1"/>
  <c r="L240" i="15" s="1"/>
  <c r="Z255" i="15"/>
  <c r="U254" i="15"/>
  <c r="U253" i="15" s="1"/>
  <c r="Z234" i="15"/>
  <c r="P258" i="15"/>
  <c r="N257" i="15"/>
  <c r="N256" i="15" s="1"/>
  <c r="U211" i="15"/>
  <c r="P210" i="15"/>
  <c r="P209" i="15" s="1"/>
  <c r="P208" i="15" s="1"/>
  <c r="P227" i="15"/>
  <c r="N226" i="15"/>
  <c r="N225" i="15" s="1"/>
  <c r="AC223" i="15"/>
  <c r="AC222" i="15" s="1"/>
  <c r="P188" i="15"/>
  <c r="N187" i="15"/>
  <c r="N186" i="15" s="1"/>
  <c r="N185" i="15" s="1"/>
  <c r="N86" i="15"/>
  <c r="L124" i="15"/>
  <c r="Z92" i="15"/>
  <c r="U91" i="15"/>
  <c r="U90" i="15" s="1"/>
  <c r="Z141" i="15"/>
  <c r="U140" i="15"/>
  <c r="U139" i="15" s="1"/>
  <c r="U82" i="15"/>
  <c r="P81" i="15"/>
  <c r="U46" i="15"/>
  <c r="P45" i="15"/>
  <c r="P44" i="15" s="1"/>
  <c r="Z41" i="15"/>
  <c r="U40" i="15"/>
  <c r="J14" i="15"/>
  <c r="J10" i="15" s="1"/>
  <c r="Z21" i="15"/>
  <c r="P16" i="15"/>
  <c r="N15" i="15"/>
  <c r="N14" i="15" s="1"/>
  <c r="AB411" i="15"/>
  <c r="AB410" i="15" s="1"/>
  <c r="Z410" i="15"/>
  <c r="J361" i="15"/>
  <c r="J360" i="15" s="1"/>
  <c r="L362" i="15"/>
  <c r="U351" i="15"/>
  <c r="U333" i="15"/>
  <c r="P332" i="15"/>
  <c r="U345" i="15"/>
  <c r="P344" i="15"/>
  <c r="P343" i="15" s="1"/>
  <c r="P342" i="15" s="1"/>
  <c r="P341" i="15" s="1"/>
  <c r="Z323" i="15"/>
  <c r="U322" i="15"/>
  <c r="P311" i="15"/>
  <c r="N310" i="15"/>
  <c r="N307" i="15" s="1"/>
  <c r="N303" i="15" s="1"/>
  <c r="N281" i="15"/>
  <c r="L280" i="15"/>
  <c r="L279" i="15" s="1"/>
  <c r="U277" i="15"/>
  <c r="P276" i="15"/>
  <c r="P275" i="15" s="1"/>
  <c r="P274" i="15" s="1"/>
  <c r="Z196" i="15"/>
  <c r="AB197" i="15"/>
  <c r="AB196" i="15" s="1"/>
  <c r="AB195" i="15" s="1"/>
  <c r="U157" i="15"/>
  <c r="P156" i="15"/>
  <c r="P138" i="15"/>
  <c r="N137" i="15"/>
  <c r="N136" i="15" s="1"/>
  <c r="Z231" i="15"/>
  <c r="N57" i="15"/>
  <c r="L56" i="15"/>
  <c r="L53" i="15" s="1"/>
  <c r="L38" i="15" s="1"/>
  <c r="P168" i="15"/>
  <c r="N167" i="15"/>
  <c r="N166" i="15" s="1"/>
  <c r="U131" i="15"/>
  <c r="U130" i="15" s="1"/>
  <c r="Z132" i="15"/>
  <c r="U111" i="15"/>
  <c r="Z112" i="15"/>
  <c r="U108" i="15"/>
  <c r="P107" i="15"/>
  <c r="P106" i="15" s="1"/>
  <c r="P99" i="15" s="1"/>
  <c r="U37" i="15"/>
  <c r="P36" i="15"/>
  <c r="P35" i="15" s="1"/>
  <c r="P34" i="15" s="1"/>
  <c r="N12" i="15"/>
  <c r="N11" i="15" s="1"/>
  <c r="P13" i="15"/>
  <c r="U20" i="15"/>
  <c r="P19" i="15"/>
  <c r="AA52" i="15"/>
  <c r="AA51" i="15" s="1"/>
  <c r="AA50" i="15" s="1"/>
  <c r="Z51" i="15"/>
  <c r="X10" i="15"/>
  <c r="X9" i="15" s="1"/>
  <c r="U61" i="15"/>
  <c r="U60" i="15" s="1"/>
  <c r="Z62" i="15"/>
  <c r="Z395" i="15"/>
  <c r="U394" i="15"/>
  <c r="U393" i="15" s="1"/>
  <c r="U392" i="15" s="1"/>
  <c r="P402" i="15"/>
  <c r="U403" i="15"/>
  <c r="N409" i="15"/>
  <c r="L408" i="15"/>
  <c r="L407" i="15" s="1"/>
  <c r="L406" i="15" s="1"/>
  <c r="L405" i="15" s="1"/>
  <c r="L404" i="15" s="1"/>
  <c r="Z374" i="15"/>
  <c r="U373" i="15"/>
  <c r="U372" i="15" s="1"/>
  <c r="U371" i="15" s="1"/>
  <c r="U370" i="15" s="1"/>
  <c r="AB355" i="15"/>
  <c r="AB354" i="15" s="1"/>
  <c r="AB353" i="15" s="1"/>
  <c r="AB352" i="15" s="1"/>
  <c r="Z354" i="15"/>
  <c r="P330" i="15"/>
  <c r="U331" i="15"/>
  <c r="U309" i="15"/>
  <c r="P308" i="15"/>
  <c r="Z271" i="15"/>
  <c r="Z340" i="15"/>
  <c r="U339" i="15"/>
  <c r="U338" i="15" s="1"/>
  <c r="U337" i="15" s="1"/>
  <c r="U314" i="15"/>
  <c r="P313" i="15"/>
  <c r="P312" i="15" s="1"/>
  <c r="P266" i="15"/>
  <c r="P265" i="15" s="1"/>
  <c r="U267" i="15"/>
  <c r="Z260" i="15"/>
  <c r="AA261" i="15"/>
  <c r="AA260" i="15" s="1"/>
  <c r="AA259" i="15" s="1"/>
  <c r="P220" i="15"/>
  <c r="P219" i="15" s="1"/>
  <c r="U221" i="15"/>
  <c r="Z239" i="15"/>
  <c r="U238" i="15"/>
  <c r="U237" i="15" s="1"/>
  <c r="P181" i="15"/>
  <c r="N180" i="15"/>
  <c r="N179" i="15" s="1"/>
  <c r="U152" i="15"/>
  <c r="P151" i="15"/>
  <c r="P150" i="15" s="1"/>
  <c r="U193" i="15"/>
  <c r="P192" i="15"/>
  <c r="P191" i="15" s="1"/>
  <c r="P190" i="15" s="1"/>
  <c r="P113" i="15"/>
  <c r="P110" i="15" s="1"/>
  <c r="P109" i="15" s="1"/>
  <c r="U114" i="15"/>
  <c r="U84" i="15"/>
  <c r="P83" i="15"/>
  <c r="U175" i="15"/>
  <c r="P174" i="15"/>
  <c r="P173" i="15" s="1"/>
  <c r="Z143" i="15"/>
  <c r="AB144" i="15"/>
  <c r="AB143" i="15" s="1"/>
  <c r="AB142" i="15" s="1"/>
  <c r="Z89" i="15"/>
  <c r="U88" i="15"/>
  <c r="U87" i="15" s="1"/>
  <c r="AB33" i="15"/>
  <c r="AB32" i="15" s="1"/>
  <c r="AB31" i="15" s="1"/>
  <c r="AB30" i="15" s="1"/>
  <c r="Z32" i="15"/>
  <c r="Z65" i="15"/>
  <c r="U64" i="15"/>
  <c r="U63" i="15" s="1"/>
  <c r="AB22" i="15"/>
  <c r="Z69" i="15"/>
  <c r="AA70" i="15"/>
  <c r="AC75" i="15"/>
  <c r="AC74" i="15" s="1"/>
  <c r="Z74" i="15"/>
  <c r="O103" i="2"/>
  <c r="O104" i="2"/>
  <c r="O105" i="2"/>
  <c r="O106" i="2"/>
  <c r="N141" i="2"/>
  <c r="O141" i="2"/>
  <c r="P141" i="2"/>
  <c r="Q141" i="2"/>
  <c r="R141" i="2"/>
  <c r="S141" i="2"/>
  <c r="T141" i="2"/>
  <c r="U141" i="2"/>
  <c r="V141" i="2"/>
  <c r="W141" i="2"/>
  <c r="X141" i="2"/>
  <c r="Y141" i="2"/>
  <c r="M141" i="2"/>
  <c r="O125" i="16" l="1"/>
  <c r="O124" i="16" s="1"/>
  <c r="O335" i="16"/>
  <c r="Q254" i="16"/>
  <c r="Q157" i="16"/>
  <c r="Q156" i="16" s="1"/>
  <c r="Q155" i="16" s="1"/>
  <c r="Q154" i="16" s="1"/>
  <c r="S158" i="16"/>
  <c r="Q281" i="16"/>
  <c r="Q172" i="16"/>
  <c r="X176" i="16"/>
  <c r="S175" i="16"/>
  <c r="X175" i="16" s="1"/>
  <c r="Q165" i="16"/>
  <c r="Q164" i="16" s="1"/>
  <c r="Q160" i="16" s="1"/>
  <c r="Q159" i="16" s="1"/>
  <c r="S166" i="16"/>
  <c r="S33" i="16"/>
  <c r="Q32" i="16"/>
  <c r="Q31" i="16" s="1"/>
  <c r="X174" i="16"/>
  <c r="S173" i="16"/>
  <c r="Q140" i="16"/>
  <c r="Q139" i="16" s="1"/>
  <c r="S141" i="16"/>
  <c r="O9" i="16"/>
  <c r="Q339" i="16"/>
  <c r="O200" i="16"/>
  <c r="O199" i="16" s="1"/>
  <c r="X214" i="16"/>
  <c r="X54" i="16"/>
  <c r="S53" i="16"/>
  <c r="X53" i="16" s="1"/>
  <c r="X269" i="16"/>
  <c r="S268" i="16"/>
  <c r="X195" i="16"/>
  <c r="S194" i="16"/>
  <c r="X24" i="16"/>
  <c r="X23" i="16" s="1"/>
  <c r="X22" i="16" s="1"/>
  <c r="S23" i="16"/>
  <c r="S22" i="16" s="1"/>
  <c r="S286" i="16"/>
  <c r="X286" i="16" s="1"/>
  <c r="X287" i="16"/>
  <c r="X84" i="16"/>
  <c r="S83" i="16"/>
  <c r="X285" i="16"/>
  <c r="S284" i="16"/>
  <c r="X284" i="16" s="1"/>
  <c r="S270" i="16"/>
  <c r="X270" i="16" s="1"/>
  <c r="X271" i="16"/>
  <c r="Q111" i="16"/>
  <c r="Q110" i="16" s="1"/>
  <c r="S112" i="16"/>
  <c r="X256" i="16"/>
  <c r="S255" i="16"/>
  <c r="X351" i="16"/>
  <c r="S350" i="16"/>
  <c r="X350" i="16" s="1"/>
  <c r="S219" i="16"/>
  <c r="Q218" i="16"/>
  <c r="Q213" i="16" s="1"/>
  <c r="S18" i="16"/>
  <c r="X19" i="16"/>
  <c r="X18" i="16" s="1"/>
  <c r="S34" i="16"/>
  <c r="X34" i="16" s="1"/>
  <c r="X35" i="16"/>
  <c r="S27" i="16"/>
  <c r="Q26" i="16"/>
  <c r="Q25" i="16" s="1"/>
  <c r="X345" i="16"/>
  <c r="S344" i="16"/>
  <c r="X344" i="16" s="1"/>
  <c r="X282" i="16"/>
  <c r="X239" i="16"/>
  <c r="S238" i="16"/>
  <c r="Q347" i="16"/>
  <c r="S61" i="16"/>
  <c r="X61" i="16" s="1"/>
  <c r="X62" i="16"/>
  <c r="M321" i="16"/>
  <c r="X253" i="16"/>
  <c r="S252" i="16"/>
  <c r="X15" i="16"/>
  <c r="X14" i="16" s="1"/>
  <c r="X13" i="16" s="1"/>
  <c r="S14" i="16"/>
  <c r="Q105" i="16"/>
  <c r="Q104" i="16" s="1"/>
  <c r="S106" i="16"/>
  <c r="X340" i="16"/>
  <c r="X225" i="16"/>
  <c r="S224" i="16"/>
  <c r="X343" i="16"/>
  <c r="S342" i="16"/>
  <c r="X342" i="16" s="1"/>
  <c r="X143" i="16"/>
  <c r="S142" i="16"/>
  <c r="X142" i="16" s="1"/>
  <c r="S244" i="16"/>
  <c r="Q243" i="16"/>
  <c r="Q240" i="16" s="1"/>
  <c r="S120" i="16"/>
  <c r="Q119" i="16"/>
  <c r="Q118" i="16" s="1"/>
  <c r="Q117" i="16" s="1"/>
  <c r="Q116" i="16" s="1"/>
  <c r="Q92" i="16"/>
  <c r="Q91" i="16" s="1"/>
  <c r="S93" i="16"/>
  <c r="Q296" i="16"/>
  <c r="Q295" i="16" s="1"/>
  <c r="Q280" i="16" s="1"/>
  <c r="Q279" i="16" s="1"/>
  <c r="S297" i="16"/>
  <c r="S330" i="16"/>
  <c r="Q329" i="16"/>
  <c r="Q326" i="16" s="1"/>
  <c r="Q322" i="16" s="1"/>
  <c r="X179" i="16"/>
  <c r="S178" i="16"/>
  <c r="S212" i="16"/>
  <c r="Q211" i="16"/>
  <c r="Q210" i="16" s="1"/>
  <c r="X128" i="16"/>
  <c r="S127" i="16"/>
  <c r="S49" i="16"/>
  <c r="Q48" i="16"/>
  <c r="Q47" i="16" s="1"/>
  <c r="X349" i="16"/>
  <c r="S348" i="16"/>
  <c r="X163" i="16"/>
  <c r="S162" i="16"/>
  <c r="S259" i="16"/>
  <c r="X259" i="16" s="1"/>
  <c r="X260" i="16"/>
  <c r="S52" i="16"/>
  <c r="Q51" i="16"/>
  <c r="Q50" i="16" s="1"/>
  <c r="S70" i="16"/>
  <c r="Q69" i="16"/>
  <c r="Q68" i="16" s="1"/>
  <c r="S338" i="16"/>
  <c r="Q337" i="16"/>
  <c r="Q336" i="16" s="1"/>
  <c r="Q335" i="16" s="1"/>
  <c r="S233" i="16"/>
  <c r="Q232" i="16"/>
  <c r="Q231" i="16" s="1"/>
  <c r="S42" i="16"/>
  <c r="X43" i="16"/>
  <c r="X137" i="16"/>
  <c r="S136" i="16"/>
  <c r="X67" i="16"/>
  <c r="S66" i="16"/>
  <c r="X308" i="16"/>
  <c r="S307" i="16"/>
  <c r="Q74" i="16"/>
  <c r="Q71" i="16" s="1"/>
  <c r="S75" i="16"/>
  <c r="S264" i="16"/>
  <c r="X264" i="16" s="1"/>
  <c r="X265" i="16"/>
  <c r="S246" i="16"/>
  <c r="X247" i="16"/>
  <c r="O321" i="16"/>
  <c r="S235" i="16"/>
  <c r="X236" i="16"/>
  <c r="S185" i="16"/>
  <c r="X186" i="16"/>
  <c r="X304" i="16"/>
  <c r="S302" i="16"/>
  <c r="X46" i="16"/>
  <c r="S45" i="16"/>
  <c r="X171" i="16"/>
  <c r="S170" i="16"/>
  <c r="S11" i="16"/>
  <c r="S10" i="16" s="1"/>
  <c r="X12" i="16"/>
  <c r="X11" i="16" s="1"/>
  <c r="X10" i="16" s="1"/>
  <c r="S310" i="16"/>
  <c r="X311" i="16"/>
  <c r="X38" i="16"/>
  <c r="S37" i="16"/>
  <c r="X209" i="16"/>
  <c r="S208" i="16"/>
  <c r="S354" i="16"/>
  <c r="Q353" i="16"/>
  <c r="Q352" i="16" s="1"/>
  <c r="X242" i="16"/>
  <c r="S241" i="16"/>
  <c r="S131" i="16"/>
  <c r="Q130" i="16"/>
  <c r="Q129" i="16" s="1"/>
  <c r="W8" i="16"/>
  <c r="W355" i="16" s="1"/>
  <c r="X188" i="16"/>
  <c r="S133" i="16"/>
  <c r="X134" i="16"/>
  <c r="S94" i="16"/>
  <c r="X94" i="16" s="1"/>
  <c r="X95" i="16"/>
  <c r="M355" i="16"/>
  <c r="S60" i="16"/>
  <c r="Q59" i="16"/>
  <c r="Q58" i="16" s="1"/>
  <c r="S220" i="16"/>
  <c r="X220" i="16" s="1"/>
  <c r="X221" i="16"/>
  <c r="S313" i="16"/>
  <c r="X314" i="16"/>
  <c r="X202" i="16"/>
  <c r="S201" i="16"/>
  <c r="X81" i="16"/>
  <c r="S80" i="16"/>
  <c r="X80" i="16" s="1"/>
  <c r="S79" i="16"/>
  <c r="X79" i="16" s="1"/>
  <c r="X102" i="16"/>
  <c r="S99" i="16"/>
  <c r="X99" i="16" s="1"/>
  <c r="X290" i="16"/>
  <c r="S289" i="16"/>
  <c r="X289" i="16" s="1"/>
  <c r="X206" i="16"/>
  <c r="S205" i="16"/>
  <c r="Q168" i="16"/>
  <c r="Q167" i="16" s="1"/>
  <c r="S78" i="16"/>
  <c r="Q77" i="16"/>
  <c r="Q76" i="16"/>
  <c r="Q13" i="16"/>
  <c r="X263" i="16"/>
  <c r="S262" i="16"/>
  <c r="J9" i="15"/>
  <c r="J8" i="15" s="1"/>
  <c r="X8" i="15"/>
  <c r="X415" i="15" s="1"/>
  <c r="N85" i="15"/>
  <c r="N124" i="15"/>
  <c r="S415" i="15"/>
  <c r="W222" i="15"/>
  <c r="W415" i="15" s="1"/>
  <c r="O222" i="15"/>
  <c r="O415" i="15" s="1"/>
  <c r="L298" i="15"/>
  <c r="Y415" i="15"/>
  <c r="Q415" i="15"/>
  <c r="N159" i="15"/>
  <c r="N158" i="15" s="1"/>
  <c r="V8" i="15"/>
  <c r="V415" i="15" s="1"/>
  <c r="L282" i="15"/>
  <c r="U55" i="15"/>
  <c r="P54" i="15"/>
  <c r="K415" i="15"/>
  <c r="M222" i="15"/>
  <c r="M415" i="15" s="1"/>
  <c r="L278" i="15"/>
  <c r="L223" i="15" s="1"/>
  <c r="P80" i="15"/>
  <c r="P79" i="15" s="1"/>
  <c r="P78" i="15" s="1"/>
  <c r="U76" i="15"/>
  <c r="Z77" i="15"/>
  <c r="U73" i="15"/>
  <c r="U72" i="15" s="1"/>
  <c r="U71" i="15" s="1"/>
  <c r="L9" i="15"/>
  <c r="L8" i="15" s="1"/>
  <c r="U384" i="15"/>
  <c r="U383" i="15"/>
  <c r="U382" i="15" s="1"/>
  <c r="Z385" i="15"/>
  <c r="N286" i="15"/>
  <c r="L285" i="15"/>
  <c r="Z142" i="15"/>
  <c r="Z66" i="15"/>
  <c r="U113" i="15"/>
  <c r="Z114" i="15"/>
  <c r="Z221" i="15"/>
  <c r="U220" i="15"/>
  <c r="U219" i="15" s="1"/>
  <c r="Z64" i="15"/>
  <c r="AB65" i="15"/>
  <c r="AB64" i="15" s="1"/>
  <c r="AB63" i="15" s="1"/>
  <c r="U174" i="15"/>
  <c r="U173" i="15" s="1"/>
  <c r="Z175" i="15"/>
  <c r="Z314" i="15"/>
  <c r="U313" i="15"/>
  <c r="U312" i="15" s="1"/>
  <c r="Z331" i="15"/>
  <c r="U330" i="15"/>
  <c r="Z373" i="15"/>
  <c r="AA374" i="15"/>
  <c r="AA373" i="15" s="1"/>
  <c r="AA372" i="15" s="1"/>
  <c r="AA371" i="15" s="1"/>
  <c r="AA370" i="15" s="1"/>
  <c r="U402" i="15"/>
  <c r="Z403" i="15"/>
  <c r="U107" i="15"/>
  <c r="U106" i="15" s="1"/>
  <c r="U99" i="15" s="1"/>
  <c r="Z108" i="15"/>
  <c r="Z131" i="15"/>
  <c r="AA132" i="15"/>
  <c r="AA131" i="15" s="1"/>
  <c r="AA130" i="15" s="1"/>
  <c r="AA129" i="15" s="1"/>
  <c r="AA124" i="15" s="1"/>
  <c r="P167" i="15"/>
  <c r="P166" i="15" s="1"/>
  <c r="U168" i="15"/>
  <c r="Z195" i="15"/>
  <c r="U227" i="15"/>
  <c r="P226" i="15"/>
  <c r="P225" i="15" s="1"/>
  <c r="AA380" i="15"/>
  <c r="AA379" i="15" s="1"/>
  <c r="AA378" i="15" s="1"/>
  <c r="AA377" i="15" s="1"/>
  <c r="AA376" i="15" s="1"/>
  <c r="Z202" i="15"/>
  <c r="AB203" i="15"/>
  <c r="AB202" i="15" s="1"/>
  <c r="AB201" i="15" s="1"/>
  <c r="P205" i="15"/>
  <c r="P204" i="15"/>
  <c r="Z198" i="15"/>
  <c r="N229" i="15"/>
  <c r="N228" i="15" s="1"/>
  <c r="N224" i="15" s="1"/>
  <c r="P230" i="15"/>
  <c r="Z349" i="15"/>
  <c r="AB350" i="15"/>
  <c r="AB349" i="15" s="1"/>
  <c r="AB348" i="15" s="1"/>
  <c r="AB347" i="15" s="1"/>
  <c r="AB346" i="15" s="1"/>
  <c r="P334" i="15"/>
  <c r="U335" i="15"/>
  <c r="Z31" i="15"/>
  <c r="AB89" i="15"/>
  <c r="AB88" i="15" s="1"/>
  <c r="AB87" i="15" s="1"/>
  <c r="Z88" i="15"/>
  <c r="U151" i="15"/>
  <c r="U150" i="15" s="1"/>
  <c r="Z152" i="15"/>
  <c r="Z238" i="15"/>
  <c r="AB239" i="15"/>
  <c r="AB238" i="15" s="1"/>
  <c r="AB237" i="15" s="1"/>
  <c r="U266" i="15"/>
  <c r="U265" i="15" s="1"/>
  <c r="Z267" i="15"/>
  <c r="P329" i="15"/>
  <c r="P328" i="15" s="1"/>
  <c r="P327" i="15" s="1"/>
  <c r="Z50" i="15"/>
  <c r="AA112" i="15"/>
  <c r="AA111" i="15" s="1"/>
  <c r="Z111" i="15"/>
  <c r="AB194" i="15"/>
  <c r="Z333" i="15"/>
  <c r="U332" i="15"/>
  <c r="N362" i="15"/>
  <c r="L361" i="15"/>
  <c r="L360" i="15" s="1"/>
  <c r="L326" i="15" s="1"/>
  <c r="Z46" i="15"/>
  <c r="U45" i="15"/>
  <c r="U44" i="15" s="1"/>
  <c r="AB141" i="15"/>
  <c r="AB140" i="15" s="1"/>
  <c r="AB139" i="15" s="1"/>
  <c r="Z140" i="15"/>
  <c r="U188" i="15"/>
  <c r="P187" i="15"/>
  <c r="P186" i="15" s="1"/>
  <c r="P185" i="15" s="1"/>
  <c r="AA255" i="15"/>
  <c r="AA254" i="15" s="1"/>
  <c r="AA253" i="15" s="1"/>
  <c r="Z254" i="15"/>
  <c r="N263" i="15"/>
  <c r="N262" i="15" s="1"/>
  <c r="N240" i="15" s="1"/>
  <c r="P264" i="15"/>
  <c r="P25" i="15"/>
  <c r="N24" i="15"/>
  <c r="N23" i="15" s="1"/>
  <c r="N10" i="15" s="1"/>
  <c r="Z165" i="15"/>
  <c r="U164" i="15"/>
  <c r="U163" i="15" s="1"/>
  <c r="Z162" i="15"/>
  <c r="U161" i="15"/>
  <c r="U160" i="15" s="1"/>
  <c r="U128" i="15"/>
  <c r="P127" i="15"/>
  <c r="P126" i="15" s="1"/>
  <c r="P125" i="15" s="1"/>
  <c r="Z207" i="15"/>
  <c r="U206" i="15"/>
  <c r="Z243" i="15"/>
  <c r="U242" i="15"/>
  <c r="U241" i="15" s="1"/>
  <c r="Z245" i="15"/>
  <c r="AB246" i="15"/>
  <c r="AB245" i="15" s="1"/>
  <c r="AB244" i="15" s="1"/>
  <c r="AB178" i="15"/>
  <c r="AB177" i="15" s="1"/>
  <c r="AB176" i="15" s="1"/>
  <c r="Z177" i="15"/>
  <c r="U119" i="15"/>
  <c r="U118" i="15" s="1"/>
  <c r="Z120" i="15"/>
  <c r="Z182" i="15"/>
  <c r="Z134" i="15"/>
  <c r="AB135" i="15"/>
  <c r="AB134" i="15" s="1"/>
  <c r="AB133" i="15" s="1"/>
  <c r="U381" i="15"/>
  <c r="P379" i="15"/>
  <c r="P378" i="15" s="1"/>
  <c r="P377" i="15" s="1"/>
  <c r="Z73" i="15"/>
  <c r="P189" i="15"/>
  <c r="AA340" i="15"/>
  <c r="AA339" i="15" s="1"/>
  <c r="AA338" i="15" s="1"/>
  <c r="AA337" i="15" s="1"/>
  <c r="AA327" i="15" s="1"/>
  <c r="Z339" i="15"/>
  <c r="Z61" i="15"/>
  <c r="AB62" i="15"/>
  <c r="AB61" i="15" s="1"/>
  <c r="AB60" i="15" s="1"/>
  <c r="Z20" i="15"/>
  <c r="U19" i="15"/>
  <c r="Z37" i="15"/>
  <c r="U36" i="15"/>
  <c r="U35" i="15" s="1"/>
  <c r="U34" i="15" s="1"/>
  <c r="P57" i="15"/>
  <c r="N56" i="15"/>
  <c r="N53" i="15" s="1"/>
  <c r="N38" i="15" s="1"/>
  <c r="U138" i="15"/>
  <c r="P137" i="15"/>
  <c r="P136" i="15" s="1"/>
  <c r="P129" i="15" s="1"/>
  <c r="U276" i="15"/>
  <c r="U275" i="15" s="1"/>
  <c r="U274" i="15" s="1"/>
  <c r="Z277" i="15"/>
  <c r="U311" i="15"/>
  <c r="P310" i="15"/>
  <c r="P307" i="15" s="1"/>
  <c r="P303" i="15" s="1"/>
  <c r="J356" i="15"/>
  <c r="J326" i="15"/>
  <c r="J415" i="15" s="1"/>
  <c r="AB21" i="15"/>
  <c r="AA41" i="15"/>
  <c r="AA40" i="15" s="1"/>
  <c r="Z40" i="15"/>
  <c r="U210" i="15"/>
  <c r="U209" i="15" s="1"/>
  <c r="U208" i="15" s="1"/>
  <c r="Z211" i="15"/>
  <c r="U305" i="15"/>
  <c r="U304" i="15" s="1"/>
  <c r="Z306" i="15"/>
  <c r="U301" i="15"/>
  <c r="U300" i="15" s="1"/>
  <c r="U299" i="15" s="1"/>
  <c r="Z302" i="15"/>
  <c r="Z18" i="15"/>
  <c r="U17" i="15"/>
  <c r="P85" i="15"/>
  <c r="U217" i="15"/>
  <c r="U216" i="15" s="1"/>
  <c r="U215" i="15" s="1"/>
  <c r="U214" i="15" s="1"/>
  <c r="Z218" i="15"/>
  <c r="AA294" i="15"/>
  <c r="AA293" i="15" s="1"/>
  <c r="AA292" i="15" s="1"/>
  <c r="AA278" i="15" s="1"/>
  <c r="Z293" i="15"/>
  <c r="N283" i="15"/>
  <c r="P284" i="15"/>
  <c r="N317" i="15"/>
  <c r="N316" i="15" s="1"/>
  <c r="N315" i="15" s="1"/>
  <c r="N298" i="15" s="1"/>
  <c r="P318" i="15"/>
  <c r="U252" i="15"/>
  <c r="P251" i="15"/>
  <c r="P250" i="15" s="1"/>
  <c r="Z289" i="15"/>
  <c r="AB290" i="15"/>
  <c r="AB289" i="15" s="1"/>
  <c r="P319" i="15"/>
  <c r="U320" i="15"/>
  <c r="N398" i="15"/>
  <c r="N397" i="15" s="1"/>
  <c r="N396" i="15" s="1"/>
  <c r="N391" i="15" s="1"/>
  <c r="N390" i="15" s="1"/>
  <c r="P399" i="15"/>
  <c r="P180" i="15"/>
  <c r="P179" i="15" s="1"/>
  <c r="U181" i="15"/>
  <c r="U308" i="15"/>
  <c r="Z309" i="15"/>
  <c r="AB395" i="15"/>
  <c r="AB394" i="15" s="1"/>
  <c r="AB393" i="15" s="1"/>
  <c r="AB392" i="15" s="1"/>
  <c r="Z394" i="15"/>
  <c r="U13" i="15"/>
  <c r="P12" i="15"/>
  <c r="P11" i="15" s="1"/>
  <c r="U110" i="15"/>
  <c r="U109" i="15" s="1"/>
  <c r="U156" i="15"/>
  <c r="U153" i="15" s="1"/>
  <c r="P153" i="15"/>
  <c r="U344" i="15"/>
  <c r="U343" i="15" s="1"/>
  <c r="U342" i="15" s="1"/>
  <c r="U341" i="15" s="1"/>
  <c r="Z345" i="15"/>
  <c r="U81" i="15"/>
  <c r="Z82" i="15"/>
  <c r="Z91" i="15"/>
  <c r="AA92" i="15"/>
  <c r="AA91" i="15" s="1"/>
  <c r="AA90" i="15" s="1"/>
  <c r="AA86" i="15" s="1"/>
  <c r="U47" i="15"/>
  <c r="U94" i="15"/>
  <c r="U93" i="15" s="1"/>
  <c r="U86" i="15" s="1"/>
  <c r="Z95" i="15"/>
  <c r="U171" i="15"/>
  <c r="P170" i="15"/>
  <c r="P169" i="15" s="1"/>
  <c r="Z100" i="15"/>
  <c r="P215" i="15"/>
  <c r="P214" i="15" s="1"/>
  <c r="AA368" i="15"/>
  <c r="AA367" i="15" s="1"/>
  <c r="AA366" i="15" s="1"/>
  <c r="AA365" i="15" s="1"/>
  <c r="AA360" i="15" s="1"/>
  <c r="Z367" i="15"/>
  <c r="Z400" i="15"/>
  <c r="AB401" i="15"/>
  <c r="AB400" i="15" s="1"/>
  <c r="U97" i="15"/>
  <c r="U96" i="15" s="1"/>
  <c r="Z98" i="15"/>
  <c r="Z288" i="15"/>
  <c r="U287" i="15"/>
  <c r="U325" i="15"/>
  <c r="P324" i="15"/>
  <c r="P321" i="15" s="1"/>
  <c r="P382" i="15"/>
  <c r="Z358" i="15"/>
  <c r="AB359" i="15"/>
  <c r="AB358" i="15" s="1"/>
  <c r="AB357" i="15" s="1"/>
  <c r="AB356" i="15" s="1"/>
  <c r="AB351" i="15" s="1"/>
  <c r="U83" i="15"/>
  <c r="Z84" i="15"/>
  <c r="Z259" i="15"/>
  <c r="U192" i="15"/>
  <c r="U191" i="15" s="1"/>
  <c r="U190" i="15" s="1"/>
  <c r="Z193" i="15"/>
  <c r="N408" i="15"/>
  <c r="N407" i="15" s="1"/>
  <c r="N406" i="15" s="1"/>
  <c r="N405" i="15" s="1"/>
  <c r="N404" i="15" s="1"/>
  <c r="P409" i="15"/>
  <c r="P149" i="15"/>
  <c r="P148" i="15" s="1"/>
  <c r="Z353" i="15"/>
  <c r="Z157" i="15"/>
  <c r="N280" i="15"/>
  <c r="N279" i="15" s="1"/>
  <c r="P281" i="15"/>
  <c r="Z322" i="15"/>
  <c r="AA323" i="15"/>
  <c r="AA322" i="15" s="1"/>
  <c r="P15" i="15"/>
  <c r="P14" i="15" s="1"/>
  <c r="U16" i="15"/>
  <c r="U258" i="15"/>
  <c r="P257" i="15"/>
  <c r="P256" i="15" s="1"/>
  <c r="Z48" i="15"/>
  <c r="AB49" i="15"/>
  <c r="AB48" i="15" s="1"/>
  <c r="AB47" i="15" s="1"/>
  <c r="Z43" i="15"/>
  <c r="U42" i="15"/>
  <c r="U39" i="15" s="1"/>
  <c r="Z413" i="15"/>
  <c r="AC414" i="15"/>
  <c r="AC413" i="15" s="1"/>
  <c r="Z103" i="15"/>
  <c r="Z361" i="15"/>
  <c r="Z386" i="15"/>
  <c r="L16" i="25"/>
  <c r="K16" i="25"/>
  <c r="K15" i="25" s="1"/>
  <c r="K14" i="25" s="1"/>
  <c r="K13" i="25" s="1"/>
  <c r="J16" i="25"/>
  <c r="I16" i="25"/>
  <c r="I15" i="25" s="1"/>
  <c r="I14" i="25" s="1"/>
  <c r="I13" i="25" s="1"/>
  <c r="H16" i="25"/>
  <c r="H15" i="25" s="1"/>
  <c r="H14" i="25" s="1"/>
  <c r="H13" i="25" s="1"/>
  <c r="G16" i="25"/>
  <c r="G15" i="25" s="1"/>
  <c r="G14" i="25" s="1"/>
  <c r="G13" i="25" s="1"/>
  <c r="F16" i="25"/>
  <c r="E16" i="25"/>
  <c r="E15" i="25" s="1"/>
  <c r="E14" i="25" s="1"/>
  <c r="E13" i="25" s="1"/>
  <c r="D16" i="25"/>
  <c r="D15" i="25" s="1"/>
  <c r="D14" i="25" s="1"/>
  <c r="D13" i="25" s="1"/>
  <c r="J15" i="25"/>
  <c r="J14" i="25" s="1"/>
  <c r="J13" i="25" s="1"/>
  <c r="F15" i="25"/>
  <c r="F14" i="25" s="1"/>
  <c r="F13" i="25" s="1"/>
  <c r="M11" i="25"/>
  <c r="M10" i="25" s="1"/>
  <c r="M9" i="25" s="1"/>
  <c r="L12" i="25"/>
  <c r="K12" i="25"/>
  <c r="K11" i="25" s="1"/>
  <c r="K10" i="25" s="1"/>
  <c r="K9" i="25" s="1"/>
  <c r="K8" i="25" s="1"/>
  <c r="K17" i="25" s="1"/>
  <c r="J12" i="25"/>
  <c r="I12" i="25"/>
  <c r="I11" i="25" s="1"/>
  <c r="I10" i="25" s="1"/>
  <c r="I9" i="25" s="1"/>
  <c r="I8" i="25" s="1"/>
  <c r="I17" i="25" s="1"/>
  <c r="H12" i="25"/>
  <c r="H11" i="25" s="1"/>
  <c r="H10" i="25" s="1"/>
  <c r="H9" i="25" s="1"/>
  <c r="H8" i="25" s="1"/>
  <c r="H17" i="25" s="1"/>
  <c r="G12" i="25"/>
  <c r="G11" i="25" s="1"/>
  <c r="G10" i="25" s="1"/>
  <c r="G9" i="25" s="1"/>
  <c r="G8" i="25" s="1"/>
  <c r="G17" i="25" s="1"/>
  <c r="F12" i="25"/>
  <c r="E12" i="25"/>
  <c r="E11" i="25" s="1"/>
  <c r="E10" i="25" s="1"/>
  <c r="E9" i="25" s="1"/>
  <c r="E8" i="25" s="1"/>
  <c r="E17" i="25" s="1"/>
  <c r="D12" i="25"/>
  <c r="D11" i="25" s="1"/>
  <c r="D10" i="25" s="1"/>
  <c r="D9" i="25" s="1"/>
  <c r="D8" i="25" s="1"/>
  <c r="D17" i="25" s="1"/>
  <c r="J11" i="25"/>
  <c r="J10" i="25" s="1"/>
  <c r="J9" i="25" s="1"/>
  <c r="J8" i="25" s="1"/>
  <c r="J17" i="25" s="1"/>
  <c r="F11" i="25"/>
  <c r="F10" i="25" s="1"/>
  <c r="F9" i="25" s="1"/>
  <c r="F8" i="25" s="1"/>
  <c r="F17" i="25" s="1"/>
  <c r="O8" i="16" l="1"/>
  <c r="X158" i="16"/>
  <c r="S157" i="16"/>
  <c r="S165" i="16"/>
  <c r="X166" i="16"/>
  <c r="S254" i="16"/>
  <c r="S172" i="16"/>
  <c r="X172" i="16" s="1"/>
  <c r="X173" i="16"/>
  <c r="Q125" i="16"/>
  <c r="Q124" i="16" s="1"/>
  <c r="S13" i="16"/>
  <c r="X141" i="16"/>
  <c r="S140" i="16"/>
  <c r="S281" i="16"/>
  <c r="S32" i="16"/>
  <c r="X33" i="16"/>
  <c r="Q200" i="16"/>
  <c r="Q199" i="16" s="1"/>
  <c r="Q9" i="16"/>
  <c r="Q8" i="16" s="1"/>
  <c r="X281" i="16"/>
  <c r="X262" i="16"/>
  <c r="S261" i="16"/>
  <c r="X261" i="16" s="1"/>
  <c r="X201" i="16"/>
  <c r="X313" i="16"/>
  <c r="S312" i="16"/>
  <c r="X312" i="16" s="1"/>
  <c r="X60" i="16"/>
  <c r="S59" i="16"/>
  <c r="X37" i="16"/>
  <c r="S36" i="16"/>
  <c r="X36" i="16" s="1"/>
  <c r="X45" i="16"/>
  <c r="S44" i="16"/>
  <c r="X44" i="16" s="1"/>
  <c r="S232" i="16"/>
  <c r="X233" i="16"/>
  <c r="X70" i="16"/>
  <c r="S69" i="16"/>
  <c r="X348" i="16"/>
  <c r="S347" i="16"/>
  <c r="S126" i="16"/>
  <c r="X127" i="16"/>
  <c r="X178" i="16"/>
  <c r="S177" i="16"/>
  <c r="X177" i="16" s="1"/>
  <c r="S296" i="16"/>
  <c r="X297" i="16"/>
  <c r="S339" i="16"/>
  <c r="X339" i="16" s="1"/>
  <c r="S26" i="16"/>
  <c r="S25" i="16" s="1"/>
  <c r="X27" i="16"/>
  <c r="X26" i="16" s="1"/>
  <c r="X25" i="16" s="1"/>
  <c r="S77" i="16"/>
  <c r="X77" i="16" s="1"/>
  <c r="X78" i="16"/>
  <c r="S76" i="16"/>
  <c r="X76" i="16" s="1"/>
  <c r="S132" i="16"/>
  <c r="X132" i="16" s="1"/>
  <c r="X133" i="16"/>
  <c r="S130" i="16"/>
  <c r="X131" i="16"/>
  <c r="S353" i="16"/>
  <c r="X354" i="16"/>
  <c r="X185" i="16"/>
  <c r="S181" i="16"/>
  <c r="S234" i="16"/>
  <c r="X234" i="16" s="1"/>
  <c r="X235" i="16"/>
  <c r="X75" i="16"/>
  <c r="S74" i="16"/>
  <c r="X66" i="16"/>
  <c r="S65" i="16"/>
  <c r="X65" i="16" s="1"/>
  <c r="S119" i="16"/>
  <c r="X120" i="16"/>
  <c r="X238" i="16"/>
  <c r="S237" i="16"/>
  <c r="X237" i="16" s="1"/>
  <c r="X255" i="16"/>
  <c r="X254" i="16" s="1"/>
  <c r="X83" i="16"/>
  <c r="S82" i="16"/>
  <c r="X82" i="16" s="1"/>
  <c r="X268" i="16"/>
  <c r="S267" i="16"/>
  <c r="X267" i="16" s="1"/>
  <c r="X241" i="16"/>
  <c r="S207" i="16"/>
  <c r="X207" i="16" s="1"/>
  <c r="X208" i="16"/>
  <c r="X170" i="16"/>
  <c r="S169" i="16"/>
  <c r="S301" i="16"/>
  <c r="X301" i="16" s="1"/>
  <c r="X302" i="16"/>
  <c r="S245" i="16"/>
  <c r="X245" i="16" s="1"/>
  <c r="X246" i="16"/>
  <c r="X42" i="16"/>
  <c r="S41" i="16"/>
  <c r="X41" i="16" s="1"/>
  <c r="S337" i="16"/>
  <c r="X338" i="16"/>
  <c r="S51" i="16"/>
  <c r="X52" i="16"/>
  <c r="X162" i="16"/>
  <c r="S161" i="16"/>
  <c r="X93" i="16"/>
  <c r="S92" i="16"/>
  <c r="X224" i="16"/>
  <c r="S223" i="16"/>
  <c r="X223" i="16" s="1"/>
  <c r="X106" i="16"/>
  <c r="S105" i="16"/>
  <c r="X252" i="16"/>
  <c r="S251" i="16"/>
  <c r="X251" i="16" s="1"/>
  <c r="X219" i="16"/>
  <c r="S218" i="16"/>
  <c r="X205" i="16"/>
  <c r="S204" i="16"/>
  <c r="X204" i="16" s="1"/>
  <c r="S309" i="16"/>
  <c r="X309" i="16" s="1"/>
  <c r="X310" i="16"/>
  <c r="X307" i="16"/>
  <c r="S306" i="16"/>
  <c r="X136" i="16"/>
  <c r="S135" i="16"/>
  <c r="X135" i="16" s="1"/>
  <c r="X49" i="16"/>
  <c r="S48" i="16"/>
  <c r="S211" i="16"/>
  <c r="X212" i="16"/>
  <c r="S329" i="16"/>
  <c r="X330" i="16"/>
  <c r="S243" i="16"/>
  <c r="X243" i="16" s="1"/>
  <c r="X244" i="16"/>
  <c r="Q346" i="16"/>
  <c r="Q321" i="16" s="1"/>
  <c r="X112" i="16"/>
  <c r="S111" i="16"/>
  <c r="S193" i="16"/>
  <c r="X194" i="16"/>
  <c r="O355" i="16"/>
  <c r="N9" i="15"/>
  <c r="N8" i="15" s="1"/>
  <c r="U85" i="15"/>
  <c r="P159" i="15"/>
  <c r="P158" i="15" s="1"/>
  <c r="L222" i="15"/>
  <c r="L415" i="15" s="1"/>
  <c r="AC77" i="15"/>
  <c r="Z76" i="15"/>
  <c r="N282" i="15"/>
  <c r="N278" i="15" s="1"/>
  <c r="N223" i="15" s="1"/>
  <c r="N222" i="15" s="1"/>
  <c r="N285" i="15"/>
  <c r="P286" i="15"/>
  <c r="AB385" i="15"/>
  <c r="Z384" i="15"/>
  <c r="Z383" i="15"/>
  <c r="Z55" i="15"/>
  <c r="U54" i="15"/>
  <c r="AB98" i="15"/>
  <c r="AB97" i="15" s="1"/>
  <c r="AB96" i="15" s="1"/>
  <c r="Z97" i="15"/>
  <c r="AC412" i="15"/>
  <c r="AC406" i="15"/>
  <c r="AC405" i="15" s="1"/>
  <c r="AC404" i="15" s="1"/>
  <c r="Z258" i="15"/>
  <c r="U257" i="15"/>
  <c r="U256" i="15" s="1"/>
  <c r="P408" i="15"/>
  <c r="P407" i="15" s="1"/>
  <c r="P406" i="15" s="1"/>
  <c r="P405" i="15" s="1"/>
  <c r="P404" i="15" s="1"/>
  <c r="U409" i="15"/>
  <c r="AB84" i="15"/>
  <c r="AB83" i="15" s="1"/>
  <c r="Z83" i="15"/>
  <c r="U324" i="15"/>
  <c r="U321" i="15" s="1"/>
  <c r="Z325" i="15"/>
  <c r="AB82" i="15"/>
  <c r="AB81" i="15" s="1"/>
  <c r="AB80" i="15" s="1"/>
  <c r="AB79" i="15" s="1"/>
  <c r="AB78" i="15" s="1"/>
  <c r="Z81" i="15"/>
  <c r="AA309" i="15"/>
  <c r="AA308" i="15" s="1"/>
  <c r="Z308" i="15"/>
  <c r="Z252" i="15"/>
  <c r="U251" i="15"/>
  <c r="U250" i="15" s="1"/>
  <c r="U137" i="15"/>
  <c r="U136" i="15" s="1"/>
  <c r="U129" i="15" s="1"/>
  <c r="Z138" i="15"/>
  <c r="Z60" i="15"/>
  <c r="Z381" i="15"/>
  <c r="U379" i="15"/>
  <c r="U378" i="15" s="1"/>
  <c r="U377" i="15" s="1"/>
  <c r="U376" i="15" s="1"/>
  <c r="U369" i="15" s="1"/>
  <c r="Z412" i="15"/>
  <c r="U15" i="15"/>
  <c r="U14" i="15" s="1"/>
  <c r="Z16" i="15"/>
  <c r="AB157" i="15"/>
  <c r="AB156" i="15" s="1"/>
  <c r="AB153" i="15" s="1"/>
  <c r="AB149" i="15" s="1"/>
  <c r="AB148" i="15" s="1"/>
  <c r="Z156" i="15"/>
  <c r="Z352" i="15"/>
  <c r="U80" i="15"/>
  <c r="U79" i="15" s="1"/>
  <c r="U78" i="15" s="1"/>
  <c r="U399" i="15"/>
  <c r="P398" i="15"/>
  <c r="P397" i="15" s="1"/>
  <c r="P396" i="15" s="1"/>
  <c r="P391" i="15" s="1"/>
  <c r="P390" i="15" s="1"/>
  <c r="Z382" i="15"/>
  <c r="P317" i="15"/>
  <c r="P316" i="15" s="1"/>
  <c r="P315" i="15" s="1"/>
  <c r="P298" i="15" s="1"/>
  <c r="U318" i="15"/>
  <c r="Z292" i="15"/>
  <c r="AA306" i="15"/>
  <c r="AA305" i="15" s="1"/>
  <c r="AA304" i="15" s="1"/>
  <c r="Z305" i="15"/>
  <c r="AB277" i="15"/>
  <c r="AB276" i="15" s="1"/>
  <c r="AB275" i="15" s="1"/>
  <c r="AB274" i="15" s="1"/>
  <c r="Z276" i="15"/>
  <c r="AB37" i="15"/>
  <c r="AB36" i="15" s="1"/>
  <c r="AB35" i="15" s="1"/>
  <c r="AB34" i="15" s="1"/>
  <c r="Z36" i="15"/>
  <c r="Z338" i="15"/>
  <c r="Z242" i="15"/>
  <c r="AB243" i="15"/>
  <c r="AB242" i="15" s="1"/>
  <c r="AB241" i="15" s="1"/>
  <c r="Z161" i="15"/>
  <c r="AB162" i="15"/>
  <c r="AB161" i="15" s="1"/>
  <c r="AB160" i="15" s="1"/>
  <c r="P263" i="15"/>
  <c r="P262" i="15" s="1"/>
  <c r="P240" i="15" s="1"/>
  <c r="U264" i="15"/>
  <c r="Z139" i="15"/>
  <c r="Z45" i="15"/>
  <c r="AB46" i="15"/>
  <c r="AB45" i="15" s="1"/>
  <c r="AB44" i="15" s="1"/>
  <c r="P362" i="15"/>
  <c r="N361" i="15"/>
  <c r="N360" i="15" s="1"/>
  <c r="N326" i="15" s="1"/>
  <c r="Z266" i="15"/>
  <c r="AB267" i="15"/>
  <c r="AB266" i="15" s="1"/>
  <c r="AB265" i="15" s="1"/>
  <c r="Z151" i="15"/>
  <c r="AA152" i="15"/>
  <c r="AA151" i="15" s="1"/>
  <c r="AA150" i="15" s="1"/>
  <c r="AA149" i="15" s="1"/>
  <c r="AA148" i="15" s="1"/>
  <c r="AA369" i="15"/>
  <c r="Z47" i="15"/>
  <c r="AB193" i="15"/>
  <c r="AB192" i="15" s="1"/>
  <c r="AB191" i="15" s="1"/>
  <c r="AB190" i="15" s="1"/>
  <c r="Z192" i="15"/>
  <c r="AB288" i="15"/>
  <c r="AB287" i="15" s="1"/>
  <c r="Z287" i="15"/>
  <c r="Z366" i="15"/>
  <c r="U170" i="15"/>
  <c r="U169" i="15" s="1"/>
  <c r="Z171" i="15"/>
  <c r="Z90" i="15"/>
  <c r="Z13" i="15"/>
  <c r="U12" i="15"/>
  <c r="Z181" i="15"/>
  <c r="U180" i="15"/>
  <c r="U179" i="15" s="1"/>
  <c r="U159" i="15" s="1"/>
  <c r="AB218" i="15"/>
  <c r="AB217" i="15" s="1"/>
  <c r="AB216" i="15" s="1"/>
  <c r="AB215" i="15" s="1"/>
  <c r="AB214" i="15" s="1"/>
  <c r="Z217" i="15"/>
  <c r="Z301" i="15"/>
  <c r="AA302" i="15"/>
  <c r="AA301" i="15" s="1"/>
  <c r="AA300" i="15" s="1"/>
  <c r="AA299" i="15" s="1"/>
  <c r="U57" i="15"/>
  <c r="P56" i="15"/>
  <c r="P53" i="15" s="1"/>
  <c r="P38" i="15" s="1"/>
  <c r="Z72" i="15"/>
  <c r="Z244" i="15"/>
  <c r="U204" i="15"/>
  <c r="U205" i="15"/>
  <c r="P124" i="15"/>
  <c r="U149" i="15"/>
  <c r="U148" i="15" s="1"/>
  <c r="Z30" i="15"/>
  <c r="P229" i="15"/>
  <c r="P228" i="15" s="1"/>
  <c r="P224" i="15" s="1"/>
  <c r="U230" i="15"/>
  <c r="Z227" i="15"/>
  <c r="U226" i="15"/>
  <c r="U225" i="15" s="1"/>
  <c r="Z313" i="15"/>
  <c r="AA314" i="15"/>
  <c r="AA313" i="15" s="1"/>
  <c r="AA312" i="15" s="1"/>
  <c r="Z94" i="15"/>
  <c r="AB95" i="15"/>
  <c r="AB94" i="15" s="1"/>
  <c r="AB93" i="15" s="1"/>
  <c r="AB86" i="15" s="1"/>
  <c r="AA345" i="15"/>
  <c r="AA344" i="15" s="1"/>
  <c r="AA343" i="15" s="1"/>
  <c r="AA342" i="15" s="1"/>
  <c r="AA341" i="15" s="1"/>
  <c r="Z344" i="15"/>
  <c r="Z320" i="15"/>
  <c r="U319" i="15"/>
  <c r="P283" i="15"/>
  <c r="U284" i="15"/>
  <c r="Z17" i="15"/>
  <c r="AB18" i="15"/>
  <c r="AB17" i="15" s="1"/>
  <c r="U310" i="15"/>
  <c r="U307" i="15" s="1"/>
  <c r="U303" i="15" s="1"/>
  <c r="Z311" i="15"/>
  <c r="P376" i="15"/>
  <c r="P369" i="15" s="1"/>
  <c r="Z133" i="15"/>
  <c r="AB120" i="15"/>
  <c r="AB119" i="15" s="1"/>
  <c r="AB118" i="15" s="1"/>
  <c r="AB109" i="15" s="1"/>
  <c r="Z119" i="15"/>
  <c r="Z206" i="15"/>
  <c r="AA207" i="15"/>
  <c r="AA206" i="15" s="1"/>
  <c r="Z128" i="15"/>
  <c r="U127" i="15"/>
  <c r="U126" i="15" s="1"/>
  <c r="U125" i="15" s="1"/>
  <c r="U25" i="15"/>
  <c r="P24" i="15"/>
  <c r="P23" i="15" s="1"/>
  <c r="P10" i="15" s="1"/>
  <c r="Z253" i="15"/>
  <c r="Z237" i="15"/>
  <c r="Z87" i="15"/>
  <c r="Z201" i="15"/>
  <c r="Z194" i="15" s="1"/>
  <c r="Z168" i="15"/>
  <c r="U167" i="15"/>
  <c r="U166" i="15" s="1"/>
  <c r="Z130" i="15"/>
  <c r="AB403" i="15"/>
  <c r="AB402" i="15" s="1"/>
  <c r="Z402" i="15"/>
  <c r="Z330" i="15"/>
  <c r="AB331" i="15"/>
  <c r="AB330" i="15" s="1"/>
  <c r="AC221" i="15"/>
  <c r="AC220" i="15" s="1"/>
  <c r="AC219" i="15" s="1"/>
  <c r="AC215" i="15" s="1"/>
  <c r="AC214" i="15" s="1"/>
  <c r="Z220" i="15"/>
  <c r="Z42" i="15"/>
  <c r="AA43" i="15"/>
  <c r="AA42" i="15" s="1"/>
  <c r="AA39" i="15" s="1"/>
  <c r="AA38" i="15" s="1"/>
  <c r="AA9" i="15" s="1"/>
  <c r="U281" i="15"/>
  <c r="P280" i="15"/>
  <c r="P279" i="15" s="1"/>
  <c r="Z357" i="15"/>
  <c r="U189" i="15"/>
  <c r="Z393" i="15"/>
  <c r="AB211" i="15"/>
  <c r="AB210" i="15" s="1"/>
  <c r="AB209" i="15" s="1"/>
  <c r="AB208" i="15" s="1"/>
  <c r="Z210" i="15"/>
  <c r="AB20" i="15"/>
  <c r="AB19" i="15" s="1"/>
  <c r="Z19" i="15"/>
  <c r="Z176" i="15"/>
  <c r="AB165" i="15"/>
  <c r="AB164" i="15" s="1"/>
  <c r="AB163" i="15" s="1"/>
  <c r="Z164" i="15"/>
  <c r="U187" i="15"/>
  <c r="U186" i="15" s="1"/>
  <c r="U185" i="15" s="1"/>
  <c r="Z188" i="15"/>
  <c r="AB333" i="15"/>
  <c r="AB332" i="15" s="1"/>
  <c r="Z332" i="15"/>
  <c r="Z335" i="15"/>
  <c r="U334" i="15"/>
  <c r="U329" i="15" s="1"/>
  <c r="U328" i="15" s="1"/>
  <c r="U327" i="15" s="1"/>
  <c r="Z348" i="15"/>
  <c r="Z107" i="15"/>
  <c r="AB108" i="15"/>
  <c r="AB107" i="15" s="1"/>
  <c r="AB106" i="15" s="1"/>
  <c r="AB99" i="15" s="1"/>
  <c r="Z372" i="15"/>
  <c r="Z174" i="15"/>
  <c r="Z63" i="15"/>
  <c r="AA114" i="15"/>
  <c r="AA113" i="15" s="1"/>
  <c r="AA110" i="15" s="1"/>
  <c r="AA109" i="15" s="1"/>
  <c r="AA85" i="15" s="1"/>
  <c r="Z113" i="15"/>
  <c r="N12" i="25"/>
  <c r="N11" i="25" s="1"/>
  <c r="N10" i="25" s="1"/>
  <c r="N9" i="25" s="1"/>
  <c r="L11" i="25"/>
  <c r="L10" i="25" s="1"/>
  <c r="L9" i="25" s="1"/>
  <c r="L15" i="25"/>
  <c r="L14" i="25" s="1"/>
  <c r="L13" i="25" s="1"/>
  <c r="Q355" i="16" l="1"/>
  <c r="X157" i="16"/>
  <c r="S156" i="16"/>
  <c r="X165" i="16"/>
  <c r="S164" i="16"/>
  <c r="X164" i="16" s="1"/>
  <c r="X140" i="16"/>
  <c r="S139" i="16"/>
  <c r="X139" i="16" s="1"/>
  <c r="X32" i="16"/>
  <c r="S31" i="16"/>
  <c r="X31" i="16" s="1"/>
  <c r="S110" i="16"/>
  <c r="X110" i="16" s="1"/>
  <c r="X111" i="16"/>
  <c r="X218" i="16"/>
  <c r="S213" i="16"/>
  <c r="X213" i="16" s="1"/>
  <c r="S104" i="16"/>
  <c r="X104" i="16" s="1"/>
  <c r="X105" i="16"/>
  <c r="S91" i="16"/>
  <c r="X91" i="16" s="1"/>
  <c r="X92" i="16"/>
  <c r="X337" i="16"/>
  <c r="S336" i="16"/>
  <c r="S68" i="16"/>
  <c r="X68" i="16" s="1"/>
  <c r="X69" i="16"/>
  <c r="X211" i="16"/>
  <c r="S210" i="16"/>
  <c r="X210" i="16" s="1"/>
  <c r="X74" i="16"/>
  <c r="S71" i="16"/>
  <c r="X71" i="16" s="1"/>
  <c r="S180" i="16"/>
  <c r="X180" i="16" s="1"/>
  <c r="X181" i="16"/>
  <c r="X353" i="16"/>
  <c r="S352" i="16"/>
  <c r="X352" i="16" s="1"/>
  <c r="X296" i="16"/>
  <c r="S295" i="16"/>
  <c r="X126" i="16"/>
  <c r="S47" i="16"/>
  <c r="X47" i="16" s="1"/>
  <c r="X48" i="16"/>
  <c r="X306" i="16"/>
  <c r="S305" i="16"/>
  <c r="X305" i="16" s="1"/>
  <c r="S50" i="16"/>
  <c r="X50" i="16" s="1"/>
  <c r="X51" i="16"/>
  <c r="X119" i="16"/>
  <c r="S118" i="16"/>
  <c r="X347" i="16"/>
  <c r="X193" i="16"/>
  <c r="X189" i="16" s="1"/>
  <c r="S189" i="16"/>
  <c r="X329" i="16"/>
  <c r="S326" i="16"/>
  <c r="S160" i="16"/>
  <c r="X161" i="16"/>
  <c r="S168" i="16"/>
  <c r="X169" i="16"/>
  <c r="S240" i="16"/>
  <c r="X240" i="16" s="1"/>
  <c r="S129" i="16"/>
  <c r="X129" i="16" s="1"/>
  <c r="X130" i="16"/>
  <c r="S231" i="16"/>
  <c r="X231" i="16" s="1"/>
  <c r="X232" i="16"/>
  <c r="S58" i="16"/>
  <c r="X59" i="16"/>
  <c r="X58" i="16" s="1"/>
  <c r="N415" i="15"/>
  <c r="AA326" i="15"/>
  <c r="AB384" i="15"/>
  <c r="AB383" i="15"/>
  <c r="AB382" i="15" s="1"/>
  <c r="AB376" i="15" s="1"/>
  <c r="AB369" i="15" s="1"/>
  <c r="AB85" i="15"/>
  <c r="Z54" i="15"/>
  <c r="AB55" i="15"/>
  <c r="AB54" i="15" s="1"/>
  <c r="P285" i="15"/>
  <c r="P282" i="15" s="1"/>
  <c r="P278" i="15" s="1"/>
  <c r="P223" i="15" s="1"/>
  <c r="P222" i="15" s="1"/>
  <c r="U286" i="15"/>
  <c r="AC76" i="15"/>
  <c r="AC73" i="15"/>
  <c r="AC72" i="15" s="1"/>
  <c r="AC71" i="15" s="1"/>
  <c r="U124" i="15"/>
  <c r="Z347" i="15"/>
  <c r="Z25" i="15"/>
  <c r="U24" i="15"/>
  <c r="U23" i="15" s="1"/>
  <c r="U158" i="15"/>
  <c r="Z281" i="15"/>
  <c r="U280" i="15"/>
  <c r="U279" i="15" s="1"/>
  <c r="AA311" i="15"/>
  <c r="AA310" i="15" s="1"/>
  <c r="Z310" i="15"/>
  <c r="U229" i="15"/>
  <c r="U228" i="15" s="1"/>
  <c r="U224" i="15" s="1"/>
  <c r="Z230" i="15"/>
  <c r="Z71" i="15"/>
  <c r="AC171" i="15"/>
  <c r="AC170" i="15" s="1"/>
  <c r="AC169" i="15" s="1"/>
  <c r="Z170" i="15"/>
  <c r="Z191" i="15"/>
  <c r="Z150" i="15"/>
  <c r="Z265" i="15"/>
  <c r="Z106" i="15"/>
  <c r="Z187" i="15"/>
  <c r="AB188" i="15"/>
  <c r="AB187" i="15" s="1"/>
  <c r="AB186" i="15" s="1"/>
  <c r="AB185" i="15" s="1"/>
  <c r="Z209" i="15"/>
  <c r="Z392" i="15"/>
  <c r="Z167" i="15"/>
  <c r="AC168" i="15"/>
  <c r="AC167" i="15" s="1"/>
  <c r="AC166" i="15" s="1"/>
  <c r="U283" i="15"/>
  <c r="Z284" i="15"/>
  <c r="AA320" i="15"/>
  <c r="AA319" i="15" s="1"/>
  <c r="Z319" i="15"/>
  <c r="Z216" i="15"/>
  <c r="U11" i="15"/>
  <c r="U263" i="15"/>
  <c r="U262" i="15" s="1"/>
  <c r="U240" i="15" s="1"/>
  <c r="Z264" i="15"/>
  <c r="Z318" i="15"/>
  <c r="U317" i="15"/>
  <c r="U316" i="15" s="1"/>
  <c r="U315" i="15" s="1"/>
  <c r="U298" i="15" s="1"/>
  <c r="Z399" i="15"/>
  <c r="U398" i="15"/>
  <c r="U397" i="15" s="1"/>
  <c r="U396" i="15" s="1"/>
  <c r="U391" i="15" s="1"/>
  <c r="U390" i="15" s="1"/>
  <c r="Z153" i="15"/>
  <c r="Z379" i="15"/>
  <c r="Z409" i="15"/>
  <c r="U408" i="15"/>
  <c r="U407" i="15" s="1"/>
  <c r="U406" i="15" s="1"/>
  <c r="U405" i="15" s="1"/>
  <c r="U404" i="15" s="1"/>
  <c r="AA205" i="15"/>
  <c r="AA204" i="15"/>
  <c r="AA189" i="15" s="1"/>
  <c r="AA8" i="15" s="1"/>
  <c r="Z343" i="15"/>
  <c r="Z312" i="15"/>
  <c r="Z226" i="15"/>
  <c r="AB227" i="15"/>
  <c r="AB226" i="15" s="1"/>
  <c r="AB225" i="15" s="1"/>
  <c r="AB224" i="15" s="1"/>
  <c r="Z110" i="15"/>
  <c r="AB13" i="15"/>
  <c r="AB12" i="15" s="1"/>
  <c r="AB11" i="15" s="1"/>
  <c r="Z12" i="15"/>
  <c r="AB189" i="15"/>
  <c r="Z44" i="15"/>
  <c r="Z337" i="15"/>
  <c r="Z371" i="15"/>
  <c r="AB335" i="15"/>
  <c r="AB334" i="15" s="1"/>
  <c r="AB329" i="15" s="1"/>
  <c r="AB328" i="15" s="1"/>
  <c r="AB327" i="15" s="1"/>
  <c r="Z334" i="15"/>
  <c r="Z329" i="15" s="1"/>
  <c r="Z300" i="15"/>
  <c r="AB181" i="15"/>
  <c r="AB180" i="15" s="1"/>
  <c r="AB179" i="15" s="1"/>
  <c r="AB159" i="15" s="1"/>
  <c r="Z180" i="15"/>
  <c r="Z365" i="15"/>
  <c r="U362" i="15"/>
  <c r="P361" i="15"/>
  <c r="P360" i="15" s="1"/>
  <c r="P326" i="15" s="1"/>
  <c r="Z35" i="15"/>
  <c r="Z275" i="15"/>
  <c r="Z304" i="15"/>
  <c r="AB16" i="15"/>
  <c r="AB15" i="15" s="1"/>
  <c r="AB14" i="15" s="1"/>
  <c r="Z15" i="15"/>
  <c r="Z251" i="15"/>
  <c r="AA252" i="15"/>
  <c r="AA251" i="15" s="1"/>
  <c r="AA250" i="15" s="1"/>
  <c r="AA307" i="15"/>
  <c r="AA303" i="15" s="1"/>
  <c r="Z356" i="15"/>
  <c r="Z351" i="15" s="1"/>
  <c r="Z118" i="15"/>
  <c r="Z173" i="15"/>
  <c r="Z163" i="15"/>
  <c r="Z219" i="15"/>
  <c r="AB128" i="15"/>
  <c r="AB127" i="15" s="1"/>
  <c r="AB126" i="15" s="1"/>
  <c r="AB125" i="15" s="1"/>
  <c r="Z127" i="15"/>
  <c r="Z204" i="15"/>
  <c r="Z205" i="15"/>
  <c r="Z39" i="15"/>
  <c r="Z93" i="15"/>
  <c r="Z57" i="15"/>
  <c r="U56" i="15"/>
  <c r="U53" i="15" s="1"/>
  <c r="U38" i="15" s="1"/>
  <c r="Z160" i="15"/>
  <c r="Z241" i="15"/>
  <c r="P9" i="15"/>
  <c r="P8" i="15" s="1"/>
  <c r="AB138" i="15"/>
  <c r="AB137" i="15" s="1"/>
  <c r="AB136" i="15" s="1"/>
  <c r="AB129" i="15" s="1"/>
  <c r="Z137" i="15"/>
  <c r="Z307" i="15"/>
  <c r="Z80" i="15"/>
  <c r="AA325" i="15"/>
  <c r="AA324" i="15" s="1"/>
  <c r="AA321" i="15" s="1"/>
  <c r="Z324" i="15"/>
  <c r="Z257" i="15"/>
  <c r="AA258" i="15"/>
  <c r="AA257" i="15" s="1"/>
  <c r="AA256" i="15" s="1"/>
  <c r="Z96" i="15"/>
  <c r="L8" i="25"/>
  <c r="L17" i="25" s="1"/>
  <c r="X156" i="16" l="1"/>
  <c r="S155" i="16"/>
  <c r="S200" i="16"/>
  <c r="S199" i="16" s="1"/>
  <c r="X199" i="16" s="1"/>
  <c r="X9" i="16"/>
  <c r="X200" i="16"/>
  <c r="X168" i="16"/>
  <c r="S167" i="16"/>
  <c r="X167" i="16" s="1"/>
  <c r="X336" i="16"/>
  <c r="S335" i="16"/>
  <c r="X335" i="16" s="1"/>
  <c r="X118" i="16"/>
  <c r="S117" i="16"/>
  <c r="X160" i="16"/>
  <c r="S159" i="16"/>
  <c r="X159" i="16" s="1"/>
  <c r="S125" i="16"/>
  <c r="S9" i="16"/>
  <c r="X326" i="16"/>
  <c r="S322" i="16"/>
  <c r="S346" i="16"/>
  <c r="X346" i="16" s="1"/>
  <c r="X295" i="16"/>
  <c r="S280" i="16"/>
  <c r="AB158" i="15"/>
  <c r="AB326" i="15"/>
  <c r="AA240" i="15"/>
  <c r="U10" i="15"/>
  <c r="U282" i="15"/>
  <c r="U278" i="15" s="1"/>
  <c r="U223" i="15" s="1"/>
  <c r="U222" i="15" s="1"/>
  <c r="U285" i="15"/>
  <c r="Z286" i="15"/>
  <c r="Z250" i="15"/>
  <c r="Z321" i="15"/>
  <c r="Z274" i="15"/>
  <c r="U361" i="15"/>
  <c r="AB399" i="15"/>
  <c r="AB398" i="15" s="1"/>
  <c r="AB397" i="15" s="1"/>
  <c r="AB396" i="15" s="1"/>
  <c r="AB391" i="15" s="1"/>
  <c r="AB390" i="15" s="1"/>
  <c r="Z398" i="15"/>
  <c r="AA230" i="15"/>
  <c r="AA229" i="15" s="1"/>
  <c r="AA228" i="15" s="1"/>
  <c r="AA224" i="15" s="1"/>
  <c r="Z229" i="15"/>
  <c r="Z256" i="15"/>
  <c r="Z34" i="15"/>
  <c r="Z360" i="15"/>
  <c r="Z370" i="15"/>
  <c r="Z11" i="15"/>
  <c r="Z109" i="15"/>
  <c r="Z225" i="15"/>
  <c r="Z342" i="15"/>
  <c r="AB409" i="15"/>
  <c r="AB408" i="15" s="1"/>
  <c r="AB407" i="15" s="1"/>
  <c r="AB406" i="15" s="1"/>
  <c r="AB405" i="15" s="1"/>
  <c r="AB404" i="15" s="1"/>
  <c r="Z408" i="15"/>
  <c r="AB264" i="15"/>
  <c r="AB263" i="15" s="1"/>
  <c r="AB262" i="15" s="1"/>
  <c r="AB240" i="15" s="1"/>
  <c r="Z263" i="15"/>
  <c r="U9" i="15"/>
  <c r="U8" i="15" s="1"/>
  <c r="AC159" i="15"/>
  <c r="AC158" i="15" s="1"/>
  <c r="Z99" i="15"/>
  <c r="Z149" i="15"/>
  <c r="Z346" i="15"/>
  <c r="Z215" i="15"/>
  <c r="Z280" i="15"/>
  <c r="AB281" i="15"/>
  <c r="AB280" i="15" s="1"/>
  <c r="AB279" i="15" s="1"/>
  <c r="AC25" i="15"/>
  <c r="AC24" i="15" s="1"/>
  <c r="AC23" i="15" s="1"/>
  <c r="AC10" i="15" s="1"/>
  <c r="AC9" i="15" s="1"/>
  <c r="Z24" i="15"/>
  <c r="P415" i="15"/>
  <c r="Z86" i="15"/>
  <c r="Z136" i="15"/>
  <c r="AB57" i="15"/>
  <c r="AB56" i="15" s="1"/>
  <c r="AB53" i="15" s="1"/>
  <c r="AB38" i="15" s="1"/>
  <c r="Z56" i="15"/>
  <c r="Z14" i="15"/>
  <c r="Z179" i="15"/>
  <c r="Z299" i="15"/>
  <c r="Z328" i="15"/>
  <c r="AB10" i="15"/>
  <c r="AB9" i="15" s="1"/>
  <c r="Z378" i="15"/>
  <c r="AA318" i="15"/>
  <c r="AA317" i="15" s="1"/>
  <c r="AA316" i="15" s="1"/>
  <c r="AA315" i="15" s="1"/>
  <c r="AA298" i="15" s="1"/>
  <c r="Z317" i="15"/>
  <c r="Z283" i="15"/>
  <c r="AB284" i="15"/>
  <c r="AB283" i="15" s="1"/>
  <c r="Z166" i="15"/>
  <c r="Z208" i="15"/>
  <c r="Z186" i="15"/>
  <c r="Z169" i="15"/>
  <c r="Z79" i="15"/>
  <c r="Z126" i="15"/>
  <c r="AB124" i="15"/>
  <c r="Z303" i="15"/>
  <c r="Z190" i="15"/>
  <c r="G9" i="49"/>
  <c r="C16" i="44"/>
  <c r="D17" i="43"/>
  <c r="C16" i="43"/>
  <c r="C15" i="43"/>
  <c r="C14" i="43"/>
  <c r="C13" i="43"/>
  <c r="C12" i="43"/>
  <c r="C11" i="43"/>
  <c r="C17" i="43" s="1"/>
  <c r="D16" i="50"/>
  <c r="C16" i="50"/>
  <c r="E15" i="50"/>
  <c r="E14" i="50"/>
  <c r="E13" i="50"/>
  <c r="E16" i="50"/>
  <c r="E11" i="50"/>
  <c r="F15" i="49"/>
  <c r="D15" i="49"/>
  <c r="C15" i="49"/>
  <c r="E14" i="49"/>
  <c r="G14" i="49" s="1"/>
  <c r="E13" i="49"/>
  <c r="G13" i="49" s="1"/>
  <c r="E12" i="49"/>
  <c r="G12" i="49" s="1"/>
  <c r="E11" i="49"/>
  <c r="G11" i="49" s="1"/>
  <c r="E10" i="49"/>
  <c r="G10" i="49" s="1"/>
  <c r="E9" i="49"/>
  <c r="E15" i="49" s="1"/>
  <c r="S154" i="16" l="1"/>
  <c r="X154" i="16" s="1"/>
  <c r="X155" i="16"/>
  <c r="S279" i="16"/>
  <c r="X279" i="16" s="1"/>
  <c r="X280" i="16"/>
  <c r="X117" i="16"/>
  <c r="S116" i="16"/>
  <c r="X116" i="16" s="1"/>
  <c r="S124" i="16"/>
  <c r="X124" i="16" s="1"/>
  <c r="X125" i="16"/>
  <c r="X322" i="16"/>
  <c r="S321" i="16"/>
  <c r="X321" i="16" s="1"/>
  <c r="AA223" i="15"/>
  <c r="AA222" i="15"/>
  <c r="AA415" i="15" s="1"/>
  <c r="Z159" i="15"/>
  <c r="Z158" i="15" s="1"/>
  <c r="AB8" i="15"/>
  <c r="AB286" i="15"/>
  <c r="AB285" i="15" s="1"/>
  <c r="AB282" i="15" s="1"/>
  <c r="AB278" i="15" s="1"/>
  <c r="AB223" i="15" s="1"/>
  <c r="AB222" i="15" s="1"/>
  <c r="Z285" i="15"/>
  <c r="Z282" i="15" s="1"/>
  <c r="Z53" i="15"/>
  <c r="Z85" i="15"/>
  <c r="AC8" i="15"/>
  <c r="AC415" i="15" s="1"/>
  <c r="Z279" i="15"/>
  <c r="Z407" i="15"/>
  <c r="Z228" i="15"/>
  <c r="Z78" i="15"/>
  <c r="Z148" i="15"/>
  <c r="U360" i="15"/>
  <c r="U326" i="15" s="1"/>
  <c r="Z189" i="15"/>
  <c r="Z125" i="15"/>
  <c r="Z185" i="15"/>
  <c r="Z316" i="15"/>
  <c r="Z377" i="15"/>
  <c r="Z327" i="15"/>
  <c r="Z262" i="15"/>
  <c r="Z397" i="15"/>
  <c r="Z129" i="15"/>
  <c r="Z23" i="15"/>
  <c r="Z214" i="15"/>
  <c r="Z341" i="15"/>
  <c r="G15" i="49"/>
  <c r="S8" i="16" l="1"/>
  <c r="S355" i="16" s="1"/>
  <c r="X8" i="16"/>
  <c r="X355" i="16" s="1"/>
  <c r="AB415" i="15"/>
  <c r="Z224" i="15"/>
  <c r="Z396" i="15"/>
  <c r="Z315" i="15"/>
  <c r="U415" i="15"/>
  <c r="Z240" i="15"/>
  <c r="Z278" i="15"/>
  <c r="Z376" i="15"/>
  <c r="Z406" i="15"/>
  <c r="Z38" i="15"/>
  <c r="Z10" i="15"/>
  <c r="Z124" i="15"/>
  <c r="E17" i="43"/>
  <c r="Z405" i="15" l="1"/>
  <c r="Z369" i="15"/>
  <c r="Z223" i="15"/>
  <c r="Z298" i="15"/>
  <c r="Z391" i="15"/>
  <c r="Z9" i="15"/>
  <c r="Z8" i="15" l="1"/>
  <c r="Z390" i="15"/>
  <c r="Z222" i="15"/>
  <c r="Z404" i="15"/>
  <c r="Z326" i="15"/>
  <c r="Z415" i="15" l="1"/>
  <c r="V144" i="2" l="1"/>
  <c r="S144" i="2"/>
  <c r="L144" i="2"/>
  <c r="J144" i="2"/>
  <c r="H144" i="2"/>
  <c r="W142" i="2"/>
  <c r="T142" i="2"/>
  <c r="C142" i="2"/>
  <c r="G142" i="2" s="1"/>
  <c r="L141" i="2"/>
  <c r="J141" i="2"/>
  <c r="H141" i="2"/>
  <c r="F141" i="2"/>
  <c r="M140" i="2"/>
  <c r="O140" i="2" s="1"/>
  <c r="O139" i="2" s="1"/>
  <c r="K140" i="2"/>
  <c r="N139" i="2"/>
  <c r="L139" i="2"/>
  <c r="K139" i="2"/>
  <c r="J139" i="2"/>
  <c r="I139" i="2"/>
  <c r="M138" i="2"/>
  <c r="O138" i="2" s="1"/>
  <c r="O137" i="2" s="1"/>
  <c r="N137" i="2"/>
  <c r="L137" i="2"/>
  <c r="K137" i="2"/>
  <c r="W136" i="2"/>
  <c r="T136" i="2"/>
  <c r="N136" i="2"/>
  <c r="N135" i="2" s="1"/>
  <c r="J136" i="2"/>
  <c r="J135" i="2" s="1"/>
  <c r="C136" i="2"/>
  <c r="C135" i="2" s="1"/>
  <c r="V135" i="2"/>
  <c r="V134" i="2" s="1"/>
  <c r="U135" i="2"/>
  <c r="S135" i="2"/>
  <c r="S134" i="2" s="1"/>
  <c r="R135" i="2"/>
  <c r="L135" i="2"/>
  <c r="H135" i="2"/>
  <c r="F135" i="2"/>
  <c r="F134" i="2" s="1"/>
  <c r="R134" i="2"/>
  <c r="L134" i="2"/>
  <c r="H134" i="2"/>
  <c r="E134" i="2"/>
  <c r="D134" i="2"/>
  <c r="W133" i="2"/>
  <c r="T133" i="2"/>
  <c r="G133" i="2"/>
  <c r="I133" i="2" s="1"/>
  <c r="V132" i="2"/>
  <c r="U132" i="2"/>
  <c r="W132" i="2" s="1"/>
  <c r="S132" i="2"/>
  <c r="R132" i="2"/>
  <c r="T132" i="2" s="1"/>
  <c r="N132" i="2"/>
  <c r="L132" i="2"/>
  <c r="J132" i="2"/>
  <c r="H132" i="2"/>
  <c r="F132" i="2"/>
  <c r="C132" i="2"/>
  <c r="W131" i="2"/>
  <c r="T131" i="2"/>
  <c r="G131" i="2"/>
  <c r="I131" i="2" s="1"/>
  <c r="V130" i="2"/>
  <c r="U130" i="2"/>
  <c r="S130" i="2"/>
  <c r="T130" i="2" s="1"/>
  <c r="R130" i="2"/>
  <c r="N130" i="2"/>
  <c r="L130" i="2"/>
  <c r="J130" i="2"/>
  <c r="H130" i="2"/>
  <c r="F130" i="2"/>
  <c r="C130" i="2"/>
  <c r="W129" i="2"/>
  <c r="T129" i="2"/>
  <c r="G129" i="2"/>
  <c r="I129" i="2" s="1"/>
  <c r="K129" i="2" s="1"/>
  <c r="M129" i="2" s="1"/>
  <c r="O129" i="2" s="1"/>
  <c r="W128" i="2"/>
  <c r="T128" i="2"/>
  <c r="G128" i="2"/>
  <c r="I128" i="2" s="1"/>
  <c r="K128" i="2" s="1"/>
  <c r="M128" i="2" s="1"/>
  <c r="O128" i="2" s="1"/>
  <c r="W127" i="2"/>
  <c r="T127" i="2"/>
  <c r="W126" i="2"/>
  <c r="T126" i="2"/>
  <c r="G126" i="2"/>
  <c r="I126" i="2" s="1"/>
  <c r="K126" i="2" s="1"/>
  <c r="M126" i="2" s="1"/>
  <c r="O126" i="2" s="1"/>
  <c r="W125" i="2"/>
  <c r="T125" i="2"/>
  <c r="G125" i="2"/>
  <c r="I125" i="2" s="1"/>
  <c r="K125" i="2" s="1"/>
  <c r="M125" i="2" s="1"/>
  <c r="O125" i="2" s="1"/>
  <c r="W124" i="2"/>
  <c r="T124" i="2"/>
  <c r="G124" i="2"/>
  <c r="I124" i="2" s="1"/>
  <c r="K124" i="2" s="1"/>
  <c r="M124" i="2" s="1"/>
  <c r="O124" i="2" s="1"/>
  <c r="W123" i="2"/>
  <c r="T123" i="2"/>
  <c r="G123" i="2"/>
  <c r="I123" i="2" s="1"/>
  <c r="K123" i="2" s="1"/>
  <c r="M123" i="2" s="1"/>
  <c r="O123" i="2" s="1"/>
  <c r="W122" i="2"/>
  <c r="T122" i="2"/>
  <c r="G122" i="2"/>
  <c r="I122" i="2" s="1"/>
  <c r="K122" i="2" s="1"/>
  <c r="M122" i="2" s="1"/>
  <c r="O122" i="2" s="1"/>
  <c r="W121" i="2"/>
  <c r="T121" i="2"/>
  <c r="G121" i="2"/>
  <c r="I121" i="2" s="1"/>
  <c r="K121" i="2" s="1"/>
  <c r="M121" i="2" s="1"/>
  <c r="O121" i="2" s="1"/>
  <c r="W120" i="2"/>
  <c r="T120" i="2"/>
  <c r="G120" i="2"/>
  <c r="I120" i="2" s="1"/>
  <c r="K120" i="2" s="1"/>
  <c r="M120" i="2" s="1"/>
  <c r="O120" i="2" s="1"/>
  <c r="W119" i="2"/>
  <c r="T119" i="2"/>
  <c r="W118" i="2"/>
  <c r="T118" i="2"/>
  <c r="G118" i="2"/>
  <c r="I118" i="2" s="1"/>
  <c r="K118" i="2" s="1"/>
  <c r="M118" i="2" s="1"/>
  <c r="O118" i="2" s="1"/>
  <c r="W117" i="2"/>
  <c r="T117" i="2"/>
  <c r="G117" i="2"/>
  <c r="I117" i="2" s="1"/>
  <c r="K117" i="2" s="1"/>
  <c r="M117" i="2" s="1"/>
  <c r="O117" i="2" s="1"/>
  <c r="W116" i="2"/>
  <c r="T116" i="2"/>
  <c r="G116" i="2"/>
  <c r="I116" i="2" s="1"/>
  <c r="V115" i="2"/>
  <c r="V114" i="2" s="1"/>
  <c r="U115" i="2"/>
  <c r="S115" i="2"/>
  <c r="S114" i="2" s="1"/>
  <c r="R115" i="2"/>
  <c r="N115" i="2"/>
  <c r="N114" i="2" s="1"/>
  <c r="L115" i="2"/>
  <c r="L114" i="2" s="1"/>
  <c r="J115" i="2"/>
  <c r="H115" i="2"/>
  <c r="G115" i="2"/>
  <c r="G114" i="2" s="1"/>
  <c r="F115" i="2"/>
  <c r="C115" i="2"/>
  <c r="C114" i="2" s="1"/>
  <c r="R114" i="2"/>
  <c r="T114" i="2" s="1"/>
  <c r="J114" i="2"/>
  <c r="H114" i="2"/>
  <c r="F114" i="2"/>
  <c r="W113" i="2"/>
  <c r="T113" i="2"/>
  <c r="G113" i="2"/>
  <c r="V112" i="2"/>
  <c r="U112" i="2"/>
  <c r="S112" i="2"/>
  <c r="R112" i="2"/>
  <c r="N112" i="2"/>
  <c r="L112" i="2"/>
  <c r="J112" i="2"/>
  <c r="H112" i="2"/>
  <c r="F112" i="2"/>
  <c r="C112" i="2"/>
  <c r="W111" i="2"/>
  <c r="T111" i="2"/>
  <c r="G111" i="2"/>
  <c r="V110" i="2"/>
  <c r="U110" i="2"/>
  <c r="S110" i="2"/>
  <c r="R110" i="2"/>
  <c r="T110" i="2" s="1"/>
  <c r="N110" i="2"/>
  <c r="L110" i="2"/>
  <c r="J110" i="2"/>
  <c r="H110" i="2"/>
  <c r="F110" i="2"/>
  <c r="C110" i="2"/>
  <c r="W109" i="2"/>
  <c r="T109" i="2"/>
  <c r="G109" i="2"/>
  <c r="V108" i="2"/>
  <c r="U108" i="2"/>
  <c r="S108" i="2"/>
  <c r="R108" i="2"/>
  <c r="N108" i="2"/>
  <c r="L108" i="2"/>
  <c r="J108" i="2"/>
  <c r="H108" i="2"/>
  <c r="F108" i="2"/>
  <c r="C108" i="2"/>
  <c r="C107" i="2" s="1"/>
  <c r="K105" i="2"/>
  <c r="W104" i="2"/>
  <c r="T104" i="2"/>
  <c r="I104" i="2"/>
  <c r="K104" i="2" s="1"/>
  <c r="M104" i="2" s="1"/>
  <c r="N103" i="2"/>
  <c r="N102" i="2" s="1"/>
  <c r="L103" i="2"/>
  <c r="J103" i="2"/>
  <c r="J102" i="2" s="1"/>
  <c r="I103" i="2"/>
  <c r="I102" i="2" s="1"/>
  <c r="H103" i="2"/>
  <c r="H102" i="2" s="1"/>
  <c r="G103" i="2"/>
  <c r="G102" i="2" s="1"/>
  <c r="L102" i="2"/>
  <c r="M101" i="2"/>
  <c r="O101" i="2" s="1"/>
  <c r="M100" i="2"/>
  <c r="O100" i="2" s="1"/>
  <c r="W99" i="2"/>
  <c r="T99" i="2"/>
  <c r="G99" i="2"/>
  <c r="I99" i="2" s="1"/>
  <c r="W98" i="2"/>
  <c r="T98" i="2"/>
  <c r="G98" i="2"/>
  <c r="I98" i="2" s="1"/>
  <c r="K98" i="2" s="1"/>
  <c r="M98" i="2" s="1"/>
  <c r="V97" i="2"/>
  <c r="V96" i="2" s="1"/>
  <c r="V91" i="2" s="1"/>
  <c r="U97" i="2"/>
  <c r="S97" i="2"/>
  <c r="S96" i="2" s="1"/>
  <c r="S91" i="2" s="1"/>
  <c r="R97" i="2"/>
  <c r="R96" i="2" s="1"/>
  <c r="R91" i="2" s="1"/>
  <c r="N97" i="2"/>
  <c r="N96" i="2" s="1"/>
  <c r="L97" i="2"/>
  <c r="J97" i="2"/>
  <c r="H97" i="2"/>
  <c r="H96" i="2" s="1"/>
  <c r="F97" i="2"/>
  <c r="F96" i="2" s="1"/>
  <c r="F91" i="2" s="1"/>
  <c r="E97" i="2"/>
  <c r="E96" i="2" s="1"/>
  <c r="D97" i="2"/>
  <c r="D96" i="2" s="1"/>
  <c r="D91" i="2" s="1"/>
  <c r="C97" i="2"/>
  <c r="C96" i="2" s="1"/>
  <c r="U96" i="2"/>
  <c r="U91" i="2" s="1"/>
  <c r="L96" i="2"/>
  <c r="J96" i="2"/>
  <c r="W95" i="2"/>
  <c r="T95" i="2"/>
  <c r="N95" i="2"/>
  <c r="O95" i="2" s="1"/>
  <c r="O94" i="2" s="1"/>
  <c r="W94" i="2"/>
  <c r="T94" i="2"/>
  <c r="M94" i="2"/>
  <c r="W93" i="2"/>
  <c r="T93" i="2"/>
  <c r="M93" i="2"/>
  <c r="W92" i="2"/>
  <c r="T92" i="2"/>
  <c r="N92" i="2"/>
  <c r="L92" i="2"/>
  <c r="K92" i="2"/>
  <c r="E91" i="2"/>
  <c r="C91" i="2"/>
  <c r="V90" i="2"/>
  <c r="W90" i="2" s="1"/>
  <c r="T90" i="2"/>
  <c r="H90" i="2"/>
  <c r="H89" i="2" s="1"/>
  <c r="G90" i="2"/>
  <c r="V89" i="2"/>
  <c r="U89" i="2"/>
  <c r="W89" i="2" s="1"/>
  <c r="S89" i="2"/>
  <c r="R89" i="2"/>
  <c r="T89" i="2" s="1"/>
  <c r="N89" i="2"/>
  <c r="L89" i="2"/>
  <c r="J89" i="2"/>
  <c r="F89" i="2"/>
  <c r="C89" i="2"/>
  <c r="W88" i="2"/>
  <c r="T88" i="2"/>
  <c r="G88" i="2"/>
  <c r="I88" i="2" s="1"/>
  <c r="V87" i="2"/>
  <c r="U87" i="2"/>
  <c r="W87" i="2" s="1"/>
  <c r="W86" i="2" s="1"/>
  <c r="S87" i="2"/>
  <c r="S86" i="2" s="1"/>
  <c r="R87" i="2"/>
  <c r="N87" i="2"/>
  <c r="L87" i="2"/>
  <c r="J87" i="2"/>
  <c r="J86" i="2" s="1"/>
  <c r="H87" i="2"/>
  <c r="G87" i="2"/>
  <c r="F87" i="2"/>
  <c r="C87" i="2"/>
  <c r="C86" i="2" s="1"/>
  <c r="V86" i="2"/>
  <c r="H86" i="2"/>
  <c r="E85" i="2"/>
  <c r="D85" i="2"/>
  <c r="W83" i="2"/>
  <c r="T83" i="2"/>
  <c r="T82" i="2" s="1"/>
  <c r="I83" i="2"/>
  <c r="K83" i="2" s="1"/>
  <c r="G83" i="2"/>
  <c r="W82" i="2"/>
  <c r="V82" i="2"/>
  <c r="U82" i="2"/>
  <c r="S82" i="2"/>
  <c r="R82" i="2"/>
  <c r="N82" i="2"/>
  <c r="L82" i="2"/>
  <c r="J82" i="2"/>
  <c r="H82" i="2"/>
  <c r="G82" i="2"/>
  <c r="F82" i="2"/>
  <c r="C82" i="2"/>
  <c r="W81" i="2"/>
  <c r="T81" i="2"/>
  <c r="G81" i="2"/>
  <c r="I81" i="2" s="1"/>
  <c r="K81" i="2" s="1"/>
  <c r="M81" i="2" s="1"/>
  <c r="O81" i="2" s="1"/>
  <c r="O80" i="2"/>
  <c r="O79" i="2" s="1"/>
  <c r="N79" i="2"/>
  <c r="M79" i="2"/>
  <c r="W78" i="2"/>
  <c r="T78" i="2"/>
  <c r="G78" i="2"/>
  <c r="I78" i="2" s="1"/>
  <c r="K78" i="2" s="1"/>
  <c r="M78" i="2" s="1"/>
  <c r="O78" i="2" s="1"/>
  <c r="W77" i="2"/>
  <c r="T77" i="2"/>
  <c r="G77" i="2"/>
  <c r="I77" i="2" s="1"/>
  <c r="V76" i="2"/>
  <c r="U76" i="2"/>
  <c r="T76" i="2"/>
  <c r="S76" i="2"/>
  <c r="R76" i="2"/>
  <c r="N76" i="2"/>
  <c r="L76" i="2"/>
  <c r="J76" i="2"/>
  <c r="H76" i="2"/>
  <c r="F76" i="2"/>
  <c r="C76" i="2"/>
  <c r="C67" i="2" s="1"/>
  <c r="O75" i="2"/>
  <c r="O74" i="2"/>
  <c r="O73" i="2" s="1"/>
  <c r="N74" i="2"/>
  <c r="N73" i="2" s="1"/>
  <c r="O72" i="2"/>
  <c r="O71" i="2" s="1"/>
  <c r="N71" i="2"/>
  <c r="W70" i="2"/>
  <c r="T70" i="2"/>
  <c r="G70" i="2"/>
  <c r="I70" i="2" s="1"/>
  <c r="K70" i="2" s="1"/>
  <c r="M70" i="2" s="1"/>
  <c r="O70" i="2" s="1"/>
  <c r="W69" i="2"/>
  <c r="T69" i="2"/>
  <c r="G69" i="2"/>
  <c r="V68" i="2"/>
  <c r="U68" i="2"/>
  <c r="S68" i="2"/>
  <c r="T68" i="2" s="1"/>
  <c r="T67" i="2" s="1"/>
  <c r="R68" i="2"/>
  <c r="N68" i="2"/>
  <c r="L68" i="2"/>
  <c r="J68" i="2"/>
  <c r="H68" i="2"/>
  <c r="F68" i="2"/>
  <c r="C68" i="2"/>
  <c r="U67" i="2"/>
  <c r="N67" i="2"/>
  <c r="W66" i="2"/>
  <c r="T66" i="2"/>
  <c r="I66" i="2"/>
  <c r="K66" i="2" s="1"/>
  <c r="M66" i="2" s="1"/>
  <c r="O66" i="2" s="1"/>
  <c r="G66" i="2"/>
  <c r="W65" i="2"/>
  <c r="T65" i="2"/>
  <c r="G65" i="2"/>
  <c r="W64" i="2"/>
  <c r="T64" i="2"/>
  <c r="G64" i="2"/>
  <c r="I64" i="2" s="1"/>
  <c r="K64" i="2" s="1"/>
  <c r="M64" i="2" s="1"/>
  <c r="V63" i="2"/>
  <c r="V62" i="2" s="1"/>
  <c r="V58" i="2" s="1"/>
  <c r="U63" i="2"/>
  <c r="W63" i="2" s="1"/>
  <c r="S63" i="2"/>
  <c r="R63" i="2"/>
  <c r="T63" i="2" s="1"/>
  <c r="N63" i="2"/>
  <c r="F63" i="2"/>
  <c r="F62" i="2" s="1"/>
  <c r="F58" i="2" s="1"/>
  <c r="E63" i="2"/>
  <c r="D63" i="2"/>
  <c r="C63" i="2"/>
  <c r="S62" i="2"/>
  <c r="S58" i="2" s="1"/>
  <c r="N62" i="2"/>
  <c r="C62" i="2"/>
  <c r="C58" i="2" s="1"/>
  <c r="O61" i="2"/>
  <c r="O59" i="2" s="1"/>
  <c r="O60" i="2"/>
  <c r="N59" i="2"/>
  <c r="N58" i="2" s="1"/>
  <c r="M59" i="2"/>
  <c r="L58" i="2"/>
  <c r="J58" i="2"/>
  <c r="H58" i="2"/>
  <c r="W57" i="2"/>
  <c r="T57" i="2"/>
  <c r="G57" i="2"/>
  <c r="I57" i="2" s="1"/>
  <c r="V56" i="2"/>
  <c r="U56" i="2"/>
  <c r="W56" i="2" s="1"/>
  <c r="S56" i="2"/>
  <c r="R56" i="2"/>
  <c r="T56" i="2" s="1"/>
  <c r="N56" i="2"/>
  <c r="L56" i="2"/>
  <c r="J56" i="2"/>
  <c r="H56" i="2"/>
  <c r="F56" i="2"/>
  <c r="C56" i="2"/>
  <c r="V55" i="2"/>
  <c r="V54" i="2" s="1"/>
  <c r="U55" i="2"/>
  <c r="U54" i="2" s="1"/>
  <c r="S55" i="2"/>
  <c r="S54" i="2" s="1"/>
  <c r="R55" i="2"/>
  <c r="N55" i="2"/>
  <c r="L55" i="2"/>
  <c r="L54" i="2" s="1"/>
  <c r="J55" i="2"/>
  <c r="J54" i="2" s="1"/>
  <c r="H55" i="2"/>
  <c r="G55" i="2"/>
  <c r="G54" i="2" s="1"/>
  <c r="F55" i="2"/>
  <c r="C55" i="2"/>
  <c r="C54" i="2" s="1"/>
  <c r="R54" i="2"/>
  <c r="N54" i="2"/>
  <c r="H54" i="2"/>
  <c r="F54" i="2"/>
  <c r="W53" i="2"/>
  <c r="T53" i="2"/>
  <c r="G53" i="2"/>
  <c r="I53" i="2" s="1"/>
  <c r="K53" i="2" s="1"/>
  <c r="M53" i="2" s="1"/>
  <c r="O53" i="2" s="1"/>
  <c r="W52" i="2"/>
  <c r="T52" i="2"/>
  <c r="G52" i="2"/>
  <c r="I52" i="2" s="1"/>
  <c r="K52" i="2" s="1"/>
  <c r="M52" i="2" s="1"/>
  <c r="O52" i="2" s="1"/>
  <c r="W51" i="2"/>
  <c r="T51" i="2"/>
  <c r="G51" i="2"/>
  <c r="I51" i="2" s="1"/>
  <c r="K51" i="2" s="1"/>
  <c r="W50" i="2"/>
  <c r="T50" i="2"/>
  <c r="G50" i="2"/>
  <c r="I50" i="2" s="1"/>
  <c r="K50" i="2" s="1"/>
  <c r="M50" i="2" s="1"/>
  <c r="V49" i="2"/>
  <c r="U49" i="2"/>
  <c r="W49" i="2" s="1"/>
  <c r="W48" i="2" s="1"/>
  <c r="S49" i="2"/>
  <c r="S48" i="2" s="1"/>
  <c r="R49" i="2"/>
  <c r="N49" i="2"/>
  <c r="N48" i="2" s="1"/>
  <c r="L49" i="2"/>
  <c r="L48" i="2" s="1"/>
  <c r="J49" i="2"/>
  <c r="H49" i="2"/>
  <c r="G49" i="2"/>
  <c r="G48" i="2" s="1"/>
  <c r="F49" i="2"/>
  <c r="F48" i="2" s="1"/>
  <c r="C49" i="2"/>
  <c r="V48" i="2"/>
  <c r="U48" i="2"/>
  <c r="R48" i="2"/>
  <c r="J48" i="2"/>
  <c r="H48" i="2"/>
  <c r="C48" i="2"/>
  <c r="W47" i="2"/>
  <c r="T47" i="2"/>
  <c r="G47" i="2"/>
  <c r="I47" i="2" s="1"/>
  <c r="V46" i="2"/>
  <c r="W46" i="2" s="1"/>
  <c r="U46" i="2"/>
  <c r="S46" i="2"/>
  <c r="S45" i="2" s="1"/>
  <c r="R46" i="2"/>
  <c r="N46" i="2"/>
  <c r="L46" i="2"/>
  <c r="L45" i="2" s="1"/>
  <c r="J46" i="2"/>
  <c r="J45" i="2" s="1"/>
  <c r="H46" i="2"/>
  <c r="H45" i="2" s="1"/>
  <c r="F46" i="2"/>
  <c r="C46" i="2"/>
  <c r="C45" i="2" s="1"/>
  <c r="U45" i="2"/>
  <c r="N45" i="2"/>
  <c r="F45" i="2"/>
  <c r="W44" i="2"/>
  <c r="T44" i="2"/>
  <c r="G44" i="2"/>
  <c r="I44" i="2" s="1"/>
  <c r="V43" i="2"/>
  <c r="U43" i="2"/>
  <c r="W43" i="2" s="1"/>
  <c r="S43" i="2"/>
  <c r="T43" i="2" s="1"/>
  <c r="R43" i="2"/>
  <c r="N43" i="2"/>
  <c r="L43" i="2"/>
  <c r="J43" i="2"/>
  <c r="H43" i="2"/>
  <c r="F43" i="2"/>
  <c r="C43" i="2"/>
  <c r="W42" i="2"/>
  <c r="T42" i="2"/>
  <c r="G42" i="2"/>
  <c r="I42" i="2" s="1"/>
  <c r="K42" i="2" s="1"/>
  <c r="M42" i="2" s="1"/>
  <c r="O42" i="2" s="1"/>
  <c r="W41" i="2"/>
  <c r="T41" i="2"/>
  <c r="G41" i="2"/>
  <c r="I41" i="2" s="1"/>
  <c r="K41" i="2" s="1"/>
  <c r="M41" i="2" s="1"/>
  <c r="O41" i="2" s="1"/>
  <c r="W40" i="2"/>
  <c r="T40" i="2"/>
  <c r="I40" i="2"/>
  <c r="K40" i="2" s="1"/>
  <c r="G40" i="2"/>
  <c r="V39" i="2"/>
  <c r="V38" i="2" s="1"/>
  <c r="U39" i="2"/>
  <c r="U38" i="2" s="1"/>
  <c r="S39" i="2"/>
  <c r="S38" i="2" s="1"/>
  <c r="R39" i="2"/>
  <c r="R38" i="2" s="1"/>
  <c r="N39" i="2"/>
  <c r="L39" i="2"/>
  <c r="L38" i="2" s="1"/>
  <c r="L37" i="2" s="1"/>
  <c r="J39" i="2"/>
  <c r="H39" i="2"/>
  <c r="H38" i="2" s="1"/>
  <c r="H37" i="2" s="1"/>
  <c r="G39" i="2"/>
  <c r="F39" i="2"/>
  <c r="F38" i="2" s="1"/>
  <c r="F37" i="2" s="1"/>
  <c r="E39" i="2"/>
  <c r="D39" i="2"/>
  <c r="C39" i="2"/>
  <c r="C38" i="2" s="1"/>
  <c r="N38" i="2"/>
  <c r="N37" i="2" s="1"/>
  <c r="J38" i="2"/>
  <c r="O36" i="2"/>
  <c r="O35" i="2"/>
  <c r="O34" i="2" s="1"/>
  <c r="O33" i="2" s="1"/>
  <c r="N35" i="2"/>
  <c r="N34" i="2" s="1"/>
  <c r="N33" i="2" s="1"/>
  <c r="M35" i="2"/>
  <c r="M34" i="2" s="1"/>
  <c r="M33" i="2" s="1"/>
  <c r="W32" i="2"/>
  <c r="T32" i="2"/>
  <c r="G32" i="2"/>
  <c r="I32" i="2" s="1"/>
  <c r="V31" i="2"/>
  <c r="V30" i="2" s="1"/>
  <c r="U31" i="2"/>
  <c r="U30" i="2" s="1"/>
  <c r="S31" i="2"/>
  <c r="R31" i="2"/>
  <c r="N31" i="2"/>
  <c r="L31" i="2"/>
  <c r="L30" i="2" s="1"/>
  <c r="J31" i="2"/>
  <c r="H31" i="2"/>
  <c r="F31" i="2"/>
  <c r="C31" i="2"/>
  <c r="C30" i="2" s="1"/>
  <c r="R30" i="2"/>
  <c r="N30" i="2"/>
  <c r="J30" i="2"/>
  <c r="H30" i="2"/>
  <c r="F30" i="2"/>
  <c r="W29" i="2"/>
  <c r="T29" i="2"/>
  <c r="G29" i="2"/>
  <c r="I29" i="2" s="1"/>
  <c r="V28" i="2"/>
  <c r="U28" i="2"/>
  <c r="S28" i="2"/>
  <c r="R28" i="2"/>
  <c r="T28" i="2" s="1"/>
  <c r="N28" i="2"/>
  <c r="L28" i="2"/>
  <c r="J28" i="2"/>
  <c r="H28" i="2"/>
  <c r="F28" i="2"/>
  <c r="C28" i="2"/>
  <c r="W27" i="2"/>
  <c r="T27" i="2"/>
  <c r="G27" i="2"/>
  <c r="I27" i="2" s="1"/>
  <c r="V26" i="2"/>
  <c r="U26" i="2"/>
  <c r="W26" i="2" s="1"/>
  <c r="T26" i="2"/>
  <c r="S26" i="2"/>
  <c r="R26" i="2"/>
  <c r="N26" i="2"/>
  <c r="L26" i="2"/>
  <c r="L22" i="2" s="1"/>
  <c r="J26" i="2"/>
  <c r="H26" i="2"/>
  <c r="F26" i="2"/>
  <c r="C26" i="2"/>
  <c r="W25" i="2"/>
  <c r="T25" i="2"/>
  <c r="G25" i="2"/>
  <c r="I25" i="2" s="1"/>
  <c r="K25" i="2" s="1"/>
  <c r="M25" i="2" s="1"/>
  <c r="O25" i="2" s="1"/>
  <c r="W24" i="2"/>
  <c r="T24" i="2"/>
  <c r="G24" i="2"/>
  <c r="I24" i="2" s="1"/>
  <c r="W23" i="2"/>
  <c r="V23" i="2"/>
  <c r="V22" i="2" s="1"/>
  <c r="U23" i="2"/>
  <c r="S23" i="2"/>
  <c r="R23" i="2"/>
  <c r="N23" i="2"/>
  <c r="N22" i="2" s="1"/>
  <c r="L23" i="2"/>
  <c r="J23" i="2"/>
  <c r="H23" i="2"/>
  <c r="H22" i="2" s="1"/>
  <c r="F23" i="2"/>
  <c r="F22" i="2" s="1"/>
  <c r="C23" i="2"/>
  <c r="U22" i="2"/>
  <c r="R22" i="2"/>
  <c r="J22" i="2"/>
  <c r="W21" i="2"/>
  <c r="T21" i="2"/>
  <c r="G21" i="2"/>
  <c r="I21" i="2" s="1"/>
  <c r="K21" i="2" s="1"/>
  <c r="M21" i="2" s="1"/>
  <c r="O21" i="2" s="1"/>
  <c r="W20" i="2"/>
  <c r="T20" i="2"/>
  <c r="G20" i="2"/>
  <c r="I20" i="2" s="1"/>
  <c r="K20" i="2" s="1"/>
  <c r="M20" i="2" s="1"/>
  <c r="O20" i="2" s="1"/>
  <c r="W19" i="2"/>
  <c r="T19" i="2"/>
  <c r="G19" i="2"/>
  <c r="I19" i="2" s="1"/>
  <c r="K19" i="2" s="1"/>
  <c r="M19" i="2" s="1"/>
  <c r="O19" i="2" s="1"/>
  <c r="W18" i="2"/>
  <c r="T18" i="2"/>
  <c r="G18" i="2"/>
  <c r="I18" i="2" s="1"/>
  <c r="V17" i="2"/>
  <c r="V16" i="2" s="1"/>
  <c r="U17" i="2"/>
  <c r="U16" i="2" s="1"/>
  <c r="S17" i="2"/>
  <c r="R17" i="2"/>
  <c r="T17" i="2" s="1"/>
  <c r="T16" i="2" s="1"/>
  <c r="N17" i="2"/>
  <c r="N16" i="2" s="1"/>
  <c r="L17" i="2"/>
  <c r="L16" i="2" s="1"/>
  <c r="J17" i="2"/>
  <c r="H17" i="2"/>
  <c r="G17" i="2"/>
  <c r="G16" i="2" s="1"/>
  <c r="F17" i="2"/>
  <c r="F16" i="2" s="1"/>
  <c r="C17" i="2"/>
  <c r="S16" i="2"/>
  <c r="R16" i="2"/>
  <c r="J16" i="2"/>
  <c r="H16" i="2"/>
  <c r="C16" i="2"/>
  <c r="W15" i="2"/>
  <c r="T15" i="2"/>
  <c r="G15" i="2"/>
  <c r="I15" i="2" s="1"/>
  <c r="K15" i="2" s="1"/>
  <c r="M15" i="2" s="1"/>
  <c r="O15" i="2" s="1"/>
  <c r="W14" i="2"/>
  <c r="T14" i="2"/>
  <c r="I14" i="2"/>
  <c r="K14" i="2" s="1"/>
  <c r="M14" i="2" s="1"/>
  <c r="O14" i="2" s="1"/>
  <c r="G14" i="2"/>
  <c r="W13" i="2"/>
  <c r="T13" i="2"/>
  <c r="G13" i="2"/>
  <c r="I13" i="2" s="1"/>
  <c r="K13" i="2" s="1"/>
  <c r="M13" i="2" s="1"/>
  <c r="O13" i="2" s="1"/>
  <c r="W12" i="2"/>
  <c r="T12" i="2"/>
  <c r="N12" i="2"/>
  <c r="N11" i="2" s="1"/>
  <c r="N10" i="2" s="1"/>
  <c r="G12" i="2"/>
  <c r="I12" i="2" s="1"/>
  <c r="V11" i="2"/>
  <c r="U11" i="2"/>
  <c r="U10" i="2" s="1"/>
  <c r="S11" i="2"/>
  <c r="S10" i="2" s="1"/>
  <c r="R11" i="2"/>
  <c r="L11" i="2"/>
  <c r="J11" i="2"/>
  <c r="J10" i="2" s="1"/>
  <c r="H11" i="2"/>
  <c r="F11" i="2"/>
  <c r="F10" i="2" s="1"/>
  <c r="C11" i="2"/>
  <c r="C10" i="2" s="1"/>
  <c r="V10" i="2"/>
  <c r="R10" i="2"/>
  <c r="L10" i="2"/>
  <c r="H10" i="2"/>
  <c r="G136" i="2" l="1"/>
  <c r="T87" i="2"/>
  <c r="L86" i="2"/>
  <c r="J91" i="2"/>
  <c r="L91" i="2"/>
  <c r="N152" i="2"/>
  <c r="N107" i="2"/>
  <c r="N151" i="2" s="1"/>
  <c r="W112" i="2"/>
  <c r="J107" i="2"/>
  <c r="W130" i="2"/>
  <c r="M83" i="2"/>
  <c r="O83" i="2" s="1"/>
  <c r="O82" i="2" s="1"/>
  <c r="K82" i="2"/>
  <c r="I142" i="2"/>
  <c r="K142" i="2" s="1"/>
  <c r="O142" i="2" s="1"/>
  <c r="G141" i="2"/>
  <c r="I141" i="2" s="1"/>
  <c r="K141" i="2" s="1"/>
  <c r="J9" i="2"/>
  <c r="T11" i="2"/>
  <c r="T10" i="2" s="1"/>
  <c r="W11" i="2"/>
  <c r="T23" i="2"/>
  <c r="T22" i="2" s="1"/>
  <c r="W31" i="2"/>
  <c r="W30" i="2" s="1"/>
  <c r="C22" i="2"/>
  <c r="W28" i="2"/>
  <c r="W22" i="2" s="1"/>
  <c r="T31" i="2"/>
  <c r="T30" i="2" s="1"/>
  <c r="T46" i="2"/>
  <c r="R62" i="2"/>
  <c r="S67" i="2"/>
  <c r="H67" i="2"/>
  <c r="H9" i="2" s="1"/>
  <c r="W68" i="2"/>
  <c r="J67" i="2"/>
  <c r="R86" i="2"/>
  <c r="I90" i="2"/>
  <c r="I89" i="2" s="1"/>
  <c r="H107" i="2"/>
  <c r="R107" i="2"/>
  <c r="W110" i="2"/>
  <c r="T115" i="2"/>
  <c r="U134" i="2"/>
  <c r="J134" i="2"/>
  <c r="M139" i="2"/>
  <c r="C141" i="2"/>
  <c r="C134" i="2" s="1"/>
  <c r="C85" i="2" s="1"/>
  <c r="C84" i="2" s="1"/>
  <c r="J37" i="2"/>
  <c r="S37" i="2"/>
  <c r="F107" i="2"/>
  <c r="S107" i="2"/>
  <c r="S85" i="2" s="1"/>
  <c r="S84" i="2" s="1"/>
  <c r="G56" i="2"/>
  <c r="F67" i="2"/>
  <c r="W76" i="2"/>
  <c r="W67" i="2" s="1"/>
  <c r="I82" i="2"/>
  <c r="N94" i="2"/>
  <c r="N91" i="2" s="1"/>
  <c r="N150" i="2" s="1"/>
  <c r="H91" i="2"/>
  <c r="T97" i="2"/>
  <c r="T112" i="2"/>
  <c r="T135" i="2"/>
  <c r="T134" i="2" s="1"/>
  <c r="C37" i="2"/>
  <c r="J85" i="2"/>
  <c r="J84" i="2" s="1"/>
  <c r="I97" i="2"/>
  <c r="I96" i="2" s="1"/>
  <c r="I91" i="2" s="1"/>
  <c r="K29" i="2"/>
  <c r="I28" i="2"/>
  <c r="U37" i="2"/>
  <c r="W38" i="2"/>
  <c r="F9" i="2"/>
  <c r="W10" i="2"/>
  <c r="I23" i="2"/>
  <c r="K24" i="2"/>
  <c r="G38" i="2"/>
  <c r="G37" i="2" s="1"/>
  <c r="M51" i="2"/>
  <c r="O51" i="2" s="1"/>
  <c r="K49" i="2"/>
  <c r="K48" i="2" s="1"/>
  <c r="I56" i="2"/>
  <c r="K57" i="2"/>
  <c r="I55" i="2"/>
  <c r="I54" i="2" s="1"/>
  <c r="K88" i="2"/>
  <c r="I87" i="2"/>
  <c r="I17" i="2"/>
  <c r="I16" i="2" s="1"/>
  <c r="C9" i="2"/>
  <c r="K27" i="2"/>
  <c r="I26" i="2"/>
  <c r="I31" i="2"/>
  <c r="I30" i="2" s="1"/>
  <c r="K32" i="2"/>
  <c r="T38" i="2"/>
  <c r="I46" i="2"/>
  <c r="I45" i="2" s="1"/>
  <c r="K47" i="2"/>
  <c r="O50" i="2"/>
  <c r="O49" i="2" s="1"/>
  <c r="O48" i="2" s="1"/>
  <c r="O64" i="2"/>
  <c r="K77" i="2"/>
  <c r="I76" i="2"/>
  <c r="O98" i="2"/>
  <c r="K12" i="2"/>
  <c r="I11" i="2"/>
  <c r="I10" i="2" s="1"/>
  <c r="I43" i="2"/>
  <c r="K44" i="2"/>
  <c r="M40" i="2"/>
  <c r="K39" i="2"/>
  <c r="L9" i="2"/>
  <c r="N9" i="2"/>
  <c r="G26" i="2"/>
  <c r="G28" i="2"/>
  <c r="W17" i="2"/>
  <c r="W16" i="2" s="1"/>
  <c r="G23" i="2"/>
  <c r="G31" i="2"/>
  <c r="G30" i="2" s="1"/>
  <c r="I39" i="2"/>
  <c r="I38" i="2" s="1"/>
  <c r="I37" i="2" s="1"/>
  <c r="W39" i="2"/>
  <c r="S22" i="2"/>
  <c r="S30" i="2"/>
  <c r="T39" i="2"/>
  <c r="R45" i="2"/>
  <c r="T45" i="2" s="1"/>
  <c r="V45" i="2"/>
  <c r="W45" i="2" s="1"/>
  <c r="G46" i="2"/>
  <c r="G45" i="2" s="1"/>
  <c r="T49" i="2"/>
  <c r="T48" i="2" s="1"/>
  <c r="T55" i="2"/>
  <c r="T54" i="2" s="1"/>
  <c r="W55" i="2"/>
  <c r="W54" i="2" s="1"/>
  <c r="L67" i="2"/>
  <c r="N86" i="2"/>
  <c r="T86" i="2"/>
  <c r="G97" i="2"/>
  <c r="G96" i="2" s="1"/>
  <c r="G91" i="2" s="1"/>
  <c r="M105" i="2"/>
  <c r="K103" i="2"/>
  <c r="K102" i="2" s="1"/>
  <c r="I69" i="2"/>
  <c r="G68" i="2"/>
  <c r="M92" i="2"/>
  <c r="O93" i="2"/>
  <c r="O92" i="2" s="1"/>
  <c r="O102" i="2"/>
  <c r="I65" i="2"/>
  <c r="K65" i="2" s="1"/>
  <c r="M65" i="2" s="1"/>
  <c r="O65" i="2" s="1"/>
  <c r="G63" i="2"/>
  <c r="G76" i="2"/>
  <c r="U86" i="2"/>
  <c r="F86" i="2"/>
  <c r="G89" i="2"/>
  <c r="G86" i="2" s="1"/>
  <c r="T96" i="2"/>
  <c r="T91" i="2" s="1"/>
  <c r="G11" i="2"/>
  <c r="G10" i="2" s="1"/>
  <c r="K18" i="2"/>
  <c r="G43" i="2"/>
  <c r="I49" i="2"/>
  <c r="I48" i="2" s="1"/>
  <c r="U62" i="2"/>
  <c r="R67" i="2"/>
  <c r="V67" i="2"/>
  <c r="W97" i="2"/>
  <c r="K99" i="2"/>
  <c r="M99" i="2" s="1"/>
  <c r="O99" i="2" s="1"/>
  <c r="V107" i="2"/>
  <c r="V85" i="2" s="1"/>
  <c r="V84" i="2" s="1"/>
  <c r="W108" i="2"/>
  <c r="I115" i="2"/>
  <c r="I114" i="2" s="1"/>
  <c r="K116" i="2"/>
  <c r="I130" i="2"/>
  <c r="K131" i="2"/>
  <c r="N153" i="2"/>
  <c r="N134" i="2"/>
  <c r="I109" i="2"/>
  <c r="G108" i="2"/>
  <c r="I111" i="2"/>
  <c r="G110" i="2"/>
  <c r="I113" i="2"/>
  <c r="G112" i="2"/>
  <c r="U114" i="2"/>
  <c r="W115" i="2"/>
  <c r="W96" i="2"/>
  <c r="W91" i="2" s="1"/>
  <c r="L107" i="2"/>
  <c r="L85" i="2" s="1"/>
  <c r="L84" i="2" s="1"/>
  <c r="T108" i="2"/>
  <c r="I132" i="2"/>
  <c r="K133" i="2"/>
  <c r="O152" i="2"/>
  <c r="G130" i="2"/>
  <c r="G132" i="2"/>
  <c r="W135" i="2"/>
  <c r="W134" i="2" s="1"/>
  <c r="M137" i="2"/>
  <c r="M152" i="2" s="1"/>
  <c r="I136" i="2" l="1"/>
  <c r="G135" i="2"/>
  <c r="K90" i="2"/>
  <c r="F85" i="2"/>
  <c r="F84" i="2" s="1"/>
  <c r="H85" i="2"/>
  <c r="H84" i="2" s="1"/>
  <c r="R85" i="2"/>
  <c r="R84" i="2" s="1"/>
  <c r="M103" i="2"/>
  <c r="M102" i="2" s="1"/>
  <c r="J143" i="2"/>
  <c r="H143" i="2"/>
  <c r="O63" i="2"/>
  <c r="O62" i="2" s="1"/>
  <c r="O58" i="2" s="1"/>
  <c r="T107" i="2"/>
  <c r="T85" i="2" s="1"/>
  <c r="T84" i="2" s="1"/>
  <c r="C143" i="2"/>
  <c r="T62" i="2"/>
  <c r="T58" i="2" s="1"/>
  <c r="R58" i="2"/>
  <c r="G107" i="2"/>
  <c r="G85" i="2" s="1"/>
  <c r="G84" i="2" s="1"/>
  <c r="K97" i="2"/>
  <c r="K96" i="2" s="1"/>
  <c r="K91" i="2" s="1"/>
  <c r="P429" i="15" s="1"/>
  <c r="M82" i="2"/>
  <c r="M97" i="2"/>
  <c r="M96" i="2" s="1"/>
  <c r="M91" i="2" s="1"/>
  <c r="F143" i="2"/>
  <c r="O97" i="2"/>
  <c r="O96" i="2" s="1"/>
  <c r="M63" i="2"/>
  <c r="M62" i="2" s="1"/>
  <c r="M58" i="2" s="1"/>
  <c r="G134" i="2"/>
  <c r="U58" i="2"/>
  <c r="U9" i="2" s="1"/>
  <c r="W62" i="2"/>
  <c r="W58" i="2" s="1"/>
  <c r="I112" i="2"/>
  <c r="K113" i="2"/>
  <c r="L143" i="2"/>
  <c r="M47" i="2"/>
  <c r="K46" i="2"/>
  <c r="K45" i="2" s="1"/>
  <c r="M32" i="2"/>
  <c r="K31" i="2"/>
  <c r="K30" i="2" s="1"/>
  <c r="M116" i="2"/>
  <c r="K115" i="2"/>
  <c r="K114" i="2" s="1"/>
  <c r="G62" i="2"/>
  <c r="I63" i="2"/>
  <c r="K63" i="2" s="1"/>
  <c r="O91" i="2"/>
  <c r="O150" i="2" s="1"/>
  <c r="I22" i="2"/>
  <c r="K28" i="2"/>
  <c r="M29" i="2"/>
  <c r="W114" i="2"/>
  <c r="W107" i="2" s="1"/>
  <c r="W85" i="2" s="1"/>
  <c r="W84" i="2" s="1"/>
  <c r="U107" i="2"/>
  <c r="U85" i="2" s="1"/>
  <c r="U84" i="2" s="1"/>
  <c r="I110" i="2"/>
  <c r="K111" i="2"/>
  <c r="M18" i="2"/>
  <c r="K17" i="2"/>
  <c r="K16" i="2" s="1"/>
  <c r="K69" i="2"/>
  <c r="I68" i="2"/>
  <c r="I67" i="2" s="1"/>
  <c r="S9" i="2"/>
  <c r="S143" i="2" s="1"/>
  <c r="G22" i="2"/>
  <c r="M12" i="2"/>
  <c r="K11" i="2"/>
  <c r="K10" i="2" s="1"/>
  <c r="M77" i="2"/>
  <c r="K76" i="2"/>
  <c r="M49" i="2"/>
  <c r="M48" i="2" s="1"/>
  <c r="T37" i="2"/>
  <c r="T9" i="2" s="1"/>
  <c r="I86" i="2"/>
  <c r="M57" i="2"/>
  <c r="K55" i="2"/>
  <c r="K54" i="2" s="1"/>
  <c r="K56" i="2"/>
  <c r="V37" i="2"/>
  <c r="V9" i="2" s="1"/>
  <c r="V143" i="2" s="1"/>
  <c r="W37" i="2"/>
  <c r="N146" i="2"/>
  <c r="R37" i="2"/>
  <c r="R9" i="2" s="1"/>
  <c r="K26" i="2"/>
  <c r="M27" i="2"/>
  <c r="M88" i="2"/>
  <c r="K87" i="2"/>
  <c r="K38" i="2"/>
  <c r="K37" i="2" s="1"/>
  <c r="M133" i="2"/>
  <c r="K132" i="2"/>
  <c r="I108" i="2"/>
  <c r="K109" i="2"/>
  <c r="M90" i="2"/>
  <c r="K89" i="2"/>
  <c r="M131" i="2"/>
  <c r="K130" i="2"/>
  <c r="M44" i="2"/>
  <c r="K43" i="2"/>
  <c r="N149" i="2"/>
  <c r="N148" i="2" s="1"/>
  <c r="N147" i="2" s="1"/>
  <c r="N85" i="2"/>
  <c r="N84" i="2" s="1"/>
  <c r="N143" i="2" s="1"/>
  <c r="O40" i="2"/>
  <c r="O39" i="2" s="1"/>
  <c r="M39" i="2"/>
  <c r="M24" i="2"/>
  <c r="K23" i="2"/>
  <c r="K22" i="2" s="1"/>
  <c r="G67" i="2"/>
  <c r="K421" i="15"/>
  <c r="Q452" i="15"/>
  <c r="Q479" i="15" s="1"/>
  <c r="K445" i="15"/>
  <c r="Q494" i="15"/>
  <c r="J421" i="15"/>
  <c r="M421" i="15"/>
  <c r="O421" i="15"/>
  <c r="Q421" i="15"/>
  <c r="J426" i="15"/>
  <c r="K426" i="15"/>
  <c r="L426" i="15"/>
  <c r="M426" i="15"/>
  <c r="N426" i="15"/>
  <c r="O426" i="15"/>
  <c r="P426" i="15"/>
  <c r="Q426" i="15"/>
  <c r="U426" i="15"/>
  <c r="J429" i="15"/>
  <c r="K429" i="15"/>
  <c r="L429" i="15"/>
  <c r="M429" i="15"/>
  <c r="N429" i="15"/>
  <c r="O429" i="15"/>
  <c r="Q429" i="15"/>
  <c r="K431" i="15"/>
  <c r="M431" i="15"/>
  <c r="O431" i="15"/>
  <c r="Q431" i="15"/>
  <c r="M445" i="15"/>
  <c r="O445" i="15"/>
  <c r="O472" i="15" s="1"/>
  <c r="Q445" i="15"/>
  <c r="Q472" i="15" s="1"/>
  <c r="J446" i="15"/>
  <c r="K446" i="15"/>
  <c r="O446" i="15"/>
  <c r="O473" i="15" s="1"/>
  <c r="K448" i="15"/>
  <c r="O452" i="15"/>
  <c r="J459" i="15"/>
  <c r="K459" i="15"/>
  <c r="L459" i="15"/>
  <c r="M459" i="15"/>
  <c r="N459" i="15"/>
  <c r="O459" i="15"/>
  <c r="P459" i="15"/>
  <c r="Q459" i="15"/>
  <c r="U459" i="15"/>
  <c r="J460" i="15"/>
  <c r="K460" i="15"/>
  <c r="L460" i="15"/>
  <c r="M460" i="15"/>
  <c r="N460" i="15"/>
  <c r="O460" i="15"/>
  <c r="P460" i="15"/>
  <c r="Q460" i="15"/>
  <c r="U460" i="15"/>
  <c r="J461" i="15"/>
  <c r="K461" i="15"/>
  <c r="L461" i="15"/>
  <c r="M461" i="15"/>
  <c r="N461" i="15"/>
  <c r="O461" i="15"/>
  <c r="P461" i="15"/>
  <c r="Q461" i="15"/>
  <c r="U461" i="15"/>
  <c r="J462" i="15"/>
  <c r="K462" i="15"/>
  <c r="L462" i="15"/>
  <c r="M462" i="15"/>
  <c r="N462" i="15"/>
  <c r="O462" i="15"/>
  <c r="P462" i="15"/>
  <c r="Q462" i="15"/>
  <c r="U462" i="15"/>
  <c r="J463" i="15"/>
  <c r="K463" i="15"/>
  <c r="L463" i="15"/>
  <c r="M463" i="15"/>
  <c r="N463" i="15"/>
  <c r="O463" i="15"/>
  <c r="P463" i="15"/>
  <c r="Q463" i="15"/>
  <c r="U463" i="15"/>
  <c r="J464" i="15"/>
  <c r="K464" i="15"/>
  <c r="L464" i="15"/>
  <c r="M464" i="15"/>
  <c r="N464" i="15"/>
  <c r="O464" i="15"/>
  <c r="P464" i="15"/>
  <c r="Q464" i="15"/>
  <c r="U464" i="15"/>
  <c r="J465" i="15"/>
  <c r="K465" i="15"/>
  <c r="L465" i="15"/>
  <c r="M465" i="15"/>
  <c r="N465" i="15"/>
  <c r="O465" i="15"/>
  <c r="P465" i="15"/>
  <c r="Q465" i="15"/>
  <c r="U465" i="15"/>
  <c r="J466" i="15"/>
  <c r="K466" i="15"/>
  <c r="L466" i="15"/>
  <c r="M466" i="15"/>
  <c r="N466" i="15"/>
  <c r="O466" i="15"/>
  <c r="P466" i="15"/>
  <c r="Q466" i="15"/>
  <c r="U466" i="15"/>
  <c r="J467" i="15"/>
  <c r="K467" i="15"/>
  <c r="L467" i="15"/>
  <c r="M467" i="15"/>
  <c r="N467" i="15"/>
  <c r="O467" i="15"/>
  <c r="P467" i="15"/>
  <c r="Q467" i="15"/>
  <c r="U467" i="15"/>
  <c r="J468" i="15"/>
  <c r="K468" i="15"/>
  <c r="L468" i="15"/>
  <c r="M468" i="15"/>
  <c r="N468" i="15"/>
  <c r="O468" i="15"/>
  <c r="P468" i="15"/>
  <c r="Q468" i="15"/>
  <c r="U468" i="15"/>
  <c r="K473" i="15"/>
  <c r="M493" i="15"/>
  <c r="O493" i="15"/>
  <c r="Q493" i="15"/>
  <c r="K494" i="15"/>
  <c r="M494" i="15"/>
  <c r="O494" i="15"/>
  <c r="K472" i="15" l="1"/>
  <c r="R143" i="2"/>
  <c r="K136" i="2"/>
  <c r="I135" i="2"/>
  <c r="I134" i="2" s="1"/>
  <c r="K86" i="2"/>
  <c r="M432" i="15"/>
  <c r="J473" i="15"/>
  <c r="O432" i="15"/>
  <c r="M150" i="2"/>
  <c r="U429" i="15"/>
  <c r="W9" i="2"/>
  <c r="W143" i="2" s="1"/>
  <c r="U143" i="2"/>
  <c r="T143" i="2"/>
  <c r="G9" i="2"/>
  <c r="G143" i="2" s="1"/>
  <c r="M130" i="2"/>
  <c r="O131" i="2"/>
  <c r="O130" i="2" s="1"/>
  <c r="I107" i="2"/>
  <c r="I85" i="2" s="1"/>
  <c r="I84" i="2" s="1"/>
  <c r="M87" i="2"/>
  <c r="O88" i="2"/>
  <c r="O87" i="2" s="1"/>
  <c r="M17" i="2"/>
  <c r="M16" i="2" s="1"/>
  <c r="O18" i="2"/>
  <c r="O17" i="2" s="1"/>
  <c r="O16" i="2" s="1"/>
  <c r="O32" i="2"/>
  <c r="O31" i="2" s="1"/>
  <c r="O30" i="2" s="1"/>
  <c r="M31" i="2"/>
  <c r="M30" i="2" s="1"/>
  <c r="K112" i="2"/>
  <c r="M113" i="2"/>
  <c r="O44" i="2"/>
  <c r="O43" i="2" s="1"/>
  <c r="O38" i="2" s="1"/>
  <c r="M43" i="2"/>
  <c r="M38" i="2" s="1"/>
  <c r="M37" i="2" s="1"/>
  <c r="M26" i="2"/>
  <c r="O27" i="2"/>
  <c r="O26" i="2" s="1"/>
  <c r="N145" i="2"/>
  <c r="N155" i="2" s="1"/>
  <c r="M11" i="2"/>
  <c r="M10" i="2" s="1"/>
  <c r="O12" i="2"/>
  <c r="O11" i="2" s="1"/>
  <c r="O10" i="2" s="1"/>
  <c r="K68" i="2"/>
  <c r="K67" i="2" s="1"/>
  <c r="M69" i="2"/>
  <c r="K110" i="2"/>
  <c r="M111" i="2"/>
  <c r="O29" i="2"/>
  <c r="O28" i="2" s="1"/>
  <c r="M28" i="2"/>
  <c r="M89" i="2"/>
  <c r="O90" i="2"/>
  <c r="O89" i="2" s="1"/>
  <c r="M132" i="2"/>
  <c r="O133" i="2"/>
  <c r="O132" i="2" s="1"/>
  <c r="M56" i="2"/>
  <c r="O57" i="2"/>
  <c r="M55" i="2"/>
  <c r="M54" i="2" s="1"/>
  <c r="O116" i="2"/>
  <c r="O115" i="2" s="1"/>
  <c r="O114" i="2" s="1"/>
  <c r="M115" i="2"/>
  <c r="M114" i="2" s="1"/>
  <c r="O47" i="2"/>
  <c r="O46" i="2" s="1"/>
  <c r="O45" i="2" s="1"/>
  <c r="M46" i="2"/>
  <c r="M45" i="2" s="1"/>
  <c r="M23" i="2"/>
  <c r="O24" i="2"/>
  <c r="O23" i="2" s="1"/>
  <c r="K108" i="2"/>
  <c r="M109" i="2"/>
  <c r="O77" i="2"/>
  <c r="O76" i="2" s="1"/>
  <c r="M76" i="2"/>
  <c r="G58" i="2"/>
  <c r="I62" i="2"/>
  <c r="Q432" i="15"/>
  <c r="J453" i="15"/>
  <c r="J480" i="15" s="1"/>
  <c r="O479" i="15"/>
  <c r="M472" i="15"/>
  <c r="K453" i="15"/>
  <c r="K480" i="15" s="1"/>
  <c r="J445" i="15"/>
  <c r="J472" i="15" s="1"/>
  <c r="K475" i="15"/>
  <c r="K432" i="15"/>
  <c r="Q419" i="15"/>
  <c r="M419" i="15"/>
  <c r="K420" i="15"/>
  <c r="K135" i="2" l="1"/>
  <c r="K134" i="2" s="1"/>
  <c r="K107" i="2"/>
  <c r="K85" i="2" s="1"/>
  <c r="K84" i="2" s="1"/>
  <c r="O37" i="2"/>
  <c r="M86" i="2"/>
  <c r="M149" i="2" s="1"/>
  <c r="O86" i="2"/>
  <c r="M68" i="2"/>
  <c r="M67" i="2" s="1"/>
  <c r="O69" i="2"/>
  <c r="O68" i="2" s="1"/>
  <c r="O67" i="2" s="1"/>
  <c r="O22" i="2"/>
  <c r="O9" i="2" s="1"/>
  <c r="O149" i="2"/>
  <c r="M22" i="2"/>
  <c r="M9" i="2" s="1"/>
  <c r="M110" i="2"/>
  <c r="O111" i="2"/>
  <c r="O110" i="2" s="1"/>
  <c r="M112" i="2"/>
  <c r="O113" i="2"/>
  <c r="O112" i="2" s="1"/>
  <c r="M108" i="2"/>
  <c r="O109" i="2"/>
  <c r="O108" i="2" s="1"/>
  <c r="N144" i="2"/>
  <c r="O55" i="2"/>
  <c r="O54" i="2" s="1"/>
  <c r="O56" i="2"/>
  <c r="I58" i="2"/>
  <c r="I9" i="2" s="1"/>
  <c r="I143" i="2" s="1"/>
  <c r="K62" i="2"/>
  <c r="K58" i="2" s="1"/>
  <c r="K9" i="2" s="1"/>
  <c r="K143" i="2" s="1"/>
  <c r="Q453" i="15"/>
  <c r="Q480" i="15" s="1"/>
  <c r="K451" i="15"/>
  <c r="K478" i="15" s="1"/>
  <c r="J451" i="15"/>
  <c r="J478" i="15" s="1"/>
  <c r="M447" i="15"/>
  <c r="M474" i="15" s="1"/>
  <c r="O420" i="15"/>
  <c r="K450" i="15"/>
  <c r="K477" i="15" s="1"/>
  <c r="O444" i="15"/>
  <c r="O471" i="15" s="1"/>
  <c r="M446" i="15"/>
  <c r="M473" i="15" s="1"/>
  <c r="L446" i="15"/>
  <c r="L473" i="15" s="1"/>
  <c r="Q448" i="15"/>
  <c r="Q475" i="15" s="1"/>
  <c r="Q447" i="15"/>
  <c r="Q474" i="15" s="1"/>
  <c r="O448" i="15"/>
  <c r="O475" i="15" s="1"/>
  <c r="L419" i="15"/>
  <c r="M452" i="15"/>
  <c r="M479" i="15" s="1"/>
  <c r="Q451" i="15"/>
  <c r="Q478" i="15" s="1"/>
  <c r="Q420" i="15"/>
  <c r="Q418" i="15" s="1"/>
  <c r="Q454" i="15" s="1"/>
  <c r="O450" i="15"/>
  <c r="O477" i="15" s="1"/>
  <c r="Q446" i="15"/>
  <c r="Q473" i="15" s="1"/>
  <c r="M420" i="15"/>
  <c r="M418" i="15" s="1"/>
  <c r="M454" i="15" s="1"/>
  <c r="K449" i="15"/>
  <c r="K476" i="15" s="1"/>
  <c r="M451" i="15"/>
  <c r="M478" i="15" s="1"/>
  <c r="L421" i="15"/>
  <c r="J450" i="15"/>
  <c r="J477" i="15" s="1"/>
  <c r="M450" i="15"/>
  <c r="M477" i="15" s="1"/>
  <c r="M430" i="15"/>
  <c r="Q444" i="15"/>
  <c r="Q471" i="15" s="1"/>
  <c r="O419" i="15"/>
  <c r="K419" i="15"/>
  <c r="J447" i="15"/>
  <c r="J474" i="15" s="1"/>
  <c r="N421" i="15"/>
  <c r="Q430" i="15"/>
  <c r="M453" i="15"/>
  <c r="M480" i="15" s="1"/>
  <c r="K452" i="15"/>
  <c r="K479" i="15" s="1"/>
  <c r="J419" i="15"/>
  <c r="K444" i="15"/>
  <c r="K471" i="15" s="1"/>
  <c r="M448" i="15"/>
  <c r="M475" i="15" s="1"/>
  <c r="J452" i="15"/>
  <c r="J479" i="15" s="1"/>
  <c r="Q450" i="15"/>
  <c r="Q477" i="15" s="1"/>
  <c r="O453" i="15"/>
  <c r="O480" i="15" s="1"/>
  <c r="M135" i="2" l="1"/>
  <c r="O136" i="2"/>
  <c r="O135" i="2" s="1"/>
  <c r="O146" i="2"/>
  <c r="M146" i="2"/>
  <c r="O107" i="2"/>
  <c r="M107" i="2"/>
  <c r="J444" i="15"/>
  <c r="J471" i="15" s="1"/>
  <c r="L430" i="15"/>
  <c r="O437" i="15"/>
  <c r="O422" i="15"/>
  <c r="J449" i="15"/>
  <c r="J476" i="15" s="1"/>
  <c r="P445" i="15"/>
  <c r="P472" i="15" s="1"/>
  <c r="K447" i="15"/>
  <c r="K474" i="15" s="1"/>
  <c r="L445" i="15"/>
  <c r="L472" i="15" s="1"/>
  <c r="L448" i="15"/>
  <c r="L475" i="15" s="1"/>
  <c r="L420" i="15"/>
  <c r="L418" i="15" s="1"/>
  <c r="L454" i="15" s="1"/>
  <c r="N446" i="15"/>
  <c r="N473" i="15" s="1"/>
  <c r="O418" i="15"/>
  <c r="O454" i="15" s="1"/>
  <c r="O456" i="15" s="1"/>
  <c r="O430" i="15"/>
  <c r="M449" i="15"/>
  <c r="M476" i="15" s="1"/>
  <c r="O449" i="15"/>
  <c r="O476" i="15" s="1"/>
  <c r="N445" i="15"/>
  <c r="N472" i="15" s="1"/>
  <c r="L447" i="15"/>
  <c r="L474" i="15" s="1"/>
  <c r="O451" i="15"/>
  <c r="O478" i="15" s="1"/>
  <c r="J430" i="15"/>
  <c r="J420" i="15"/>
  <c r="J418" i="15" s="1"/>
  <c r="J454" i="15" s="1"/>
  <c r="O447" i="15"/>
  <c r="O474" i="15" s="1"/>
  <c r="L451" i="15"/>
  <c r="L478" i="15" s="1"/>
  <c r="L452" i="15"/>
  <c r="L479" i="15" s="1"/>
  <c r="J448" i="15"/>
  <c r="J475" i="15" s="1"/>
  <c r="Q449" i="15"/>
  <c r="Q476" i="15" s="1"/>
  <c r="K418" i="15"/>
  <c r="K454" i="15" s="1"/>
  <c r="K430" i="15"/>
  <c r="P421" i="15"/>
  <c r="M444" i="15"/>
  <c r="M471" i="15" s="1"/>
  <c r="O134" i="2" l="1"/>
  <c r="O85" i="2" s="1"/>
  <c r="O84" i="2" s="1"/>
  <c r="O143" i="2" s="1"/>
  <c r="O153" i="2"/>
  <c r="M134" i="2"/>
  <c r="M85" i="2" s="1"/>
  <c r="M84" i="2" s="1"/>
  <c r="M143" i="2" s="1"/>
  <c r="M153" i="2"/>
  <c r="M151" i="2"/>
  <c r="M148" i="2" s="1"/>
  <c r="O151" i="2"/>
  <c r="O148" i="2" s="1"/>
  <c r="O147" i="2" s="1"/>
  <c r="O145" i="2" s="1"/>
  <c r="K456" i="15"/>
  <c r="J456" i="15"/>
  <c r="M422" i="15"/>
  <c r="M437" i="15"/>
  <c r="M456" i="15"/>
  <c r="U447" i="15"/>
  <c r="U474" i="15" s="1"/>
  <c r="L449" i="15"/>
  <c r="L476" i="15" s="1"/>
  <c r="N452" i="15"/>
  <c r="N479" i="15" s="1"/>
  <c r="N448" i="15"/>
  <c r="N475" i="15" s="1"/>
  <c r="L450" i="15"/>
  <c r="L477" i="15" s="1"/>
  <c r="P452" i="15"/>
  <c r="P479" i="15" s="1"/>
  <c r="P446" i="15"/>
  <c r="P473" i="15" s="1"/>
  <c r="P447" i="15"/>
  <c r="P474" i="15" s="1"/>
  <c r="N419" i="15"/>
  <c r="N447" i="15"/>
  <c r="N474" i="15" s="1"/>
  <c r="K437" i="15"/>
  <c r="K422" i="15"/>
  <c r="U452" i="15"/>
  <c r="U479" i="15" s="1"/>
  <c r="U446" i="15"/>
  <c r="U473" i="15" s="1"/>
  <c r="L444" i="15"/>
  <c r="L471" i="15" s="1"/>
  <c r="J437" i="15"/>
  <c r="J422" i="15"/>
  <c r="N420" i="15"/>
  <c r="N451" i="15"/>
  <c r="N478" i="15" s="1"/>
  <c r="M147" i="2" l="1"/>
  <c r="M145" i="2" s="1"/>
  <c r="M155" i="2" s="1"/>
  <c r="O155" i="2"/>
  <c r="N449" i="15"/>
  <c r="N476" i="15" s="1"/>
  <c r="N444" i="15"/>
  <c r="N471" i="15" s="1"/>
  <c r="U445" i="15"/>
  <c r="U472" i="15" s="1"/>
  <c r="U451" i="15"/>
  <c r="U478" i="15" s="1"/>
  <c r="U420" i="15"/>
  <c r="U421" i="15"/>
  <c r="Q422" i="15"/>
  <c r="Q437" i="15"/>
  <c r="Q456" i="15"/>
  <c r="U419" i="15"/>
  <c r="P420" i="15"/>
  <c r="U448" i="15"/>
  <c r="U475" i="15" s="1"/>
  <c r="N450" i="15"/>
  <c r="N477" i="15" s="1"/>
  <c r="L453" i="15"/>
  <c r="L480" i="15" s="1"/>
  <c r="P448" i="15"/>
  <c r="P475" i="15" s="1"/>
  <c r="N418" i="15"/>
  <c r="N454" i="15" s="1"/>
  <c r="N430" i="15"/>
  <c r="P419" i="15"/>
  <c r="P451" i="15"/>
  <c r="P478" i="15" s="1"/>
  <c r="P444" i="15" l="1"/>
  <c r="P471" i="15" s="1"/>
  <c r="U444" i="15"/>
  <c r="U471" i="15" s="1"/>
  <c r="P430" i="15"/>
  <c r="P418" i="15"/>
  <c r="P454" i="15" s="1"/>
  <c r="P450" i="15"/>
  <c r="P477" i="15" s="1"/>
  <c r="L422" i="15"/>
  <c r="L437" i="15"/>
  <c r="L456" i="15"/>
  <c r="U418" i="15"/>
  <c r="U454" i="15" s="1"/>
  <c r="U430" i="15"/>
  <c r="U450" i="15"/>
  <c r="U477" i="15" s="1"/>
  <c r="U449" i="15"/>
  <c r="U476" i="15" s="1"/>
  <c r="N453" i="15"/>
  <c r="N480" i="15" s="1"/>
  <c r="D4" i="2"/>
  <c r="E4" i="2"/>
  <c r="D5" i="2"/>
  <c r="E5" i="2"/>
  <c r="L356" i="16"/>
  <c r="M356" i="16"/>
  <c r="N356" i="16"/>
  <c r="K356" i="16"/>
  <c r="R384" i="16"/>
  <c r="N437" i="15" l="1"/>
  <c r="N422" i="15"/>
  <c r="N456" i="15"/>
  <c r="P449" i="15"/>
  <c r="P476" i="15" s="1"/>
  <c r="P453" i="15"/>
  <c r="P480" i="15" s="1"/>
  <c r="S384" i="16"/>
  <c r="Q384" i="16"/>
  <c r="P437" i="15" l="1"/>
  <c r="P422" i="15"/>
  <c r="P456" i="15"/>
  <c r="U453" i="15"/>
  <c r="U480" i="15" s="1"/>
  <c r="S420" i="16"/>
  <c r="Q420" i="16"/>
  <c r="Q413" i="16"/>
  <c r="R411" i="16"/>
  <c r="R418" i="16"/>
  <c r="U437" i="15" l="1"/>
  <c r="U422" i="15"/>
  <c r="U456" i="15"/>
  <c r="R420" i="16"/>
  <c r="S411" i="16"/>
  <c r="R413" i="16"/>
  <c r="S418" i="16"/>
  <c r="Q411" i="16"/>
  <c r="Q418" i="16"/>
  <c r="S413" i="16" l="1"/>
  <c r="R442" i="16" l="1"/>
  <c r="R356" i="16"/>
  <c r="R417" i="16"/>
  <c r="R408" i="16"/>
  <c r="R383" i="16"/>
  <c r="R406" i="16"/>
  <c r="R387" i="16"/>
  <c r="R376" i="16"/>
  <c r="R366" i="16"/>
  <c r="R365" i="16"/>
  <c r="R364" i="16"/>
  <c r="R394" i="16"/>
  <c r="R410" i="16"/>
  <c r="R385" i="16"/>
  <c r="R391" i="16"/>
  <c r="R390" i="16"/>
  <c r="R369" i="16"/>
  <c r="R399" i="16"/>
  <c r="R398" i="16"/>
  <c r="R362" i="16"/>
  <c r="R361" i="16"/>
  <c r="R360" i="16"/>
  <c r="R401" i="16"/>
  <c r="R400" i="16"/>
  <c r="R419" i="16"/>
  <c r="R416" i="16"/>
  <c r="R405" i="16"/>
  <c r="R396" i="16"/>
  <c r="R395" i="16"/>
  <c r="R389" i="16"/>
  <c r="R388" i="16"/>
  <c r="R373" i="16"/>
  <c r="R370" i="16"/>
  <c r="R368" i="16"/>
  <c r="R359" i="16"/>
  <c r="R430" i="16"/>
  <c r="R358" i="16" l="1"/>
  <c r="R407" i="16"/>
  <c r="R374" i="16"/>
  <c r="R363" i="16"/>
  <c r="R415" i="16"/>
  <c r="L4" i="2"/>
  <c r="L5" i="2"/>
  <c r="R403" i="16"/>
  <c r="R381" i="16"/>
  <c r="R393" i="16"/>
  <c r="R382" i="16"/>
  <c r="R402" i="16"/>
  <c r="R392" i="16"/>
  <c r="R367" i="16"/>
  <c r="R404" i="16"/>
  <c r="R412" i="16"/>
  <c r="R371" i="16"/>
  <c r="R414" i="16"/>
  <c r="R425" i="16" s="1"/>
  <c r="R357" i="16"/>
  <c r="R380" i="16"/>
  <c r="R378" i="16"/>
  <c r="R386" i="16"/>
  <c r="R375" i="16"/>
  <c r="R377" i="16"/>
  <c r="R379" i="16"/>
  <c r="R409" i="16"/>
  <c r="Q492" i="15" l="1"/>
  <c r="R426" i="16"/>
  <c r="R397" i="16"/>
  <c r="R372" i="16"/>
  <c r="R424" i="16" s="1"/>
  <c r="R429" i="16"/>
  <c r="P356" i="16"/>
  <c r="O356" i="16"/>
  <c r="Q496" i="15" l="1"/>
  <c r="Q438" i="15"/>
  <c r="R423" i="16"/>
  <c r="R432" i="16"/>
  <c r="R421" i="16"/>
  <c r="Q490" i="15" l="1"/>
  <c r="Q500" i="15" s="1"/>
  <c r="Q427" i="15"/>
  <c r="R440" i="16"/>
  <c r="R427" i="16"/>
  <c r="Q356" i="16"/>
  <c r="S356" i="16"/>
  <c r="R441" i="16" l="1"/>
  <c r="R443" i="16"/>
  <c r="R438" i="16"/>
  <c r="R439" i="16" s="1"/>
  <c r="R435" i="16" l="1"/>
  <c r="R422" i="16" s="1"/>
  <c r="R437" i="16" l="1"/>
  <c r="P380" i="16" l="1"/>
  <c r="O380" i="16"/>
  <c r="Q380" i="16" l="1"/>
  <c r="S380" i="16"/>
  <c r="Q442" i="16"/>
  <c r="P417" i="16"/>
  <c r="P408" i="16"/>
  <c r="P383" i="16"/>
  <c r="P409" i="16"/>
  <c r="P376" i="16"/>
  <c r="P375" i="16"/>
  <c r="P366" i="16"/>
  <c r="P365" i="16"/>
  <c r="P364" i="16"/>
  <c r="P410" i="16"/>
  <c r="P399" i="16"/>
  <c r="P398" i="16"/>
  <c r="P363" i="16"/>
  <c r="P361" i="16"/>
  <c r="P401" i="16"/>
  <c r="P400" i="16"/>
  <c r="P419" i="16"/>
  <c r="P416" i="16"/>
  <c r="P415" i="16"/>
  <c r="P405" i="16"/>
  <c r="P396" i="16"/>
  <c r="P395" i="16"/>
  <c r="P389" i="16"/>
  <c r="P388" i="16"/>
  <c r="P373" i="16"/>
  <c r="P370" i="16"/>
  <c r="P368" i="16"/>
  <c r="L415" i="16"/>
  <c r="K415" i="16"/>
  <c r="M415" i="16"/>
  <c r="N415" i="16"/>
  <c r="P374" i="16" l="1"/>
  <c r="P403" i="16"/>
  <c r="P371" i="16"/>
  <c r="P381" i="16"/>
  <c r="P397" i="16"/>
  <c r="P412" i="16"/>
  <c r="P378" i="16"/>
  <c r="P402" i="16"/>
  <c r="P404" i="16"/>
  <c r="P406" i="16"/>
  <c r="P362" i="16"/>
  <c r="P391" i="16"/>
  <c r="P407" i="16"/>
  <c r="P414" i="16"/>
  <c r="P425" i="16" s="1"/>
  <c r="P390" i="16"/>
  <c r="P387" i="16"/>
  <c r="P359" i="16"/>
  <c r="P392" i="16"/>
  <c r="P360" i="16"/>
  <c r="P369" i="16"/>
  <c r="P385" i="16"/>
  <c r="P394" i="16"/>
  <c r="P357" i="16"/>
  <c r="P377" i="16"/>
  <c r="P379" i="16"/>
  <c r="P358" i="16"/>
  <c r="O415" i="16"/>
  <c r="P426" i="16" l="1"/>
  <c r="J4" i="2"/>
  <c r="P382" i="16"/>
  <c r="P372" i="16"/>
  <c r="P393" i="16"/>
  <c r="P386" i="16"/>
  <c r="J5" i="2"/>
  <c r="O492" i="15"/>
  <c r="O496" i="15" s="1"/>
  <c r="P424" i="16" l="1"/>
  <c r="P367" i="16"/>
  <c r="P423" i="16" s="1"/>
  <c r="P429" i="16"/>
  <c r="S415" i="16" l="1"/>
  <c r="Q415" i="16"/>
  <c r="P432" i="16"/>
  <c r="P421" i="16"/>
  <c r="P427" i="16" s="1"/>
  <c r="O427" i="15" l="1"/>
  <c r="O490" i="15"/>
  <c r="P438" i="16"/>
  <c r="P439" i="16" s="1"/>
  <c r="P440" i="16"/>
  <c r="P435" i="16" l="1"/>
  <c r="P422" i="16" s="1"/>
  <c r="P441" i="16"/>
  <c r="P437" i="16" l="1"/>
  <c r="L383" i="16" l="1"/>
  <c r="K383" i="16"/>
  <c r="L408" i="16"/>
  <c r="K408" i="16"/>
  <c r="M417" i="16"/>
  <c r="L417" i="16"/>
  <c r="K417" i="16"/>
  <c r="M408" i="16"/>
  <c r="N408" i="16" l="1"/>
  <c r="N417" i="16"/>
  <c r="N383" i="16"/>
  <c r="M383" i="16"/>
  <c r="O417" i="16" l="1"/>
  <c r="O408" i="16"/>
  <c r="O383" i="16"/>
  <c r="Q383" i="16" l="1"/>
  <c r="S383" i="16"/>
  <c r="Q408" i="16"/>
  <c r="S408" i="16"/>
  <c r="Q417" i="16"/>
  <c r="S417" i="16"/>
  <c r="L370" i="16" l="1"/>
  <c r="K370" i="16"/>
  <c r="M370" i="16" l="1"/>
  <c r="N370" i="16" l="1"/>
  <c r="O370" i="16" l="1"/>
  <c r="Q370" i="16" l="1"/>
  <c r="S370" i="16"/>
  <c r="O442" i="16" l="1"/>
  <c r="N378" i="16" l="1"/>
  <c r="N392" i="16"/>
  <c r="N388" i="16"/>
  <c r="N419" i="16"/>
  <c r="N366" i="16"/>
  <c r="N376" i="16"/>
  <c r="N379" i="16"/>
  <c r="N409" i="16"/>
  <c r="N381" i="16"/>
  <c r="N359" i="16"/>
  <c r="N389" i="16"/>
  <c r="N402" i="16"/>
  <c r="N361" i="16"/>
  <c r="N398" i="16"/>
  <c r="N367" i="16"/>
  <c r="N377" i="16"/>
  <c r="N414" i="16"/>
  <c r="N395" i="16"/>
  <c r="N403" i="16"/>
  <c r="N362" i="16"/>
  <c r="N399" i="16"/>
  <c r="N391" i="16"/>
  <c r="N410" i="16"/>
  <c r="N364" i="16"/>
  <c r="N371" i="16"/>
  <c r="N373" i="16"/>
  <c r="N396" i="16"/>
  <c r="N416" i="16"/>
  <c r="N363" i="16"/>
  <c r="N365" i="16"/>
  <c r="N375" i="16"/>
  <c r="N406" i="16"/>
  <c r="N358" i="16"/>
  <c r="N374" i="16"/>
  <c r="N400" i="16"/>
  <c r="N369" i="16"/>
  <c r="N394" i="16"/>
  <c r="N357" i="16"/>
  <c r="N407" i="16"/>
  <c r="N387" i="16"/>
  <c r="N397" i="16"/>
  <c r="N393" i="16"/>
  <c r="N386" i="16"/>
  <c r="N368" i="16"/>
  <c r="N412" i="16"/>
  <c r="N405" i="16"/>
  <c r="K377" i="16"/>
  <c r="N425" i="16" l="1"/>
  <c r="N426" i="16"/>
  <c r="L377" i="16"/>
  <c r="N385" i="16"/>
  <c r="N401" i="16"/>
  <c r="N390" i="16"/>
  <c r="N360" i="16"/>
  <c r="N372" i="16"/>
  <c r="N404" i="16"/>
  <c r="N382" i="16"/>
  <c r="N424" i="16" l="1"/>
  <c r="N423" i="16"/>
  <c r="M377" i="16"/>
  <c r="N421" i="16"/>
  <c r="N427" i="16" l="1"/>
  <c r="O377" i="16"/>
  <c r="Q377" i="16" l="1"/>
  <c r="S377" i="16"/>
  <c r="N435" i="16"/>
  <c r="N437" i="16" l="1"/>
  <c r="N422" i="16"/>
  <c r="N438" i="16"/>
  <c r="N439" i="16" s="1"/>
  <c r="M492" i="15" l="1"/>
  <c r="M496" i="15" s="1"/>
  <c r="H4" i="2" l="1"/>
  <c r="H5" i="2" l="1"/>
  <c r="N429" i="16"/>
  <c r="N432" i="16" s="1"/>
  <c r="M491" i="15"/>
  <c r="M427" i="15" l="1"/>
  <c r="M490" i="15"/>
  <c r="N440" i="16"/>
  <c r="K405" i="16"/>
  <c r="K368" i="16"/>
  <c r="L405" i="16" l="1"/>
  <c r="L368" i="16"/>
  <c r="N441" i="16"/>
  <c r="M405" i="16" l="1"/>
  <c r="M368" i="16"/>
  <c r="O405" i="16" l="1"/>
  <c r="O368" i="16"/>
  <c r="Q368" i="16" l="1"/>
  <c r="S368" i="16"/>
  <c r="Q405" i="16"/>
  <c r="S405" i="16"/>
  <c r="K401" i="16"/>
  <c r="L401" i="16" l="1"/>
  <c r="M401" i="16" l="1"/>
  <c r="K492" i="15"/>
  <c r="K496" i="15" s="1"/>
  <c r="O401" i="16" l="1"/>
  <c r="Q401" i="16" l="1"/>
  <c r="S401" i="16"/>
  <c r="K403" i="16"/>
  <c r="L403" i="16" l="1"/>
  <c r="S403" i="16" l="1"/>
  <c r="Q403" i="16"/>
  <c r="O403" i="16"/>
  <c r="M403" i="16"/>
  <c r="M429" i="16" l="1"/>
  <c r="G4" i="2"/>
  <c r="I4" i="2" l="1"/>
  <c r="O429" i="16"/>
  <c r="G5" i="2" l="1"/>
  <c r="M4" i="2"/>
  <c r="K4" i="2"/>
  <c r="I5" i="2" l="1"/>
  <c r="Q429" i="16"/>
  <c r="S429" i="16"/>
  <c r="M358" i="16"/>
  <c r="O358" i="16"/>
  <c r="L358" i="16"/>
  <c r="M5" i="2" l="1"/>
  <c r="K5" i="2"/>
  <c r="Q358" i="16"/>
  <c r="S358" i="16"/>
  <c r="K382" i="16" l="1"/>
  <c r="L375" i="16" l="1"/>
  <c r="K406" i="16"/>
  <c r="L379" i="16"/>
  <c r="L406" i="16"/>
  <c r="L404" i="16"/>
  <c r="L387" i="16"/>
  <c r="M375" i="16" l="1"/>
  <c r="K387" i="16"/>
  <c r="O375" i="16"/>
  <c r="M406" i="16"/>
  <c r="M404" i="16"/>
  <c r="M379" i="16"/>
  <c r="L381" i="16"/>
  <c r="L382" i="16"/>
  <c r="K404" i="16"/>
  <c r="K381" i="16"/>
  <c r="K379" i="16"/>
  <c r="K375" i="16"/>
  <c r="K365" i="16"/>
  <c r="K366" i="16"/>
  <c r="Q375" i="16" l="1"/>
  <c r="S375" i="16"/>
  <c r="O387" i="16"/>
  <c r="O379" i="16"/>
  <c r="O406" i="16"/>
  <c r="M387" i="16"/>
  <c r="M382" i="16"/>
  <c r="O404" i="16" l="1"/>
  <c r="M381" i="16"/>
  <c r="Q379" i="16"/>
  <c r="S379" i="16"/>
  <c r="S387" i="16"/>
  <c r="Q406" i="16"/>
  <c r="S406" i="16"/>
  <c r="Q404" i="16"/>
  <c r="S404" i="16"/>
  <c r="S382" i="16"/>
  <c r="O382" i="16"/>
  <c r="O381" i="16"/>
  <c r="O378" i="16"/>
  <c r="Q378" i="16" l="1"/>
  <c r="Q387" i="16"/>
  <c r="Q382" i="16"/>
  <c r="Q381" i="16"/>
  <c r="S381" i="16"/>
  <c r="S378" i="16"/>
  <c r="M442" i="16" l="1"/>
  <c r="C9" i="13"/>
  <c r="D9" i="13" s="1"/>
  <c r="C13" i="13"/>
  <c r="D13" i="13" s="1"/>
  <c r="C12" i="13"/>
  <c r="D12" i="13" s="1"/>
  <c r="C11" i="13"/>
  <c r="D11" i="13" s="1"/>
  <c r="C10" i="13"/>
  <c r="D10" i="13" s="1"/>
  <c r="C8" i="13"/>
  <c r="D8" i="13" s="1"/>
  <c r="L373" i="16" l="1"/>
  <c r="L378" i="16"/>
  <c r="M378" i="16"/>
  <c r="L414" i="16" l="1"/>
  <c r="L398" i="16"/>
  <c r="L363" i="16"/>
  <c r="L395" i="16"/>
  <c r="L392" i="16"/>
  <c r="L391" i="16"/>
  <c r="L419" i="16"/>
  <c r="L412" i="16"/>
  <c r="L359" i="16"/>
  <c r="M373" i="16"/>
  <c r="L409" i="16"/>
  <c r="L376" i="16"/>
  <c r="L399" i="16"/>
  <c r="L374" i="16"/>
  <c r="L362" i="16"/>
  <c r="L396" i="16"/>
  <c r="L393" i="16"/>
  <c r="L390" i="16"/>
  <c r="L402" i="16"/>
  <c r="L407" i="16"/>
  <c r="L394" i="16"/>
  <c r="L369" i="16"/>
  <c r="L400" i="16"/>
  <c r="L416" i="16"/>
  <c r="L389" i="16"/>
  <c r="L388" i="16"/>
  <c r="L426" i="16" l="1"/>
  <c r="O373" i="16"/>
  <c r="L385" i="16"/>
  <c r="L365" i="16"/>
  <c r="L366" i="16"/>
  <c r="L361" i="16"/>
  <c r="L410" i="16"/>
  <c r="L425" i="16" s="1"/>
  <c r="L357" i="16"/>
  <c r="Q373" i="16" l="1"/>
  <c r="S373" i="16"/>
  <c r="L364" i="16"/>
  <c r="M365" i="16"/>
  <c r="L360" i="16"/>
  <c r="K367" i="16"/>
  <c r="M366" i="16"/>
  <c r="O365" i="16" l="1"/>
  <c r="O366" i="16"/>
  <c r="M410" i="16"/>
  <c r="M388" i="16"/>
  <c r="M393" i="16"/>
  <c r="M402" i="16"/>
  <c r="M419" i="16"/>
  <c r="M395" i="16"/>
  <c r="M367" i="16"/>
  <c r="M389" i="16"/>
  <c r="M396" i="16"/>
  <c r="L367" i="16"/>
  <c r="K410" i="16"/>
  <c r="K373" i="16"/>
  <c r="K402" i="16"/>
  <c r="K400" i="16"/>
  <c r="S402" i="16" l="1"/>
  <c r="Q365" i="16"/>
  <c r="S365" i="16"/>
  <c r="Q366" i="16"/>
  <c r="S366" i="16"/>
  <c r="O410" i="16"/>
  <c r="O407" i="16"/>
  <c r="O419" i="16"/>
  <c r="O388" i="16"/>
  <c r="O389" i="16"/>
  <c r="O396" i="16"/>
  <c r="O393" i="16"/>
  <c r="O385" i="16"/>
  <c r="O367" i="16"/>
  <c r="O395" i="16"/>
  <c r="Q402" i="16"/>
  <c r="M392" i="16"/>
  <c r="M400" i="16"/>
  <c r="M385" i="16"/>
  <c r="M407" i="16"/>
  <c r="M394" i="16"/>
  <c r="O402" i="16"/>
  <c r="K388" i="16"/>
  <c r="K392" i="16"/>
  <c r="K419" i="16"/>
  <c r="K407" i="16"/>
  <c r="K395" i="16"/>
  <c r="K394" i="16"/>
  <c r="K396" i="16"/>
  <c r="K389" i="16"/>
  <c r="K393" i="16"/>
  <c r="O400" i="16" l="1"/>
  <c r="Q388" i="16"/>
  <c r="S388" i="16"/>
  <c r="Q395" i="16"/>
  <c r="S395" i="16"/>
  <c r="S394" i="16"/>
  <c r="Q385" i="16"/>
  <c r="S385" i="16"/>
  <c r="S400" i="16"/>
  <c r="Q396" i="16"/>
  <c r="S396" i="16"/>
  <c r="Q419" i="16"/>
  <c r="S419" i="16"/>
  <c r="Q410" i="16"/>
  <c r="S410" i="16"/>
  <c r="Q367" i="16"/>
  <c r="S367" i="16"/>
  <c r="S392" i="16"/>
  <c r="Q393" i="16"/>
  <c r="S393" i="16"/>
  <c r="Q389" i="16"/>
  <c r="S389" i="16"/>
  <c r="O394" i="16"/>
  <c r="Q400" i="16"/>
  <c r="O392" i="16"/>
  <c r="K385" i="16"/>
  <c r="Q392" i="16" l="1"/>
  <c r="S407" i="16"/>
  <c r="Q407" i="16"/>
  <c r="Q371" i="16"/>
  <c r="S371" i="16"/>
  <c r="Q394" i="16"/>
  <c r="L372" i="16" l="1"/>
  <c r="L371" i="16"/>
  <c r="L397" i="16"/>
  <c r="L386" i="16" l="1"/>
  <c r="L424" i="16" s="1"/>
  <c r="K429" i="16"/>
  <c r="C4" i="2"/>
  <c r="F4" i="2" l="1"/>
  <c r="L423" i="16"/>
  <c r="F5" i="2"/>
  <c r="C5" i="2" l="1"/>
  <c r="L421" i="16"/>
  <c r="L427" i="16" s="1"/>
  <c r="M391" i="16" l="1"/>
  <c r="M374" i="16"/>
  <c r="M398" i="16"/>
  <c r="M361" i="16"/>
  <c r="M399" i="16"/>
  <c r="M409" i="16"/>
  <c r="M362" i="16"/>
  <c r="M363" i="16"/>
  <c r="M414" i="16"/>
  <c r="M412" i="16"/>
  <c r="L435" i="16"/>
  <c r="M425" i="16" l="1"/>
  <c r="O412" i="16"/>
  <c r="O369" i="16"/>
  <c r="O360" i="16"/>
  <c r="O399" i="16"/>
  <c r="O374" i="16"/>
  <c r="O414" i="16"/>
  <c r="O363" i="16"/>
  <c r="O362" i="16"/>
  <c r="O409" i="16"/>
  <c r="O361" i="16"/>
  <c r="O398" i="16"/>
  <c r="O391" i="16"/>
  <c r="O390" i="16"/>
  <c r="M397" i="16"/>
  <c r="M369" i="16"/>
  <c r="M360" i="16"/>
  <c r="M390" i="16"/>
  <c r="L437" i="16"/>
  <c r="L422" i="16"/>
  <c r="L438" i="16"/>
  <c r="L439" i="16" s="1"/>
  <c r="K361" i="16"/>
  <c r="K374" i="16"/>
  <c r="K362" i="16"/>
  <c r="K363" i="16"/>
  <c r="O425" i="16" l="1"/>
  <c r="K386" i="16"/>
  <c r="Q391" i="16"/>
  <c r="S391" i="16"/>
  <c r="Q398" i="16"/>
  <c r="S398" i="16"/>
  <c r="Q361" i="16"/>
  <c r="S361" i="16"/>
  <c r="Q362" i="16"/>
  <c r="S362" i="16"/>
  <c r="Q414" i="16"/>
  <c r="S414" i="16"/>
  <c r="Q374" i="16"/>
  <c r="S374" i="16"/>
  <c r="Q372" i="16"/>
  <c r="S372" i="16"/>
  <c r="Q369" i="16"/>
  <c r="S369" i="16"/>
  <c r="Q409" i="16"/>
  <c r="S409" i="16"/>
  <c r="Q363" i="16"/>
  <c r="S390" i="16"/>
  <c r="Q399" i="16"/>
  <c r="S399" i="16"/>
  <c r="S360" i="16"/>
  <c r="Q412" i="16"/>
  <c r="S412" i="16"/>
  <c r="O397" i="16"/>
  <c r="M359" i="16"/>
  <c r="M426" i="16" s="1"/>
  <c r="S425" i="16" l="1"/>
  <c r="Q425" i="16"/>
  <c r="Q360" i="16"/>
  <c r="Q390" i="16"/>
  <c r="Q397" i="16"/>
  <c r="S397" i="16"/>
  <c r="O359" i="16"/>
  <c r="O426" i="16" s="1"/>
  <c r="M386" i="16"/>
  <c r="S363" i="16" l="1"/>
  <c r="O386" i="16"/>
  <c r="Q359" i="16"/>
  <c r="Q426" i="16" s="1"/>
  <c r="S359" i="16"/>
  <c r="S426" i="16" l="1"/>
  <c r="Q386" i="16"/>
  <c r="S386" i="16"/>
  <c r="M416" i="16" l="1"/>
  <c r="O416" i="16" l="1"/>
  <c r="J431" i="15"/>
  <c r="J432" i="15" s="1"/>
  <c r="K416" i="16"/>
  <c r="N431" i="15" l="1"/>
  <c r="N432" i="15" s="1"/>
  <c r="L431" i="15"/>
  <c r="L432" i="15" s="1"/>
  <c r="Q416" i="16"/>
  <c r="S416" i="16"/>
  <c r="P431" i="15"/>
  <c r="P432" i="15" s="1"/>
  <c r="U431" i="15" l="1"/>
  <c r="U432" i="15" s="1"/>
  <c r="K442" i="16"/>
  <c r="M376" i="16" l="1"/>
  <c r="Q430" i="16"/>
  <c r="K360" i="16"/>
  <c r="K359" i="16"/>
  <c r="K369" i="16"/>
  <c r="K390" i="16"/>
  <c r="K378" i="16"/>
  <c r="K409" i="16"/>
  <c r="K414" i="16"/>
  <c r="K398" i="16"/>
  <c r="K391" i="16"/>
  <c r="K399" i="16"/>
  <c r="K412" i="16"/>
  <c r="K448" i="16"/>
  <c r="K451" i="16"/>
  <c r="K447" i="16"/>
  <c r="N490" i="15" l="1"/>
  <c r="N427" i="15"/>
  <c r="K425" i="16"/>
  <c r="S430" i="16"/>
  <c r="O376" i="16"/>
  <c r="M364" i="16"/>
  <c r="M357" i="16"/>
  <c r="O440" i="16"/>
  <c r="K358" i="16"/>
  <c r="K426" i="16" s="1"/>
  <c r="M372" i="16"/>
  <c r="M371" i="16"/>
  <c r="K371" i="16"/>
  <c r="K364" i="16"/>
  <c r="K376" i="16"/>
  <c r="K372" i="16"/>
  <c r="K424" i="16" l="1"/>
  <c r="K432" i="16" s="1"/>
  <c r="M424" i="16"/>
  <c r="M432" i="16" s="1"/>
  <c r="Q376" i="16"/>
  <c r="Q424" i="16" s="1"/>
  <c r="S376" i="16"/>
  <c r="S424" i="16" s="1"/>
  <c r="Q364" i="16"/>
  <c r="S364" i="16"/>
  <c r="S357" i="16"/>
  <c r="O364" i="16"/>
  <c r="O371" i="16"/>
  <c r="O372" i="16"/>
  <c r="O424" i="16" s="1"/>
  <c r="K397" i="16"/>
  <c r="K357" i="16"/>
  <c r="K423" i="16" l="1"/>
  <c r="Q432" i="16"/>
  <c r="S432" i="16"/>
  <c r="Q357" i="16"/>
  <c r="O357" i="16"/>
  <c r="O432" i="16"/>
  <c r="M423" i="16"/>
  <c r="K421" i="16"/>
  <c r="K427" i="16" l="1"/>
  <c r="U490" i="15"/>
  <c r="U427" i="15"/>
  <c r="J427" i="15"/>
  <c r="P427" i="15"/>
  <c r="P490" i="15"/>
  <c r="S440" i="16"/>
  <c r="O423" i="16"/>
  <c r="Q423" i="16"/>
  <c r="Q440" i="16"/>
  <c r="M421" i="16"/>
  <c r="M427" i="16" s="1"/>
  <c r="K440" i="16"/>
  <c r="S423" i="16" l="1"/>
  <c r="Q421" i="16"/>
  <c r="Q427" i="16" s="1"/>
  <c r="O421" i="16"/>
  <c r="O427" i="16" s="1"/>
  <c r="O441" i="16"/>
  <c r="O443" i="16"/>
  <c r="Q441" i="16"/>
  <c r="Q443" i="16"/>
  <c r="M435" i="16"/>
  <c r="M437" i="16" s="1"/>
  <c r="K435" i="16"/>
  <c r="K422" i="16" s="1"/>
  <c r="S421" i="16" l="1"/>
  <c r="S427" i="16" s="1"/>
  <c r="O435" i="16"/>
  <c r="O422" i="16" s="1"/>
  <c r="Q438" i="16"/>
  <c r="Q439" i="16" s="1"/>
  <c r="L442" i="16"/>
  <c r="S441" i="16"/>
  <c r="S438" i="16"/>
  <c r="S439" i="16" s="1"/>
  <c r="M422" i="16"/>
  <c r="K438" i="16"/>
  <c r="O437" i="16" l="1"/>
  <c r="N442" i="16"/>
  <c r="N443" i="16" s="1"/>
  <c r="Q435" i="16"/>
  <c r="Q437" i="16" s="1"/>
  <c r="P442" i="16"/>
  <c r="P443" i="16" s="1"/>
  <c r="S435" i="16"/>
  <c r="S422" i="16" s="1"/>
  <c r="O438" i="16"/>
  <c r="O439" i="16" s="1"/>
  <c r="M438" i="16"/>
  <c r="M439" i="16" s="1"/>
  <c r="K441" i="16"/>
  <c r="K443" i="16"/>
  <c r="K439" i="16"/>
  <c r="K437" i="16"/>
  <c r="Q422" i="16" l="1"/>
  <c r="S437" i="16"/>
  <c r="D8" i="8" l="1"/>
  <c r="C8" i="8" l="1"/>
  <c r="L429" i="16" l="1"/>
  <c r="L432" i="16" s="1"/>
  <c r="K427" i="15" l="1"/>
  <c r="K490" i="15"/>
  <c r="L427" i="15"/>
  <c r="L490" i="15"/>
  <c r="M440" i="16"/>
  <c r="L440" i="16"/>
  <c r="D14" i="13"/>
  <c r="C14" i="13"/>
  <c r="M443" i="16" l="1"/>
  <c r="M441" i="16"/>
  <c r="L443" i="16"/>
  <c r="L441" i="16"/>
  <c r="M15" i="25" l="1"/>
  <c r="M14" i="25" s="1"/>
  <c r="M13" i="25" s="1"/>
  <c r="M8" i="25" s="1"/>
  <c r="M17" i="25" s="1"/>
  <c r="S442" i="16" s="1"/>
  <c r="S443" i="16" s="1"/>
  <c r="N16" i="25"/>
  <c r="N15" i="25" s="1"/>
  <c r="N14" i="25" s="1"/>
  <c r="N13" i="25" s="1"/>
  <c r="N8" i="25" s="1"/>
  <c r="N17" i="25" s="1"/>
</calcChain>
</file>

<file path=xl/sharedStrings.xml><?xml version="1.0" encoding="utf-8"?>
<sst xmlns="http://schemas.openxmlformats.org/spreadsheetml/2006/main" count="3858" uniqueCount="774">
  <si>
    <t>10</t>
  </si>
  <si>
    <t>06</t>
  </si>
  <si>
    <t>Организация и осуществление деятельности по опеке и попечительству,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t>
  </si>
  <si>
    <t>03</t>
  </si>
  <si>
    <t xml:space="preserve"> 52 0 1672</t>
  </si>
  <si>
    <t>Выплата единовременного пособия при всех формах устройства детей, лишенных родительского попечения, в семью в рамках подпрограммы "Совершенствование социальной поддержки семьи и детей" государственной программы Российской Федерации "Социальная поддержка граждан"</t>
  </si>
  <si>
    <t>04</t>
  </si>
  <si>
    <t>52 0 5260</t>
  </si>
  <si>
    <t>313</t>
  </si>
  <si>
    <t>ИТОГО</t>
  </si>
  <si>
    <t>Наименование</t>
  </si>
  <si>
    <t>Рз</t>
  </si>
  <si>
    <t>Пр</t>
  </si>
  <si>
    <t>ЦСР</t>
  </si>
  <si>
    <t>ВР</t>
  </si>
  <si>
    <t>Администрация Клетнянского района</t>
  </si>
  <si>
    <t>Общегосударственные вопросы</t>
  </si>
  <si>
    <t>01</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</si>
  <si>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</si>
  <si>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Обеспечение деятельности главы исполнительно-распорядительного органа муниципального образования </t>
  </si>
  <si>
    <t>51 0 1001</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</si>
  <si>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</si>
  <si>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01 </t>
  </si>
  <si>
    <t>100</t>
  </si>
  <si>
    <t xml:space="preserve">Расходы на выплаты персоналу государственных (муниципальных) органов </t>
  </si>
  <si>
    <t>120</t>
  </si>
  <si>
    <t>Руководство и управление в сфере установленных функций органов местного самоуправления</t>
  </si>
  <si>
    <t>Закупка товаров, работ и услуг для государственных (муниципальных) нужд</t>
  </si>
  <si>
    <t>200</t>
  </si>
  <si>
    <t>Иные закупки товаров, работ и услуг для обеспечения государственных (муниципальных) нужд</t>
  </si>
  <si>
    <t>240</t>
  </si>
  <si>
    <t>Иные бюджетные ассигнования</t>
  </si>
  <si>
    <t>800</t>
  </si>
  <si>
    <t>Уплата налога на имущество организаций и земельного налога</t>
  </si>
  <si>
    <t>851</t>
  </si>
  <si>
    <t>852</t>
  </si>
  <si>
    <t>07</t>
  </si>
  <si>
    <t>Резервные фонды</t>
  </si>
  <si>
    <t>11</t>
  </si>
  <si>
    <t>70 0 1012</t>
  </si>
  <si>
    <t xml:space="preserve">Резервные фонды местных администраций </t>
  </si>
  <si>
    <t>Резервные средства</t>
  </si>
  <si>
    <t>870</t>
  </si>
  <si>
    <t>Другие общегосударственные вопросы</t>
  </si>
  <si>
    <t>13</t>
  </si>
  <si>
    <t>Профилактика безнадзорности и  правонарушений несовершеннолетних,  организация  деятельности  административных комиссий и определение перечня должностных лиц  органов местного самоуправления, уполномоченных составлять протоколы об административных правонарушениях</t>
  </si>
  <si>
    <t>51 0 1202</t>
  </si>
  <si>
    <t xml:space="preserve">Реализация отдельных мероприятий в сфере развития муниципального управления Клетнянского района </t>
  </si>
  <si>
    <t>51 0 2211</t>
  </si>
  <si>
    <t xml:space="preserve">Повышение энергетической эффективности в Клетнянском муниципальном районе </t>
  </si>
  <si>
    <t>51 0 2212</t>
  </si>
  <si>
    <t>Оценка имущества, признание прав и регулирование отношений муниципальной собственности</t>
  </si>
  <si>
    <t>51 0 1740</t>
  </si>
  <si>
    <t>Содержание и обслуживание казны муниципального образования</t>
  </si>
  <si>
    <t>51 0 1741</t>
  </si>
  <si>
    <t>Национальная безопасность и правоохранительная деятельность</t>
  </si>
  <si>
    <t>Защита населения и территории от чрезвычайных ситуаций природного и техногенного характера, гражданская оборона</t>
  </si>
  <si>
    <t>09</t>
  </si>
  <si>
    <t>51 0 1134</t>
  </si>
  <si>
    <t>Расходы на выплаты персоналу казенных учреждений</t>
  </si>
  <si>
    <t>110</t>
  </si>
  <si>
    <t>Национальная экономика</t>
  </si>
  <si>
    <t>Сельское хозяйство и рыболовство</t>
  </si>
  <si>
    <t>05</t>
  </si>
  <si>
    <t>Реализация отдельных мероприятий в сфере кадрового обеспечения агропромышленного комплекса</t>
  </si>
  <si>
    <t>810</t>
  </si>
  <si>
    <t>Другие вопросы в области национальной экономики</t>
  </si>
  <si>
    <t>12</t>
  </si>
  <si>
    <t>Осуществление отдельных полномочий в области охраны труда и уведомительной регистрации территориальных соглашений и коллективных договоров</t>
  </si>
  <si>
    <t>51 0 1790</t>
  </si>
  <si>
    <t>Жилищно-коммунальное хозяйство</t>
  </si>
  <si>
    <t>Коммунальное хозяйство</t>
  </si>
  <si>
    <t>02</t>
  </si>
  <si>
    <t>Выполнение проектных работ по газификации населенных пунктов Клетнянского района</t>
  </si>
  <si>
    <t>51 0 2220</t>
  </si>
  <si>
    <t>400</t>
  </si>
  <si>
    <t>Бюджетные инвестиции в объекты капитального строительства государственной (муниципальной) cобственности</t>
  </si>
  <si>
    <t>414</t>
  </si>
  <si>
    <t>Образование</t>
  </si>
  <si>
    <t>Дошкольное образование</t>
  </si>
  <si>
    <t>51 0 2214</t>
  </si>
  <si>
    <t>Общее образование</t>
  </si>
  <si>
    <t>Культура, кинематография</t>
  </si>
  <si>
    <t>08</t>
  </si>
  <si>
    <t>Культура</t>
  </si>
  <si>
    <t>Предоставление мер социальной поддержки по оплате жилья и коммунальных услуг отдельным категориям граждан, работающих в учреждениях культуры, находящихся в сельской местности или поселках городского типа на территории Брянской области</t>
  </si>
  <si>
    <t>600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</si>
  <si>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</si>
  <si>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611</t>
  </si>
  <si>
    <t>Библиотеки</t>
  </si>
  <si>
    <t>Предоставление субсидий бюджетным, автономным учреждениям и иным некоммерческим организациям</t>
  </si>
  <si>
    <t>Мероприятия по модернизации и эффективному развитию библиотечного дела в Клетнянском районе</t>
  </si>
  <si>
    <t>Мероприятия по сохранению культурного наследия в Клетнянском районе</t>
  </si>
  <si>
    <t xml:space="preserve">Другие вопросы в области культуры, кинематографии </t>
  </si>
  <si>
    <t>Противодействие злоупотреблению наркотиками и их незаконному обороту</t>
  </si>
  <si>
    <t>Социальная политика</t>
  </si>
  <si>
    <t>Пенсионное обеспечение</t>
  </si>
  <si>
    <t>Ежемесячная доплата к государственной пенсии муниципальным служащим в  соответствии с Законом Брянской области от 16 ноября 2007 года №156-З "О муниципальной службе в Брянской области"</t>
  </si>
  <si>
    <t>Социальное обеспечение и иные выплаты населению</t>
  </si>
  <si>
    <t>300</t>
  </si>
  <si>
    <t>321</t>
  </si>
  <si>
    <t>Социальное обеспечение населения</t>
  </si>
  <si>
    <t>Охрана семьи и детства</t>
  </si>
  <si>
    <t>Приобретение товаров, работ, услуг в пользу граждан в целях их социального обеспечения</t>
  </si>
  <si>
    <t>323</t>
  </si>
  <si>
    <t>Другие вопросы в области социальной политики</t>
  </si>
  <si>
    <t>Реализация отдельных мероприятий в сфере социальной защиты населения</t>
  </si>
  <si>
    <t>Физическая культура и спорт</t>
  </si>
  <si>
    <t>Массовый спорт</t>
  </si>
  <si>
    <t>Мероприятия в области физической культуры и спорта</t>
  </si>
  <si>
    <t>Управление по делам образования, демографии, молодежной политике, ФК и массовому спорту</t>
  </si>
  <si>
    <t>52 0 1471</t>
  </si>
  <si>
    <t>Предоставление мер социальной поддержки работникам образовательных организаций,  работающим в сельских населенных пунктах и поселках городского типа на территории Брянской области</t>
  </si>
  <si>
    <t>52 0 1477</t>
  </si>
  <si>
    <t>Дошкольные образовательные организации</t>
  </si>
  <si>
    <t>52 0 1063</t>
  </si>
  <si>
    <t>Мероприятия по развитию образования Клетнянского района</t>
  </si>
  <si>
    <t>52 0 2214</t>
  </si>
  <si>
    <t>Субсидии бюджетным учреждениям на иные цели</t>
  </si>
  <si>
    <t>612</t>
  </si>
  <si>
    <t>Реализация отдельных мероприятий по обеспечению безопасности образовательных учреждений Клетнянского района</t>
  </si>
  <si>
    <t>52 0 2224</t>
  </si>
  <si>
    <t>Общеобразовательные организации</t>
  </si>
  <si>
    <t>52 0 1064</t>
  </si>
  <si>
    <t>Организации дополнительного образования</t>
  </si>
  <si>
    <t>52 0 1066</t>
  </si>
  <si>
    <t>52 0 1470</t>
  </si>
  <si>
    <t>Молодежная политика и оздоровление детей</t>
  </si>
  <si>
    <t>Реализация отдельных мероприятий по работе с детьми и молодежью Клетнянского района</t>
  </si>
  <si>
    <t>Другие вопросы в области образования</t>
  </si>
  <si>
    <t>Прочие учреждения образования</t>
  </si>
  <si>
    <t>52 0 1075</t>
  </si>
  <si>
    <t>Пособия, компенсации и иные социальные выплаты гражданам, кроме публичных нормативных обязательств</t>
  </si>
  <si>
    <t>Обеспечение сохранности жилых помещений, закрепленных за детьми-сиротами и детьми, оставшимися без попечения родителей</t>
  </si>
  <si>
    <t>52 0 1671</t>
  </si>
  <si>
    <t xml:space="preserve">10 </t>
  </si>
  <si>
    <t>Обеспечение условий по повышению качества жизни молодых семей Клетнянского района</t>
  </si>
  <si>
    <t>Субсидии гражданам на приобретение жилья</t>
  </si>
  <si>
    <t>322</t>
  </si>
  <si>
    <t>52 0 1478</t>
  </si>
  <si>
    <t>52 0 1202</t>
  </si>
  <si>
    <t>Финансовое управление администрации Клетнянского района</t>
  </si>
  <si>
    <t>Обеспечение деятельности финансовых, налоговых и таможенных органов и органов финансового (финансово-бюджетного) надзора</t>
  </si>
  <si>
    <t>Межбюджетные трансферты</t>
  </si>
  <si>
    <t>500</t>
  </si>
  <si>
    <t>Субвенции</t>
  </si>
  <si>
    <t>530</t>
  </si>
  <si>
    <t>Национальная оборона</t>
  </si>
  <si>
    <t>Мобилизационная и вневойсковая подготовка</t>
  </si>
  <si>
    <t/>
  </si>
  <si>
    <t>53 0 1421</t>
  </si>
  <si>
    <t>14</t>
  </si>
  <si>
    <t>Дотации на выравнивание бюджетной обеспеченности субъектов Российской Федерации и муниципальных образований</t>
  </si>
  <si>
    <t>Выравнивание бюджетной обеспеченности поселений</t>
  </si>
  <si>
    <t>53 0 1584</t>
  </si>
  <si>
    <t>Иные межбюджетные трансферты</t>
  </si>
  <si>
    <t>540</t>
  </si>
  <si>
    <t>Иные дотации</t>
  </si>
  <si>
    <t>Поддержка мер по обеспечению сбалансированности бюджетов поселений</t>
  </si>
  <si>
    <t>53 0 1586</t>
  </si>
  <si>
    <t>Клетнянский районный Совет народных депутатов</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</si>
  <si>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</si>
  <si>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Руководитель контрольно-счётного органа муниципального образования </t>
  </si>
  <si>
    <t>70 0 1006</t>
  </si>
  <si>
    <t>ВСЕГО РАСХОДОВ</t>
  </si>
  <si>
    <t>Условно утвержденные расходы</t>
  </si>
  <si>
    <t>99</t>
  </si>
  <si>
    <t>70 0 1014</t>
  </si>
  <si>
    <t>999</t>
  </si>
  <si>
    <t>№ п/п</t>
  </si>
  <si>
    <t>Наименование муниципального образования</t>
  </si>
  <si>
    <t>Сумма, рублей</t>
  </si>
  <si>
    <t>Клетнянское городское поселение</t>
  </si>
  <si>
    <t>1-Акуличское сельское поселение</t>
  </si>
  <si>
    <t>Лутенское сельское поселение</t>
  </si>
  <si>
    <t>Мирнинское сельское поселение</t>
  </si>
  <si>
    <t>Мужиновское сельское поселение</t>
  </si>
  <si>
    <t>Надвинское сельское поселение</t>
  </si>
  <si>
    <t xml:space="preserve"> </t>
  </si>
  <si>
    <t xml:space="preserve">  1 00 00000 00 0000 000</t>
  </si>
  <si>
    <t xml:space="preserve">  1 01 00000 00 0000 000</t>
  </si>
  <si>
    <t xml:space="preserve"> 1 01 02000 01 0000 110</t>
  </si>
  <si>
    <t>Налог на доходы физических лиц</t>
  </si>
  <si>
    <t xml:space="preserve"> 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</si>
  <si>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227,227.1 и 228 Налогового Кодекса Российской Федерации</t>
  </si>
  <si>
    <t xml:space="preserve">  1 01 02020 01 0000 110</t>
  </si>
  <si>
    <t xml:space="preserve">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t>
  </si>
  <si>
    <t xml:space="preserve">  1 01 02030 01 0000 110</t>
  </si>
  <si>
    <t xml:space="preserve">Налог на доходы физических лиц с доходов, полученных  физическими  лицами в соответствии со статьей 228 Налогового Кодекса Российской Федерации </t>
  </si>
  <si>
    <t xml:space="preserve">  1 0102040 01 1000 110</t>
  </si>
  <si>
    <t xml:space="preserve">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 </t>
  </si>
  <si>
    <t xml:space="preserve">  1 05 00000 00 0000 000</t>
  </si>
  <si>
    <t>НАЛОГИ НА СОВОКУПНЫЙ ДОХОД</t>
  </si>
  <si>
    <t xml:space="preserve">  1 05 02000 02 0000 110</t>
  </si>
  <si>
    <t>Единый  налог на  вмененный  доход для  отдельных видов  деятельности</t>
  </si>
  <si>
    <t xml:space="preserve">  1 05 02010 02 0000 110</t>
  </si>
  <si>
    <t xml:space="preserve">  1 05 02020 02 0000 110</t>
  </si>
  <si>
    <t>Единый  налог на  вмененный  доход для  отдельных видов  деятельности (за налоговые периоды, истекшие до 1 января 2011 года)</t>
  </si>
  <si>
    <t xml:space="preserve">  1 05 03000 01 0000 110</t>
  </si>
  <si>
    <t>Единый сельскохозяйственный налог</t>
  </si>
  <si>
    <t>1 05 03010 01 0000 110</t>
  </si>
  <si>
    <t>1 05 04000 02 0000 110</t>
  </si>
  <si>
    <t>Налог, взимаемый в связи с применением патентной системы налогообложения</t>
  </si>
  <si>
    <t>1 05 04020 02 0000 110</t>
  </si>
  <si>
    <t>Налог, взимаемый в связи с применением патентной системы налогообложения, зачисляемый в бюджеты муниципальных районов</t>
  </si>
  <si>
    <t>1 08 00000 00 0000 000</t>
  </si>
  <si>
    <t>ГОСУДАРСТВЕННАЯ ПОШЛИНА,  СБОРЫ</t>
  </si>
  <si>
    <t>Государственная пошлина  по делам,  рассматриваемым в судах  общей  юрисдикции, мировыми судьями</t>
  </si>
  <si>
    <t xml:space="preserve">  1 08 03010 01 0000 110</t>
  </si>
  <si>
    <t xml:space="preserve"> 1 11 00000 00 0000 000</t>
  </si>
  <si>
    <t>ДОХОДЫ ОТ ИСПОЛЬЗОВАНИЯ  ИМУЩЕСТВА  НАХОДЯЩЕГОСЯ В ГОСУДАРСТВЕННОЙ И  МУНИЦИПАЛЬНОЙ СОБСТВЕННОСТИ</t>
  </si>
  <si>
    <t>1 11 05000 00 0000 120</t>
  </si>
  <si>
    <t xml:space="preserve">  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</si>
  <si>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</si>
  <si>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 xml:space="preserve">  1 11 05013 10 0000 120</t>
  </si>
  <si>
    <t>1 11 05030 00 0000 120</t>
  </si>
  <si>
    <t>1 11 09000 00 0000 120</t>
  </si>
  <si>
    <t>Прочие доходы  от использования  имущества и прав ,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</si>
  <si>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1 11 09040  00 0000 120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</si>
  <si>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</si>
  <si>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1 11 09045  05  0000 120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</si>
  <si>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</si>
  <si>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1 12 00000 00 0000 000</t>
  </si>
  <si>
    <t xml:space="preserve">ПЛАТЕЖИ ПРИ ПОЛЬЗОВАНИИ ПРИРОДНЫМИ РЕСУРСАМИ </t>
  </si>
  <si>
    <t xml:space="preserve">  1 12 01000 01 0000 120</t>
  </si>
  <si>
    <t>Плата за  негативное  воздействие  на окружающую среду</t>
  </si>
  <si>
    <t xml:space="preserve">  1 12 01010 01 0000 120</t>
  </si>
  <si>
    <t>Плата за выбросы загрязняющих веществ в атмосферный воздух стационарными объектами</t>
  </si>
  <si>
    <t xml:space="preserve">  1 12 01020 01 0000 120</t>
  </si>
  <si>
    <t>Плата за выбросы загрязняющих веществ передвижными объектами</t>
  </si>
  <si>
    <t xml:space="preserve">  1 12 01030 01 0000 120</t>
  </si>
  <si>
    <t>Плата за выбросы загрязняющих веществ в водные объекты</t>
  </si>
  <si>
    <t xml:space="preserve">  1 12 01040 01 0000 120</t>
  </si>
  <si>
    <t>Плата за иные виды негативного воздействия на окружающую среду</t>
  </si>
  <si>
    <t>1 13 00000 00 0000 000</t>
  </si>
  <si>
    <t>1 13 02000 00 0000 130</t>
  </si>
  <si>
    <t>Доходы от   компенсации затрат  государства</t>
  </si>
  <si>
    <t>1 13 02990 00 0000 130</t>
  </si>
  <si>
    <t>Прочие  доходы от   компенсации затрат  государства</t>
  </si>
  <si>
    <t xml:space="preserve">  1 13 02995 05 0000 130</t>
  </si>
  <si>
    <t>Прочие доходы от компенсации затрат бюджетов муниципальных районов</t>
  </si>
  <si>
    <t>1 14 00000 00 0000 000</t>
  </si>
  <si>
    <t>ДОХОДЫ ОТ ПРОДАЖИ  МАТЕРИАЛЬНЫХ И НЕМАТЕРИАЛЬНЫХ  АКТИВОВ</t>
  </si>
  <si>
    <t>1 14 06000 00 0000 430</t>
  </si>
  <si>
    <t xml:space="preserve">  1 14 06010 00 0000 430</t>
  </si>
  <si>
    <t>Доходы  от продажи  земельных участков,  государственная  собственность  на которые  не разграничена</t>
  </si>
  <si>
    <t xml:space="preserve">  1 14 06013 10 0000 430</t>
  </si>
  <si>
    <t>1 16 00000 00 0000 000</t>
  </si>
  <si>
    <t>ШТРАФЫ. САНКЦИИ. ВОЗМЕЩЕНИЕ УЩЕРБА</t>
  </si>
  <si>
    <t>1 16 03000 00 0000 140</t>
  </si>
  <si>
    <t>Денежные взыскания (штрафы) за нарушение  законодательства о налогах и сборах</t>
  </si>
  <si>
    <t xml:space="preserve">  1 16 03010 01 0000 140</t>
  </si>
  <si>
    <t>1 16 06000 01 0000 140</t>
  </si>
  <si>
    <t xml:space="preserve">  1 16 25060 01 0000 140</t>
  </si>
  <si>
    <t>Денежные взыскания  (штрафы) за нарушение законодательства  в области  обеспечения  санитарно- эпидемиологического  благополучия  человека  и законодательства  в сфере  защиты  прав потребителей</t>
  </si>
  <si>
    <t xml:space="preserve">   1 16 43000 01 0000 140</t>
  </si>
  <si>
    <t>1 16 900 00 00 0000 140</t>
  </si>
  <si>
    <t>Прочие  поступления  от денежных  взысканий  (штрафов) и иных сумм в возмещение  ущерба</t>
  </si>
  <si>
    <t>2 00 00000 00 0000 000</t>
  </si>
  <si>
    <t>БЕЗВОЗМЕЗДНЫЕ ПОСТУПЛЕНИЯ</t>
  </si>
  <si>
    <t>2 02 00000 00 0000 000</t>
  </si>
  <si>
    <t>Безвозмездные поступления от других бюджетов бюджетной системы Российской Федерации</t>
  </si>
  <si>
    <t>2 02 01000 00 0000 151</t>
  </si>
  <si>
    <t>Дотации бюджетам субъектов Российской Федерации и муниципальных образований</t>
  </si>
  <si>
    <t>2 02 01001 00 0000 151</t>
  </si>
  <si>
    <t>Дотации на выравнивание бюджетной обеспеченности</t>
  </si>
  <si>
    <t>2 02 01001 05 0000 151</t>
  </si>
  <si>
    <t>Дотации бюджетам муниципальных районов на выравнивание бюджетной обеспеченности</t>
  </si>
  <si>
    <t>2 02 01003 00 0000 151</t>
  </si>
  <si>
    <t>Дотации бюджетам на поддержку мер по обеспечению сбалансированности бюджетов</t>
  </si>
  <si>
    <t>2 02 01003 05 0000 151</t>
  </si>
  <si>
    <t>Дотации бюджетам муниципальных районов на поддержку мер по обеспечению сбалансированности бюджетов</t>
  </si>
  <si>
    <t>2 02 03000 00 0000 151</t>
  </si>
  <si>
    <t>Субвенции бюджетам субъектов Российской Федерации и муниципальных образований</t>
  </si>
  <si>
    <t>2 02 03015 00 0000 151</t>
  </si>
  <si>
    <t>Субвенции бюджетам на осуществление первичного воинского учета на территориях, где отсутствуют военные комиссариаты</t>
  </si>
  <si>
    <t>2 02 03015 05 0000 151</t>
  </si>
  <si>
    <t>Субвенции бюджетам муниципальных районов на осуществление первичного воинского учета на территориях, где отсутствуют военные комиссариаты</t>
  </si>
  <si>
    <t>2 02 03020 00 0000 151</t>
  </si>
  <si>
    <t>Субвенции бюджетам на выплату единовременного пособия при всех формах устройства детей, лишенных родительского попечения, в семью</t>
  </si>
  <si>
    <t>2 02 03020 05 0000 151</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</si>
  <si>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</si>
  <si>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2 02 03024 00 0000 151</t>
  </si>
  <si>
    <t>Субвенции местным бюджетам на выполнение передаваемых полномочий субъектов Российской Федерации</t>
  </si>
  <si>
    <t>2 02 03024 05 0000 151</t>
  </si>
  <si>
    <t>Субвенции бюджетам муниципальных районов на выполнение передаваемых полномочий субъектов Российской Федерации</t>
  </si>
  <si>
    <t xml:space="preserve"> - субвенции бюджетам муниципальных районов на осуществление отдельных полномочий органов государственной власти Брянской области по расчету и предоставлению дотаций поселениям на выравнивание  бюджетной обеспеченности за счет средств областного бюджета</t>
  </si>
  <si>
    <t xml:space="preserve"> - субвенции бюджетам муниципальных районов на поддержку мер по обеспечению сбалансированности бюджетов поселений</t>
  </si>
  <si>
    <t xml:space="preserve"> - субвенции бюджетам муниципальных районов на финансовое обеспечение получения дошкольного образования в дошкольных образовательных организациях </t>
  </si>
  <si>
    <t xml:space="preserve"> - субвенции бюджетам муниципальных районов, на предоставление мер социальной поддержки по оплате жилья и коммунальных услуг отдельным категориям граждан, работающих в учреждениях культуры, находящихся в сельской местности или поселках городского типа на территории Брянской области  </t>
  </si>
  <si>
    <t xml:space="preserve"> - субвенции бюджетам муниципальных районов на предоставление мер социальной поддержки работникам образовательных организаций, работающим в сельских населенных пунктах и поселках городского типа на территории Брянской области    </t>
  </si>
  <si>
    <t xml:space="preserve"> - субвенции бюджетам муниципальных районов на осуществление отдельных государственных полномочий Брянской области по проведению Всероссийской сельскохозяйственной переписи в 2016 году  </t>
  </si>
  <si>
    <t xml:space="preserve"> - субвенции бюджетам муниципальных районов на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t>
  </si>
  <si>
    <t xml:space="preserve"> - субвенции бюджетам муниципальных районов на осуществление отдельных государственных полномочий Брянской области в области охраны труда и уведомительной регистрации территориальных соглашений и коллективных договоров</t>
  </si>
  <si>
    <t xml:space="preserve"> - субвенции бюджетам муниципальных районов на обеспечение  сохранности жилых помещений, закрепленных за детьми-сиротами и детьми, оставшимися без попечения родителей</t>
  </si>
  <si>
    <t>2 02 03029 00 0000 151</t>
  </si>
  <si>
    <t>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</si>
  <si>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2 02 03029 05 0000 151</t>
  </si>
  <si>
    <t>Субвенции бюджетам муниципальных районов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t>
  </si>
  <si>
    <t>2 02 03119 00 0000 151</t>
  </si>
  <si>
    <t>2 02 03119 05 0000 151</t>
  </si>
  <si>
    <t xml:space="preserve"> - субвенции бюджетам муниципальных районов  на финансовое обеспечение деятельности муниципальных общеобразовательных организаций, имеющих государственную аккредитацию негосударственных общеобразовательных организаций в части реализации ими государственного стандарта общего образования</t>
  </si>
  <si>
    <t>2 02 04000 00 0000 151</t>
  </si>
  <si>
    <t>2 02 04014 00 0000 151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</si>
  <si>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</si>
  <si>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2 02 04014 05 0000 151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</si>
  <si>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</si>
  <si>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Всего доходов</t>
  </si>
  <si>
    <t>Код бюджетной классификации Российской Федерации</t>
  </si>
  <si>
    <t>Наименование доходов</t>
  </si>
  <si>
    <t>Сумма на 2016 год</t>
  </si>
  <si>
    <t>рублей</t>
  </si>
  <si>
    <t>ГРБС</t>
  </si>
  <si>
    <t xml:space="preserve">НР </t>
  </si>
  <si>
    <t>1001</t>
  </si>
  <si>
    <t>1202</t>
  </si>
  <si>
    <t>2211</t>
  </si>
  <si>
    <t>2212</t>
  </si>
  <si>
    <t>1740</t>
  </si>
  <si>
    <t>1741</t>
  </si>
  <si>
    <t>1134</t>
  </si>
  <si>
    <t>2218</t>
  </si>
  <si>
    <t>1790</t>
  </si>
  <si>
    <t>2220</t>
  </si>
  <si>
    <t>2214</t>
  </si>
  <si>
    <t>1421</t>
  </si>
  <si>
    <t>1054</t>
  </si>
  <si>
    <t>2215</t>
  </si>
  <si>
    <t>2216</t>
  </si>
  <si>
    <t>1130</t>
  </si>
  <si>
    <t>1651</t>
  </si>
  <si>
    <t>5082</t>
  </si>
  <si>
    <t>2222</t>
  </si>
  <si>
    <t>1767</t>
  </si>
  <si>
    <t>1471</t>
  </si>
  <si>
    <t>1477</t>
  </si>
  <si>
    <t>1063</t>
  </si>
  <si>
    <t>1064</t>
  </si>
  <si>
    <t>1066</t>
  </si>
  <si>
    <t>1470</t>
  </si>
  <si>
    <t>2224</t>
  </si>
  <si>
    <t>1075</t>
  </si>
  <si>
    <t>1671</t>
  </si>
  <si>
    <t>1672</t>
  </si>
  <si>
    <t>1478</t>
  </si>
  <si>
    <t>5260</t>
  </si>
  <si>
    <t>1584</t>
  </si>
  <si>
    <t>1586</t>
  </si>
  <si>
    <t>1014</t>
  </si>
  <si>
    <t xml:space="preserve">Непрограммная деятельность </t>
  </si>
  <si>
    <t>1012</t>
  </si>
  <si>
    <t>1006</t>
  </si>
  <si>
    <t>Жилищное хозяйство</t>
  </si>
  <si>
    <t>Дорожное хозяйство (дорожные фонды)</t>
  </si>
  <si>
    <t>Осуществление части полномочий по решешению вопросов местного значения поселений по осуществлению внешнего муниципального контроля</t>
  </si>
  <si>
    <t>НАЛОГИ НА ПРИБЫЛЬ, ДОХОДЫ</t>
  </si>
  <si>
    <t>Денежные взыскания (штрафы) за нарушение  законодательства  о применении  контрольно- кассовой  техники при осуществлении  наличных денежных расчетов  и (или)  расчетов  с использованием  платежных карт</t>
  </si>
  <si>
    <t xml:space="preserve">Субсидии юридическим лицам (кроме некоммерческих организаций), индивидуальным предпринимателям, физическим лицам </t>
  </si>
  <si>
    <t>ДОХОДЫ ОТ ОКАЗАНИЯ ПЛАТНЫХ УСЛУГ (РАБОТ) И КОМПЕНСАЦИИ ЗАТРАТ ГОСУДАРСТВА</t>
  </si>
  <si>
    <t>53 0 1010</t>
  </si>
  <si>
    <t>Пособия, компенсации, меры социальной поддержки по публичным нормативным обязательствам</t>
  </si>
  <si>
    <t>1 11 05035 05 0000 120</t>
  </si>
  <si>
    <t>2 02 02008 05 0000 151</t>
  </si>
  <si>
    <t>2 02 02051 05 0000 151</t>
  </si>
  <si>
    <t>Субсидии бюджетам муниципальных районов на реализацию федеральных целевых программ</t>
  </si>
  <si>
    <t>2 02 02077 05 0000 151</t>
  </si>
  <si>
    <t>2 02 02999 05 0000 151</t>
  </si>
  <si>
    <t>Прочие субсидии бюджетам муниципальных районов</t>
  </si>
  <si>
    <t>2 02 03007 05 0000 151</t>
  </si>
  <si>
    <t>2 02 04999 05 0000 151</t>
  </si>
  <si>
    <t>Прочие межбюджетные трансферты, передаваемые бюджетам муниципальных районов</t>
  </si>
  <si>
    <t>Приложение 5</t>
  </si>
  <si>
    <t>Приложение 12</t>
  </si>
  <si>
    <t>КБК</t>
  </si>
  <si>
    <t>НАИМЕНОВАНИЕ</t>
  </si>
  <si>
    <t>853 01 05 00 00 00 0000 000</t>
  </si>
  <si>
    <t>Изменение остатков средств на счетах по учету средств бюджета</t>
  </si>
  <si>
    <t>853 01 05 00 00 00 0000 500</t>
  </si>
  <si>
    <t>Увеличение остатков средств бюджетов</t>
  </si>
  <si>
    <t>853 01 05 02 00 00 0000 500</t>
  </si>
  <si>
    <t>Увеличение прочих остатков средств бюджетов</t>
  </si>
  <si>
    <t>853 01 05 02 01 00 0000 510</t>
  </si>
  <si>
    <t xml:space="preserve">Увеличение прочих остатков денежных средств бюджетов </t>
  </si>
  <si>
    <t>853 01 05 02 01 05 0000 510</t>
  </si>
  <si>
    <t>Увеличение прочих остатков денежных средств бюджетов муниципальных районов</t>
  </si>
  <si>
    <t>853 01 05 00 00 00 0000 600</t>
  </si>
  <si>
    <t>Уменьшение остатков средств бюджетов</t>
  </si>
  <si>
    <t>853 01 05 02 00 00 0000 600</t>
  </si>
  <si>
    <t>Уменьшение прочих остатков средств бюджетов</t>
  </si>
  <si>
    <t>853 01 05 02 01 00 0000 610</t>
  </si>
  <si>
    <t>Уменьшение прочих остатков денежных средств бюджетов</t>
  </si>
  <si>
    <t>853 01 05 02 01 05 0000 610</t>
  </si>
  <si>
    <t>Уменьшение прочих остатков денежных средств бюджетов муниципальных районов</t>
  </si>
  <si>
    <t>Итого источников внутреннего финансирования дефицита</t>
  </si>
  <si>
    <t>Утверждено на 2015 год</t>
  </si>
  <si>
    <t>Утверждено на 2016 год</t>
  </si>
  <si>
    <t>Приложение 1</t>
  </si>
  <si>
    <t>Приложение 2</t>
  </si>
  <si>
    <t>Приложение 4</t>
  </si>
  <si>
    <t>Таблица 3</t>
  </si>
  <si>
    <t>Таблица 5</t>
  </si>
  <si>
    <t>52 0 2231</t>
  </si>
  <si>
    <t>2231</t>
  </si>
  <si>
    <t>70 0 1010</t>
  </si>
  <si>
    <t>51 0 1010</t>
  </si>
  <si>
    <t>52 0 1010</t>
  </si>
  <si>
    <t>1010</t>
  </si>
  <si>
    <t>(рублей)</t>
  </si>
  <si>
    <t>53 0 5118</t>
  </si>
  <si>
    <t xml:space="preserve">Приложение </t>
  </si>
  <si>
    <t xml:space="preserve"> - субвенции бюджетам муниципальных районов на организацию и осуществление деятельности по опеке и попечительству, выплату ежемесячных денежных средств на содержание и проезд ребенка, переданного на воспитание в семью опекуна (попечителя), приемную семью, вознаграждение приемным родителям</t>
  </si>
  <si>
    <t xml:space="preserve">Мероприятия по поддержке малого и среднего предпринимательства в Клетнянском районе </t>
  </si>
  <si>
    <t>Создание, развитие многофункционального центра на территории Клетнянского района</t>
  </si>
  <si>
    <t>51 0 1865</t>
  </si>
  <si>
    <t>Единая дежурно-диспетчерская служба</t>
  </si>
  <si>
    <t>1865</t>
  </si>
  <si>
    <t>1891</t>
  </si>
  <si>
    <t>ППЭБР ОБ</t>
  </si>
  <si>
    <t>ППЭБР МБ</t>
  </si>
  <si>
    <t>53 0 1202</t>
  </si>
  <si>
    <t>инвестиции</t>
  </si>
  <si>
    <t>Функционирование высшего должностного лица субъекта Российской Федерации и муниципального образования</t>
  </si>
  <si>
    <t>Глава муниципального образования</t>
  </si>
  <si>
    <t>70 0 1003</t>
  </si>
  <si>
    <t>1003</t>
  </si>
  <si>
    <t xml:space="preserve">Ремонт муниципального жилищного фонда </t>
  </si>
  <si>
    <t>51 0 7105</t>
  </si>
  <si>
    <t>7105</t>
  </si>
  <si>
    <t>Прочие межбюджетные трансферты, передаваемые бюджетам</t>
  </si>
  <si>
    <t>2 02 04999 00 0000 151</t>
  </si>
  <si>
    <t>51 0 5118</t>
  </si>
  <si>
    <t>к решению районного Совета народных депутатов "О бюджете муниципального образования "Клетнянский муниципальный район" на 2015 год и на плановый период 2016 и 2017 годов"</t>
  </si>
  <si>
    <t>к Решению районного Совета народных депутатов  "О бюджете муниципального образования "Клетнянский муниципальный район" на 2015 год и на плановый период 2016 и 2017 годов"</t>
  </si>
  <si>
    <t>853</t>
  </si>
  <si>
    <t>Уплата иных платежей</t>
  </si>
  <si>
    <t>Уплата прочих налогов, сборов</t>
  </si>
  <si>
    <t>Капитальные вложения в объекты государственной (муниципальной) собственности</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</si>
  <si>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в рамках подпрограммы "Совершенствование социальной поддержки семьи и детей" государственной программы Российской Федерации "Социальная поддержка граждан"</t>
  </si>
  <si>
    <t>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</si>
  <si>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Организация и проведение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в части организации отлова и содержания безнадзорных животных на территории Брянской области</t>
  </si>
  <si>
    <t>51 0 1251</t>
  </si>
  <si>
    <t xml:space="preserve">Учреждения клубного типа </t>
  </si>
  <si>
    <t>Осуществление полномочий по решению вопросов местного значения поселений в соответствии с заключенными соглашениями в части обеспечения населения услугами учреждений культуры</t>
  </si>
  <si>
    <t>Осуществление полномочий по решению вопросов местного значения поселений в соответствии с заключенными соглашениями в части организации библиотечного обслуживания населения</t>
  </si>
  <si>
    <t>Осуществление части полномочий по решению вопросов местного значения поселений в соответствии с заключенными соглашениями на мероприятия в области физической культуры и спорта</t>
  </si>
  <si>
    <t>Осуществление части полномочий по решению вопросов местного значения поселений в соответствии с заключенными соглашениями по формированию архивных фондов поселений</t>
  </si>
  <si>
    <t>51 0 7201</t>
  </si>
  <si>
    <t>Обеспечение сохранности автомобильных дорог местного значения и условий безопасного движения по ним</t>
  </si>
  <si>
    <t>51 0 1016</t>
  </si>
  <si>
    <t>70 0 1015</t>
  </si>
  <si>
    <t>1016</t>
  </si>
  <si>
    <t>7201</t>
  </si>
  <si>
    <t>1768</t>
  </si>
  <si>
    <t>1251</t>
  </si>
  <si>
    <t>1015</t>
  </si>
  <si>
    <t xml:space="preserve"> НАЛОГОВЫЕ И НЕНАЛОГОВЫЕ ДОХОДЫ</t>
  </si>
  <si>
    <t xml:space="preserve"> 1 03 00000 00 0000 000</t>
  </si>
  <si>
    <t xml:space="preserve"> Налоги на товары ( работы, услуги), реализуемые на территории Российской Федерации</t>
  </si>
  <si>
    <t xml:space="preserve"> 1 03 02000 01 0000 110</t>
  </si>
  <si>
    <t>Акцизы по подакцизным товарам ( продукции), производимым на территории Российской Федерации</t>
  </si>
  <si>
    <t xml:space="preserve"> 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</si>
  <si>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</si>
  <si>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</si>
  <si>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</si>
  <si>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</si>
  <si>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</si>
  <si>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</si>
  <si>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</si>
  <si>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1 08 03000 01 0000 110</t>
  </si>
  <si>
    <t xml:space="preserve">Доходы, получаемые  в виде арендной либо  иной платы за передачу  в возмездное  пользование  государственного  и муниципального   имущества ( за исключением  имущества автономных учреждений, а  также  имущества государственных  и муниципальных  унитарных  предприятий, в том числе казенных)  </t>
  </si>
  <si>
    <t>Доходы от продажи земельных участков, находящихся  в государственной  и муниципальной собственности ( за исключением  земельных участков  автономных  учреждений, а  также  земельных  участков государственных и муниципальных  предпрятий, в том  числе казенных)</t>
  </si>
  <si>
    <t>1 16 25000 01 0000 140</t>
  </si>
  <si>
    <t>Денежные взыскания (штрафы) за нарушение законодательства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</si>
  <si>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Денежные взыскания (штрафы) за нарушение земельного законодательства</t>
  </si>
  <si>
    <t xml:space="preserve">  1 16 28000 00 0000 140</t>
  </si>
  <si>
    <t>1 16 900 05 00 0000 140</t>
  </si>
  <si>
    <t>Прочие  поступления  от денежных  взысканий  (штрафов) и иных сумм в возмещение  ущерба, зачисляемые в бюджеты муниципальных районов</t>
  </si>
  <si>
    <t xml:space="preserve"> -  субвенции бюджетам муниципальных районов на осуществление отдельных государственных полномочий Брянской области по организации проведения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в части организации отлова и содержания безнадзорных животных на территории Брянской области</t>
  </si>
  <si>
    <t>Субвенции бюджетам на составление (изменение) списков кандидатов в присяжные заседатели федеральных судов общей юрисдикции в Российской Федерации</t>
  </si>
  <si>
    <t>Субвенции бюджетам муниципальных районов на составление (изменение) списков кандидатов в присяжные заседатели федеральных судов общей юрисдикции в Российской Федерации</t>
  </si>
  <si>
    <t>2 02 03007 00 0000 151</t>
  </si>
  <si>
    <t>из функцструктуры</t>
  </si>
  <si>
    <t>Отклонение</t>
  </si>
  <si>
    <t>Областной бюджет</t>
  </si>
  <si>
    <t>Бюджеты поселений</t>
  </si>
  <si>
    <t>Местный бюджет</t>
  </si>
  <si>
    <t>Судебная система</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</si>
  <si>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по непрограммному направлению расходов "Реализация функций" в рамках непрограммного направления деятельности "Государственная судебная власть"</t>
  </si>
  <si>
    <t>51 0 5120</t>
  </si>
  <si>
    <t>5120</t>
  </si>
  <si>
    <t>Осуществление первичного воинского учета на территориях, где отсутствуют военные комиссариаты, по иным непрограммным мероприятиям в рамках непрограммного направления деятельности "Реализация функций иных федеральных органов государственной власти"</t>
  </si>
  <si>
    <t>Подпрограмма "Развитие сельского хозяйства в Клетнянском районе" (2015-2017 годы)</t>
  </si>
  <si>
    <t>Подпрограмма "Культура Клетнянского района на 2015-2017 годы"</t>
  </si>
  <si>
    <t>скрыть</t>
  </si>
  <si>
    <t>Подпрограмма "Комплексные меры противодействия злоупотреблению наркотиками и их незаконному обороту" (2015-2017 годы)</t>
  </si>
  <si>
    <t>Подпрограмма "Развитие молодежной политики, физической культуры и спорта Клетнянского района" (2015-2017 годы)</t>
  </si>
  <si>
    <t>Подпрограмма "Социальная политика Клетнянского района" (2015-2017 годы)</t>
  </si>
  <si>
    <t>Подпрограмма "Обеспечение жильем молодых семей  Клетнянского района на 2015-2017 годы"</t>
  </si>
  <si>
    <t>Подпрограмма "Развитие малого и среднего предпринимательства в Клетнянском районе" (2015-2017 годы)</t>
  </si>
  <si>
    <t>Управление муниципальными финансами муниципального образования "Клетнянский муниципальный район" на 2015-2017 годы</t>
  </si>
  <si>
    <t>Развитие системы образования Клетнянского муниципального  района на 2015-2017 годы</t>
  </si>
  <si>
    <t>Обеспечние реализации полномочий Клетнянского муниципального района на 2015 - 2017 годы</t>
  </si>
  <si>
    <t>Доходы всего</t>
  </si>
  <si>
    <t xml:space="preserve">Доходы С+ОД </t>
  </si>
  <si>
    <t>доходы</t>
  </si>
  <si>
    <t>Приложение 3</t>
  </si>
  <si>
    <t xml:space="preserve">к пояснительной записке к Решению районного Совета народных депутатов  "О бюджете муниципального образования "Клетнянский муниципальный район" на 2015 год и на плановый период 2016 и 2017 годов" </t>
  </si>
  <si>
    <t>Бюджет муниципального района</t>
  </si>
  <si>
    <t xml:space="preserve">Субвенция бюджетам поселений (за счет субвенции, полученной из областного бюджета) для осуществления отдельных государственных полномочий Брянской области по определению перечня должностных лиц органов местного самоуправления, уполномоченный составлять протоколы об административных правонарушениях на плановый период 2016 и 2017 годов
</t>
  </si>
  <si>
    <t xml:space="preserve">Распределение субвенций бюджетам поселений на предоставление мер социальной поддержки по оплате жилья и коммунальных услуг отдельным категориям граждан, работающих в учреждениях культуры, находящихся в сельской местности или поселках городского типа на территории Брянской области на плановый период 2016 и 2017 годов
</t>
  </si>
  <si>
    <t>Сумма на 2017 год</t>
  </si>
  <si>
    <t>Утверждено на 2017 год</t>
  </si>
  <si>
    <t>Источники внутреннего финансирования дефицита бюджета муниципального образования "Клетнянский муниципальный район" на 2015 год</t>
  </si>
  <si>
    <t>Всего расходы по видам бюджетов</t>
  </si>
  <si>
    <t>ППЭБР</t>
  </si>
  <si>
    <t xml:space="preserve">Доходы от сдачи  в аренду  имущества, находяшегося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 за исключением  имущества бюджетных и  автономных учреждений) </t>
  </si>
  <si>
    <t>Доходы от сдачи  в аренду имущества,  находящегося в оперативном управлении органов управления муниципальных районов и созданных  ими  учреждений ( за  исключением имущества  муниципальных бюджетных и   автономных учреждений)</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</si>
  <si>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128,129, 129.1, 132, 133,134, 135, 135.1   Налогового кодекса  Российской  Федерации</t>
  </si>
  <si>
    <t xml:space="preserve"> 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РФ об административных правонарушениях  </t>
  </si>
  <si>
    <t>МП</t>
  </si>
  <si>
    <t>ППМП</t>
  </si>
  <si>
    <t>Приложение 10</t>
  </si>
  <si>
    <t>Приложение 11</t>
  </si>
  <si>
    <t>51 1 2218</t>
  </si>
  <si>
    <t>51 2 1054</t>
  </si>
  <si>
    <t>51 2 1055</t>
  </si>
  <si>
    <t>51 2 1057</t>
  </si>
  <si>
    <t>51 2 1058</t>
  </si>
  <si>
    <t>51 2 1421</t>
  </si>
  <si>
    <t>51 2 2215</t>
  </si>
  <si>
    <t>51 2 2216</t>
  </si>
  <si>
    <t>51 3 1130</t>
  </si>
  <si>
    <t>51 4 1767</t>
  </si>
  <si>
    <t>51 4 1768</t>
  </si>
  <si>
    <t>51 5 1651</t>
  </si>
  <si>
    <t>51 5 2222</t>
  </si>
  <si>
    <t>51 5 5082</t>
  </si>
  <si>
    <t>51 6 2226</t>
  </si>
  <si>
    <t>51 7 1891</t>
  </si>
  <si>
    <t>субв</t>
  </si>
  <si>
    <t>от пос.</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</si>
  <si>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</si>
  <si>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</si>
  <si>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</si>
  <si>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Контрольно-счетная палата Клетнянского муниципального района</t>
  </si>
  <si>
    <t>Продолжение приложения 11</t>
  </si>
  <si>
    <t>Изменение распределения бюджетных ассигнований на 2015 год по ведомственной структуре расходов бюджета муниципального образования "Клетнянский муниципальный район", предусмотренного приложением 6 к Решению районного Совета народных депутатов "О бюджете муниципального образования "Клетнянский муниципальный район" на 2015 год и на плановый период 2016 и 2017 годов"</t>
  </si>
  <si>
    <t>Изменение распределения расходов бюджета муниципального образования "Клетнянский муниципальный район" по целевым статьям (муниципальным программам и непрограммным направлениям деятельности), группам видов расходов на 2015 год, предусмотренного приложением 8 к Решению районного Совета народных депутатов "О бюджете муниципального образования "Клетнянский муниципальный район" на 2015 год и на плановый период 2016 и 2017 годов"</t>
  </si>
  <si>
    <t>итого</t>
  </si>
  <si>
    <t>Реализация отдельных мероприятий в сфере развития животноводства Клетнянского района</t>
  </si>
  <si>
    <r>
      <t>Доходы,  получаемые  в виде  арендной платы за  земельные  участки,  государственная  собственность  на  которые  не разграничена  и которые  расположенны в  границах</t>
    </r>
    <r>
      <rPr>
        <b/>
        <sz val="9"/>
        <rFont val="Arial"/>
        <family val="2"/>
        <charset val="204"/>
      </rPr>
      <t xml:space="preserve"> сельских</t>
    </r>
    <r>
      <rPr>
        <sz val="9"/>
        <rFont val="Arial"/>
        <family val="2"/>
        <charset val="204"/>
      </rPr>
      <t xml:space="preserve"> поселений,  а также средства от продажи  права на  заключение  договоров  аренды  указанных земельных  участков</t>
    </r>
  </si>
  <si>
    <r>
      <t xml:space="preserve">Доходы,  получаемые  в виде  арендной платы за  земельные  участки,  государственная  собственность  на  которые  не разграничена  и которые  расположенны в  </t>
    </r>
    <r>
      <rPr>
        <b/>
        <sz val="9"/>
        <rFont val="Arial"/>
        <family val="2"/>
        <charset val="204"/>
      </rPr>
      <t>границах поселений</t>
    </r>
    <r>
      <rPr>
        <sz val="9"/>
        <rFont val="Arial"/>
        <family val="2"/>
        <charset val="204"/>
      </rPr>
      <t>,  а также средства от продажи  права на  заключение  договоров  аренды  указанных земельных  участков</t>
    </r>
  </si>
  <si>
    <t>1 11 05013 13 0000 120</t>
  </si>
  <si>
    <r>
      <t>Доходы,  получаемые  в виде  арендной платы за  земельные  участки,  государственная  собственность  на  которые  не разграничена  и которые  расположенны в  г</t>
    </r>
    <r>
      <rPr>
        <b/>
        <sz val="9"/>
        <rFont val="Arial"/>
        <family val="2"/>
        <charset val="204"/>
      </rPr>
      <t>раницах  городских поселений</t>
    </r>
    <r>
      <rPr>
        <sz val="9"/>
        <rFont val="Arial"/>
        <family val="2"/>
        <charset val="204"/>
      </rPr>
      <t>,  а также средства от продажи  права на  заключение  договоров  аренды  указанных земельных  участков</t>
    </r>
  </si>
  <si>
    <r>
      <t xml:space="preserve">Доходы  от продажи  земельных участков,  государственная  собственность  на которые  не разграничена и которые  расположены  в </t>
    </r>
    <r>
      <rPr>
        <b/>
        <sz val="9"/>
        <rFont val="Arial"/>
        <family val="2"/>
        <charset val="204"/>
      </rPr>
      <t>границах сельских поселений</t>
    </r>
  </si>
  <si>
    <r>
      <t>Доходы  от продажи  земельных участков,  государственная  собственность  на которые  не разграничена и которые  расположены  в г</t>
    </r>
    <r>
      <rPr>
        <b/>
        <sz val="9"/>
        <rFont val="Arial"/>
        <family val="2"/>
        <charset val="204"/>
      </rPr>
      <t>раницах поселений</t>
    </r>
  </si>
  <si>
    <t xml:space="preserve">  1 14 06013 13 0000 430</t>
  </si>
  <si>
    <r>
      <t xml:space="preserve">Доходы  от продажи  земельных участков,  государственная  собственность  на которые  не разграничена и которые  расположены  в </t>
    </r>
    <r>
      <rPr>
        <b/>
        <sz val="9"/>
        <rFont val="Arial"/>
        <family val="2"/>
        <charset val="204"/>
      </rPr>
      <t>границах городских поселений</t>
    </r>
  </si>
  <si>
    <t>511</t>
  </si>
  <si>
    <t xml:space="preserve">Дотации             </t>
  </si>
  <si>
    <t>510</t>
  </si>
  <si>
    <t>Уточненный план на 01.03.15.</t>
  </si>
  <si>
    <t>изменения февраль</t>
  </si>
  <si>
    <t>Выполнение работ по газификации Клетнянского района</t>
  </si>
  <si>
    <t>51 0 2221</t>
  </si>
  <si>
    <t>2221</t>
  </si>
  <si>
    <t>2 02 02000 00 0000 151</t>
  </si>
  <si>
    <t>Субсидии бюджетам бюджетной системы Российской Федерации (межбюджетные субсидии)</t>
  </si>
  <si>
    <t>2 02 02008 00 0000 151</t>
  </si>
  <si>
    <t>Субсидии бюджетам на обеспечение жильем молодых семей</t>
  </si>
  <si>
    <t>Субсидии бюджетам муниципальных районов на обеспечение жильем молодых семей</t>
  </si>
  <si>
    <t>2 02 02051 00 0000 151</t>
  </si>
  <si>
    <t>Субсидии бюджетам на реализацию федеральных целевых программ</t>
  </si>
  <si>
    <t>2 02 02077 00 0000 151</t>
  </si>
  <si>
    <t xml:space="preserve">Субсидии бюджетам на софинансирование капитальных вложений в объекты государственной (муниципальной) собственности </t>
  </si>
  <si>
    <t xml:space="preserve">Субсидии бюджетам муниципальных районов на софинансирование капитальных вложений в объекты муниципальной собственности </t>
  </si>
  <si>
    <t xml:space="preserve"> - пристройка к МОУ СОШ №2 п.Клетня</t>
  </si>
  <si>
    <t xml:space="preserve"> - строительство систем газоснабжения для населенных пунктов Брянской области</t>
  </si>
  <si>
    <t>51 0 1127</t>
  </si>
  <si>
    <t>Софинансирование объектов капитальных вложений муниципальной собственности</t>
  </si>
  <si>
    <t>51 1 2219</t>
  </si>
  <si>
    <t>2219</t>
  </si>
  <si>
    <t>Ремонт водопроводной сети Клетнянского района</t>
  </si>
  <si>
    <t>ОБ</t>
  </si>
  <si>
    <t>Ост-ки</t>
  </si>
  <si>
    <t>7211</t>
  </si>
  <si>
    <t xml:space="preserve">Передача полномочий бюджетам сельских поселений в соответствии с заключенными соглашениями по сохранению культурного наследия </t>
  </si>
  <si>
    <t>51 2 2217</t>
  </si>
  <si>
    <t>2217</t>
  </si>
  <si>
    <t>1127</t>
  </si>
  <si>
    <t>изм.февраль</t>
  </si>
  <si>
    <t xml:space="preserve">Изменение прогнозируемых доходов бюджета муниципального образования "Клетнянский муниципальный район" на 2015 год, предусмотренных приложением 1 к пояснительной записке к Решению районного Совета народных депутатов  "О бюджете муниципального образования "Клетнянский муниципальный район" на 2015 год и на плановый период 2016 и 2017 годов" </t>
  </si>
  <si>
    <t>к Решению районного Совета народных депутатов  "О внесении изменений в Решение районного Совета народных депутатов "О бюджете муниципального образования "Клетнянский муниципальный район" на 2015 год и на плановый период 2016 и 2017 годов"</t>
  </si>
  <si>
    <t>512</t>
  </si>
  <si>
    <t>Дотации</t>
  </si>
  <si>
    <t>51 0 2223</t>
  </si>
  <si>
    <t>2223</t>
  </si>
  <si>
    <t xml:space="preserve"> - субвенции бюджетам муниципальных районов на 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 </t>
  </si>
  <si>
    <t>новое название</t>
  </si>
  <si>
    <t xml:space="preserve"> - субвенции бюджетам муниципальных районов  на финансовое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общеобразовательных организаций </t>
  </si>
  <si>
    <t>изменения апрель</t>
  </si>
  <si>
    <t>Уточненный план на 2016 год</t>
  </si>
  <si>
    <t>изменения апрель 2015</t>
  </si>
  <si>
    <t>Уточненный план на 2017 год</t>
  </si>
  <si>
    <t xml:space="preserve"> - дополнительные меры государственной поддержки обучающихся</t>
  </si>
  <si>
    <t>2 02 02999 00 0000 151</t>
  </si>
  <si>
    <t>Прочие субсидии</t>
  </si>
  <si>
    <t>было</t>
  </si>
  <si>
    <t>Дополнительные меры государственной поддержки обучающихся</t>
  </si>
  <si>
    <t>52 0 1473</t>
  </si>
  <si>
    <t>1473</t>
  </si>
  <si>
    <t>Изм февраль</t>
  </si>
  <si>
    <t>Изм апрель</t>
  </si>
  <si>
    <t>Уточненный план на 01.05.15.</t>
  </si>
  <si>
    <t>Поселения</t>
  </si>
  <si>
    <t>1055</t>
  </si>
  <si>
    <t>1057</t>
  </si>
  <si>
    <t>1058</t>
  </si>
  <si>
    <t>2226</t>
  </si>
  <si>
    <t>МР</t>
  </si>
  <si>
    <t>пос</t>
  </si>
  <si>
    <t>Пос</t>
  </si>
  <si>
    <t>ФБ</t>
  </si>
  <si>
    <t>ВСЕГО</t>
  </si>
  <si>
    <t>изм.апрель</t>
  </si>
  <si>
    <t>51 0 1133</t>
  </si>
  <si>
    <t>Взносы Клетнянского района в уставные капиталы муниципальных унитарных предприятий</t>
  </si>
  <si>
    <t>1133</t>
  </si>
  <si>
    <t>Полномочия бюджетам поселений на обеспечение  проживающих в поселении и нуждающихся в жилых помещениях малоимущих граждан жилыми помещениями, организацию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</si>
  <si>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7106</t>
  </si>
  <si>
    <t>2227</t>
  </si>
  <si>
    <t>Полномочия бюджетам поселений на организацию в границах поселений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</si>
  <si>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 xml:space="preserve">Поддержка мер по обеспечению сбалансированности  бюджетов поселений из бюджета муниципального образования "Клетнянский муниципальный  район"
</t>
  </si>
  <si>
    <t>53 0 1599</t>
  </si>
  <si>
    <t>1599</t>
  </si>
  <si>
    <t xml:space="preserve">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 </t>
  </si>
  <si>
    <t xml:space="preserve">Финансовое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общеобразовательных организаций </t>
  </si>
  <si>
    <t>Таблица 8</t>
  </si>
  <si>
    <t>Распределение иных межбюджетных трансфертов бюджетам поселений на обеспечение  проживающих в поселении и нуждающихся в жилых помещениях малоимущих граждан жилыми помещениями, организацию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 из бюджета муниципального образования "Клетнянский муниципальный  район" на 2015 год</t>
  </si>
  <si>
    <t xml:space="preserve"> - мероприятия по проведению оздоровительной кампании детей</t>
  </si>
  <si>
    <t>Межбюджетные трансферты, передаваемые бюджетам на создание и развитие сети многофункциональных центров предоставления государственных и муниципальных услуг</t>
  </si>
  <si>
    <t>2 02 04061 00 0000 151</t>
  </si>
  <si>
    <t>2 02 04061 05 0000 151</t>
  </si>
  <si>
    <t>Межбюджетные трансферты, передаваемые бюджетам муниципальных районов на создание и развитие сети многофункциональных центров предоставления государственных и муниципальных услуг</t>
  </si>
  <si>
    <t>Создание и развитие сети многофункциональных центров предоставления государственных и муниципальных услуг в рамках подпрограммы "Совершенствование государственного и муниципального управления" государственной программы Российской Федерации "Экономическое развитие и инновационная экономика"</t>
  </si>
  <si>
    <t>51 0 5392</t>
  </si>
  <si>
    <t>5392</t>
  </si>
  <si>
    <t>изменения июнь</t>
  </si>
  <si>
    <t>Обеспечение проведения выборов и референдумов</t>
  </si>
  <si>
    <t>Организация и проведение выборов и референдумов</t>
  </si>
  <si>
    <t>70 0 1011</t>
  </si>
  <si>
    <t>Специальные расходы</t>
  </si>
  <si>
    <t>880</t>
  </si>
  <si>
    <t>52 0 1479</t>
  </si>
  <si>
    <t>Мероприятия по проведению оздоровительной кампании детей</t>
  </si>
  <si>
    <t>Изм июнь</t>
  </si>
  <si>
    <t>1011</t>
  </si>
  <si>
    <t>1479</t>
  </si>
  <si>
    <t>Утверждено на 01.05.15.</t>
  </si>
  <si>
    <t>изм.июнь</t>
  </si>
  <si>
    <t xml:space="preserve">Межбюджетные трансферты общего характера бюджетам бюджетной системы Российской Федерации </t>
  </si>
  <si>
    <t>Развитие и совершенствование сети автомобильных дорог местного значения</t>
  </si>
  <si>
    <t>51 0 7200</t>
  </si>
  <si>
    <t>Развитие сети автомобильных дорог, ведущих к общественно значимым объектам сельских населенных пунктов, объектам производства и переработки сельскохозяйственной продукции</t>
  </si>
  <si>
    <t>51 0 1616</t>
  </si>
  <si>
    <t>Реализация мероприятий федеральной целевой программы "Устойчивое развитие сельских территорий на 2014 - 2017 годы и на период до 2020 года" государственной программы Российской Федерации "Государственная программа развития сельского хозяйства и регулирования рынков сельскохозяйственной продукции, сырья и продовольствия на 2013 - 2020 годы"</t>
  </si>
  <si>
    <t>51 0 5018</t>
  </si>
  <si>
    <t xml:space="preserve"> - реализация мероприятий федеральной целевой программы "Устойчивое развитие сельских территорий на 2014 - 2017 годы и на период до 2020 года" </t>
  </si>
  <si>
    <t>в ручную</t>
  </si>
  <si>
    <t>53 0 7211</t>
  </si>
  <si>
    <t>53 0 7106</t>
  </si>
  <si>
    <t>53 0 2227</t>
  </si>
  <si>
    <t>Передача полномочий бюджетам сельских поселений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</si>
  <si>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Межбюджетные трансферты,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</si>
  <si>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Межбюджетные трансферты, передаваемые бюджетам муниципальных районов,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</si>
  <si>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2 02 04041 00 0000 151</t>
  </si>
  <si>
    <t>2 02 04041 05 0000 151</t>
  </si>
  <si>
    <t>51 2 5146</t>
  </si>
  <si>
    <t>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 в рамках подпрограммы "Наследие" государственной программы Российской Федерации "Развитие культуры и туризма"</t>
  </si>
  <si>
    <t>7200</t>
  </si>
  <si>
    <t>5018</t>
  </si>
  <si>
    <t>5146</t>
  </si>
  <si>
    <t>не пойдут на в/у</t>
  </si>
  <si>
    <t>пож.мер-я сб.из ОБ</t>
  </si>
  <si>
    <t>в/у ФБ - 726512,      г/п - 389203</t>
  </si>
  <si>
    <t>Дох.субв+субс+ иные МБТ</t>
  </si>
  <si>
    <t>откл.коммун.</t>
  </si>
  <si>
    <t>51 6 1620</t>
  </si>
  <si>
    <t>Социальные выплаты молодым семьям на приобретение жилья</t>
  </si>
  <si>
    <t>1620</t>
  </si>
  <si>
    <t>налог</t>
  </si>
  <si>
    <t>неналог</t>
  </si>
  <si>
    <t>51 0 2228</t>
  </si>
  <si>
    <t>Мероприятия в сфере коммунального хозяйства, в части оформления имущественных отношений</t>
  </si>
  <si>
    <t>Средства поселений</t>
  </si>
  <si>
    <t>Уточненный план на 01.11.15.</t>
  </si>
  <si>
    <t>2228</t>
  </si>
  <si>
    <t>Утверждено</t>
  </si>
  <si>
    <t>Изменения октябрь</t>
  </si>
  <si>
    <t>Приложение 6</t>
  </si>
  <si>
    <t>Уточненный план на 01.07.15.</t>
  </si>
  <si>
    <t>изменения октябрь</t>
  </si>
  <si>
    <t>изменения декабрь</t>
  </si>
  <si>
    <t>Уточненный план на 01.01.16.</t>
  </si>
  <si>
    <t>1 09 00000 00 0000 000</t>
  </si>
  <si>
    <t>ЗАДОЛЖЕННОСТЬ И ПЕРЕРАСЧЕТЫ ПО ОТМЕНЕННЫМ НАЛОГАМ, СБОРАМ И ИНЫМ ОБЯЗАТЕЛЬНЫМ ПЛАТЕЖАМ</t>
  </si>
  <si>
    <t>1 09 07000 00 0000 110</t>
  </si>
  <si>
    <t>Прочие налоги и сборы (по отмененным местным налогам и сборам)</t>
  </si>
  <si>
    <t>1 09 07030 00 0000 110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</si>
  <si>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</si>
  <si>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1 09 07030 05 0000 110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</si>
  <si>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</si>
  <si>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1 14 02050 05 0000 410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</si>
  <si>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</si>
  <si>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1 14 02052 05 0000 410</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</si>
  <si>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основных средств по указанному имуществу</t>
  </si>
  <si>
    <t>1 14 02053 05 0000 410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</si>
  <si>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</si>
  <si>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1 16 08000 01 0000 140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</si>
  <si>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</si>
  <si>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1 16 08020 01 0000 140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</si>
  <si>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</si>
  <si>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1 16 23000 00 0000 140</t>
  </si>
  <si>
    <t>Доходы от возмещения ущерба при возникновении страховых случаев</t>
  </si>
  <si>
    <t>1 16 23050 05 0000 140</t>
  </si>
  <si>
    <t>Доходы от возмещения ущерба при возникновении страховых случаев, когда выгодоприобретателями выступают получатели средств бюджетов муниципальных районов</t>
  </si>
  <si>
    <t>1 16 23051 05 0000 140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</si>
  <si>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муниципальных районов</t>
  </si>
  <si>
    <t>1 16 33000 00 0000 140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</si>
  <si>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</si>
  <si>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1 16 33050 05 0000 140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</si>
  <si>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</si>
  <si>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 xml:space="preserve"> - на укрепление материально-технической базы детской школы искусств</t>
  </si>
  <si>
    <t>3180 р-н,           15900 - пос</t>
  </si>
  <si>
    <t>в/учет +43242,  коммун - 15900</t>
  </si>
  <si>
    <t>МБ</t>
  </si>
  <si>
    <t>МБТ</t>
  </si>
  <si>
    <t xml:space="preserve"> - дотации</t>
  </si>
  <si>
    <t xml:space="preserve"> - субсидии</t>
  </si>
  <si>
    <t xml:space="preserve"> - субвенции</t>
  </si>
  <si>
    <t xml:space="preserve"> - иные</t>
  </si>
  <si>
    <t>Изм октябрь</t>
  </si>
  <si>
    <t>Повышение качества и доступности предоставления государственных и муниципальных услуг в Брянской области</t>
  </si>
  <si>
    <t>51 0 1864</t>
  </si>
  <si>
    <t>Отдельные мероприятия по развитию культуры, культурного наследия, туризма, обеспечению устойчивого развития социально-культурных составляющих качестваа жизни населения</t>
  </si>
  <si>
    <t>52 0 1424</t>
  </si>
  <si>
    <t>Реализация мероприятий федеральной целевой программы "Культура России (2012 - 2018 годы)" государственной программы Российской Федерации "Развитие культуры и туризма"</t>
  </si>
  <si>
    <t>52 0 5014</t>
  </si>
  <si>
    <t>Реализация мероприятий государственной программы  Российской Федерации "Доступная среда" на 2011-2015 годы в рамках подпрограммы "Обеспечение доступности приоритетных объектов и услуг в приоритетных сферах жизнедеятельности инвалидов и других маломобильных групп населения"</t>
  </si>
  <si>
    <t>52 0 5027</t>
  </si>
  <si>
    <t>Таблица 2</t>
  </si>
  <si>
    <t>Распределение дотаций на поддержку мер по обеспечению сбалансированности бюджетов поселений на 2015 год</t>
  </si>
  <si>
    <t>Изм.декабрь</t>
  </si>
  <si>
    <t xml:space="preserve">Распределение субвенций бюджетам поселений на предоставление мер социальной поддержки по оплате жилья и коммунальных услуг отдельным категориям граждан, работающих в учреждениях культуры, находящихся в сельской местности или поселках городского типа на территории Брянской области на 2015 год
</t>
  </si>
  <si>
    <t>Изменения июнь</t>
  </si>
  <si>
    <t>Таблица 4</t>
  </si>
  <si>
    <t>Распределение субвенции бюджетам поселений на осуществление отдельных государственных полномочий Российской Федерации по первичному воинскому учету на территориях, где отсутствуют военные комиссариаты на 2015 год</t>
  </si>
  <si>
    <t>1864</t>
  </si>
  <si>
    <t>1424</t>
  </si>
  <si>
    <t>5014</t>
  </si>
  <si>
    <t>5027</t>
  </si>
  <si>
    <t>изм.октябрь</t>
  </si>
  <si>
    <r>
      <t>Уточненный план на 01.</t>
    </r>
    <r>
      <rPr>
        <sz val="8"/>
        <color rgb="FFFF0000"/>
        <rFont val="Arial"/>
        <family val="2"/>
        <charset val="204"/>
      </rPr>
      <t>11</t>
    </r>
    <r>
      <rPr>
        <sz val="8"/>
        <rFont val="Arial"/>
        <family val="2"/>
        <charset val="204"/>
      </rPr>
      <t>.15.</t>
    </r>
  </si>
  <si>
    <t>изм.декабрь</t>
  </si>
  <si>
    <t>Приложение 7</t>
  </si>
  <si>
    <t>Государственная поддержка малого и среднего предпринимательства</t>
  </si>
  <si>
    <t>51 7 1863</t>
  </si>
  <si>
    <t>Государственная поддержка малого и среднего предпринимательства, включая крестьянские (фермерские) хозяйства в рамках подпрограммы "Развитие малого и среднего предпринимательства" государственной программы Российской Федерации "Экономическое развитие и инновационная экономика"</t>
  </si>
  <si>
    <t>51 7 5064</t>
  </si>
  <si>
    <t>Приложение 6.4</t>
  </si>
  <si>
    <t>Приложение 8.4</t>
  </si>
  <si>
    <t>1863</t>
  </si>
  <si>
    <t>5064</t>
  </si>
  <si>
    <t>Изменения</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</si>
</sst>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0"/>
    <numFmt numFmtId="165" formatCode="#,##0.00_ ;[Red]\-#,##0.00\ "/>
    <numFmt numFmtId="166" formatCode="#,##0_ ;[Red]\-#,##0\ "/>
    <numFmt numFmtId="167" formatCode="0.000"/>
    <numFmt numFmtId="168" formatCode="0.0"/>
  </numFmts>
  <fonts count="33" x14ac:knownFonts="1">
    <font>
      <sz val="11"/>
      <color theme="1"/>
      <name val="Calibri"/>
      <family val="2"/>
      <scheme val="minor"/>
    </font>
    <font>
      <sz val="9"/>
      <name val="Arial"/>
      <family val="2"/>
      <charset val="204"/>
    </font>
    <font>
      <sz val="9"/>
      <color theme="1"/>
      <name val="Arial"/>
      <family val="2"/>
      <charset val="204"/>
    </font>
    <font>
      <sz val="9"/>
      <color rgb="FF000000"/>
      <name val="Arial"/>
      <family val="2"/>
      <charset val="204"/>
    </font>
    <font>
      <sz val="9"/>
      <color rgb="FFFF0000"/>
      <name val="Arial"/>
      <family val="2"/>
      <charset val="204"/>
    </font>
    <font>
      <b/>
      <u/>
      <sz val="9"/>
      <name val="Arial"/>
      <family val="2"/>
      <charset val="204"/>
    </font>
    <font>
      <b/>
      <sz val="9"/>
      <name val="Arial"/>
      <family val="2"/>
      <charset val="204"/>
    </font>
    <font>
      <b/>
      <i/>
      <sz val="9"/>
      <name val="Arial"/>
      <family val="2"/>
      <charset val="204"/>
    </font>
    <font>
      <sz val="9"/>
      <color rgb="FFFF5050"/>
      <name val="Arial"/>
      <family val="2"/>
      <charset val="204"/>
    </font>
    <font>
      <b/>
      <sz val="9"/>
      <color theme="1"/>
      <name val="Arial"/>
      <family val="2"/>
      <charset val="204"/>
    </font>
    <font>
      <sz val="9"/>
      <color theme="0"/>
      <name val="Arial"/>
      <family val="2"/>
      <charset val="204"/>
    </font>
    <font>
      <sz val="10"/>
      <name val="Times New Roman Cyr"/>
      <charset val="204"/>
    </font>
    <font>
      <u/>
      <sz val="10"/>
      <name val="Arial"/>
      <family val="2"/>
      <charset val="204"/>
    </font>
    <font>
      <sz val="10"/>
      <name val="Arial"/>
      <family val="2"/>
      <charset val="204"/>
    </font>
    <font>
      <sz val="8"/>
      <name val="Arial"/>
      <family val="2"/>
      <charset val="204"/>
    </font>
    <font>
      <i/>
      <sz val="8"/>
      <name val="Arial"/>
      <family val="2"/>
      <charset val="204"/>
    </font>
    <font>
      <b/>
      <sz val="12"/>
      <name val="Arial"/>
      <family val="2"/>
      <charset val="204"/>
    </font>
    <font>
      <sz val="12"/>
      <name val="Arial"/>
      <family val="2"/>
      <charset val="204"/>
    </font>
    <font>
      <b/>
      <sz val="12"/>
      <color indexed="59"/>
      <name val="Arial"/>
      <family val="2"/>
      <charset val="204"/>
    </font>
    <font>
      <b/>
      <sz val="10"/>
      <name val="Arial"/>
      <family val="2"/>
      <charset val="204"/>
    </font>
    <font>
      <b/>
      <u/>
      <sz val="9"/>
      <color rgb="FF000000"/>
      <name val="Arial"/>
      <family val="2"/>
      <charset val="204"/>
    </font>
    <font>
      <b/>
      <u/>
      <sz val="12"/>
      <name val="Arial"/>
      <family val="2"/>
      <charset val="204"/>
    </font>
    <font>
      <b/>
      <sz val="11"/>
      <name val="Arial"/>
      <family val="2"/>
      <charset val="204"/>
    </font>
    <font>
      <sz val="11"/>
      <color theme="1"/>
      <name val="Arial"/>
      <family val="2"/>
      <charset val="204"/>
    </font>
    <font>
      <sz val="10"/>
      <color indexed="10"/>
      <name val="Arial"/>
      <family val="2"/>
      <charset val="204"/>
    </font>
    <font>
      <sz val="10"/>
      <color indexed="12"/>
      <name val="Arial"/>
      <family val="2"/>
      <charset val="204"/>
    </font>
    <font>
      <b/>
      <sz val="9"/>
      <color rgb="FFFF5050"/>
      <name val="Arial"/>
      <family val="2"/>
      <charset val="204"/>
    </font>
    <font>
      <u/>
      <sz val="9"/>
      <name val="Arial"/>
      <family val="2"/>
      <charset val="204"/>
    </font>
    <font>
      <b/>
      <sz val="10"/>
      <color indexed="59"/>
      <name val="Arial"/>
      <family val="2"/>
      <charset val="204"/>
    </font>
    <font>
      <sz val="11"/>
      <name val="Calibri"/>
      <family val="2"/>
      <scheme val="minor"/>
    </font>
    <font>
      <sz val="9"/>
      <name val="Calibri"/>
      <family val="2"/>
      <scheme val="minor"/>
    </font>
    <font>
      <sz val="10"/>
      <color theme="1"/>
      <name val="Calibri"/>
      <family val="2"/>
      <scheme val="minor"/>
    </font>
    <font>
      <sz val="8"/>
      <color rgb="FFFF0000"/>
      <name val="Arial"/>
      <family val="2"/>
      <charset val="204"/>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rgb="FFCCFFFF"/>
        <bgColor indexed="64"/>
      </patternFill>
    </fill>
    <fill>
      <patternFill patternType="solid">
        <fgColor rgb="FFCCECFF"/>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s>
  <cellStyleXfs count="2">
    <xf numFmtId="0" fontId="0" fillId="0" borderId="0"/>
    <xf numFmtId="0" fontId="11" fillId="0" borderId="0"/>
  </cellStyleXfs>
  <cellXfs count="373">
    <xf numFmtId="0" fontId="0" fillId="0" borderId="0" xfId="0"/>
    <xf numFmtId="49" fontId="1" fillId="0" borderId="1" xfId="0" applyNumberFormat="1" applyFont="1" applyFill="1" applyBorder="1" applyAlignment="1">
      <alignment horizontal="center" vertical="top"/>
    </xf>
    <xf numFmtId="4" fontId="1" fillId="0" borderId="1" xfId="0" applyNumberFormat="1" applyFont="1" applyFill="1" applyBorder="1" applyAlignment="1">
      <alignment vertical="top"/>
    </xf>
    <xf numFmtId="0" fontId="1" fillId="0" borderId="4" xfId="0" applyFont="1" applyFill="1" applyBorder="1" applyAlignment="1">
      <alignment vertical="top"/>
    </xf>
    <xf numFmtId="0" fontId="1" fillId="0" borderId="4" xfId="0" applyFont="1" applyFill="1" applyBorder="1" applyAlignment="1">
      <alignment horizontal="center" vertical="top"/>
    </xf>
    <xf numFmtId="0" fontId="1" fillId="0" borderId="0" xfId="0" applyFont="1" applyFill="1" applyAlignment="1">
      <alignment vertical="top"/>
    </xf>
    <xf numFmtId="49" fontId="5" fillId="0" borderId="1" xfId="0" applyNumberFormat="1" applyFont="1" applyFill="1" applyBorder="1" applyAlignment="1">
      <alignment horizontal="center" vertical="top"/>
    </xf>
    <xf numFmtId="4" fontId="5" fillId="0" borderId="1" xfId="0" applyNumberFormat="1" applyFont="1" applyFill="1" applyBorder="1" applyAlignment="1">
      <alignment vertical="top"/>
    </xf>
    <xf numFmtId="4" fontId="1" fillId="0" borderId="0" xfId="0" applyNumberFormat="1" applyFont="1" applyFill="1" applyAlignment="1">
      <alignment vertical="top"/>
    </xf>
    <xf numFmtId="0" fontId="5" fillId="0" borderId="0" xfId="0" applyFont="1" applyFill="1" applyAlignment="1">
      <alignment vertical="top"/>
    </xf>
    <xf numFmtId="49" fontId="6" fillId="0" borderId="1" xfId="0" applyNumberFormat="1" applyFont="1" applyFill="1" applyBorder="1" applyAlignment="1">
      <alignment horizontal="center" vertical="top"/>
    </xf>
    <xf numFmtId="4" fontId="6" fillId="0" borderId="1" xfId="0" applyNumberFormat="1" applyFont="1" applyFill="1" applyBorder="1" applyAlignment="1">
      <alignment vertical="top"/>
    </xf>
    <xf numFmtId="0" fontId="6" fillId="0" borderId="0" xfId="0" applyFont="1" applyFill="1" applyAlignment="1">
      <alignment vertical="top"/>
    </xf>
    <xf numFmtId="4" fontId="6" fillId="0" borderId="0" xfId="0" applyNumberFormat="1" applyFont="1" applyFill="1" applyAlignment="1">
      <alignment vertical="top"/>
    </xf>
    <xf numFmtId="0" fontId="1" fillId="0" borderId="1" xfId="0" applyFont="1" applyFill="1" applyBorder="1" applyAlignment="1">
      <alignment vertical="top"/>
    </xf>
    <xf numFmtId="0" fontId="6" fillId="0" borderId="1" xfId="0" applyFont="1" applyFill="1" applyBorder="1" applyAlignment="1">
      <alignment horizontal="center" vertical="top" wrapText="1"/>
    </xf>
    <xf numFmtId="0" fontId="3" fillId="0" borderId="1" xfId="0" applyFont="1" applyFill="1" applyBorder="1" applyAlignment="1">
      <alignment horizontal="left" vertical="center" wrapText="1"/>
    </xf>
    <xf numFmtId="49" fontId="1" fillId="0" borderId="1" xfId="0" applyNumberFormat="1" applyFont="1" applyFill="1" applyBorder="1" applyAlignment="1">
      <alignment horizontal="center" vertical="top" wrapText="1"/>
    </xf>
    <xf numFmtId="0" fontId="4" fillId="0" borderId="1" xfId="0" applyFont="1" applyFill="1" applyBorder="1" applyAlignment="1">
      <alignment vertical="top"/>
    </xf>
    <xf numFmtId="49" fontId="6" fillId="0" borderId="1" xfId="0" applyNumberFormat="1" applyFont="1" applyFill="1" applyBorder="1" applyAlignment="1">
      <alignment horizontal="center" vertical="top" wrapText="1"/>
    </xf>
    <xf numFmtId="4" fontId="1" fillId="0" borderId="1" xfId="0" applyNumberFormat="1" applyFont="1" applyFill="1" applyBorder="1" applyAlignment="1">
      <alignment vertical="top" wrapText="1"/>
    </xf>
    <xf numFmtId="4" fontId="6" fillId="0" borderId="1" xfId="0" applyNumberFormat="1" applyFont="1" applyFill="1" applyBorder="1" applyAlignment="1">
      <alignment horizontal="right" vertical="top"/>
    </xf>
    <xf numFmtId="0" fontId="1" fillId="0" borderId="0" xfId="0" applyFont="1" applyFill="1" applyAlignment="1">
      <alignment vertical="top" wrapText="1"/>
    </xf>
    <xf numFmtId="0" fontId="7" fillId="0" borderId="0" xfId="0" applyFont="1" applyFill="1" applyAlignment="1">
      <alignment vertical="top"/>
    </xf>
    <xf numFmtId="0" fontId="6" fillId="0" borderId="8" xfId="0" applyFont="1" applyFill="1" applyBorder="1" applyAlignment="1">
      <alignment horizontal="left" vertical="top" wrapText="1"/>
    </xf>
    <xf numFmtId="0" fontId="1" fillId="0" borderId="8" xfId="0" applyFont="1" applyFill="1" applyBorder="1" applyAlignment="1">
      <alignment horizontal="center" vertical="top" wrapText="1"/>
    </xf>
    <xf numFmtId="49" fontId="1" fillId="0" borderId="8" xfId="0" applyNumberFormat="1" applyFont="1" applyFill="1" applyBorder="1" applyAlignment="1">
      <alignment horizontal="center" vertical="top"/>
    </xf>
    <xf numFmtId="0" fontId="1" fillId="0" borderId="3" xfId="0" applyFont="1" applyFill="1" applyBorder="1" applyAlignment="1">
      <alignment horizontal="center" vertical="top"/>
    </xf>
    <xf numFmtId="0" fontId="5" fillId="0" borderId="6" xfId="0" applyFont="1" applyFill="1" applyBorder="1" applyAlignment="1">
      <alignment horizontal="left" vertical="top" wrapText="1"/>
    </xf>
    <xf numFmtId="0" fontId="6" fillId="0" borderId="6" xfId="0" applyFont="1" applyFill="1" applyBorder="1" applyAlignment="1">
      <alignment vertical="top" wrapText="1"/>
    </xf>
    <xf numFmtId="0" fontId="6" fillId="0" borderId="0" xfId="0" applyFont="1" applyFill="1" applyBorder="1" applyAlignment="1">
      <alignment vertical="top"/>
    </xf>
    <xf numFmtId="0" fontId="2" fillId="0" borderId="1" xfId="0" applyFont="1" applyFill="1" applyBorder="1" applyAlignment="1">
      <alignment vertical="top" wrapText="1"/>
    </xf>
    <xf numFmtId="0" fontId="2" fillId="0" borderId="0" xfId="0" applyFont="1" applyFill="1" applyAlignment="1">
      <alignment vertical="top" wrapText="1"/>
    </xf>
    <xf numFmtId="49" fontId="5" fillId="0" borderId="1" xfId="0" applyNumberFormat="1" applyFont="1" applyFill="1" applyBorder="1" applyAlignment="1">
      <alignment horizontal="center" vertical="top" wrapText="1"/>
    </xf>
    <xf numFmtId="4" fontId="5" fillId="0" borderId="1" xfId="0" applyNumberFormat="1" applyFont="1" applyFill="1" applyBorder="1" applyAlignment="1">
      <alignment vertical="top" wrapText="1"/>
    </xf>
    <xf numFmtId="4" fontId="6" fillId="0" borderId="1" xfId="0" applyNumberFormat="1" applyFont="1" applyFill="1" applyBorder="1" applyAlignment="1">
      <alignment horizontal="right" vertical="top" wrapText="1"/>
    </xf>
    <xf numFmtId="4" fontId="1" fillId="0" borderId="1" xfId="0" applyNumberFormat="1" applyFont="1" applyFill="1" applyBorder="1" applyAlignment="1">
      <alignment horizontal="right" vertical="top" wrapText="1"/>
    </xf>
    <xf numFmtId="49" fontId="8" fillId="0" borderId="1" xfId="0" applyNumberFormat="1" applyFont="1" applyFill="1" applyBorder="1" applyAlignment="1">
      <alignment horizontal="center" vertical="top"/>
    </xf>
    <xf numFmtId="0" fontId="5" fillId="0" borderId="6" xfId="0" applyFont="1" applyFill="1" applyBorder="1" applyAlignment="1">
      <alignment horizontal="center" vertical="top"/>
    </xf>
    <xf numFmtId="0" fontId="1" fillId="0" borderId="6" xfId="0" applyFont="1" applyFill="1" applyBorder="1" applyAlignment="1">
      <alignment horizontal="left" vertical="top" wrapText="1"/>
    </xf>
    <xf numFmtId="0" fontId="1" fillId="0" borderId="6" xfId="0" applyFont="1" applyFill="1" applyBorder="1" applyAlignment="1">
      <alignment vertical="top" wrapText="1"/>
    </xf>
    <xf numFmtId="0" fontId="2" fillId="0" borderId="1" xfId="0" applyFont="1" applyBorder="1" applyAlignment="1">
      <alignment vertical="top" wrapText="1"/>
    </xf>
    <xf numFmtId="0" fontId="12" fillId="0" borderId="0" xfId="1" applyFont="1" applyFill="1"/>
    <xf numFmtId="0" fontId="13" fillId="0" borderId="0" xfId="1" applyFont="1" applyFill="1"/>
    <xf numFmtId="0" fontId="13" fillId="0" borderId="0" xfId="0" applyFont="1"/>
    <xf numFmtId="49" fontId="15" fillId="0" borderId="0" xfId="0" applyNumberFormat="1" applyFont="1" applyFill="1" applyAlignment="1">
      <alignment horizontal="left" vertical="top" wrapText="1"/>
    </xf>
    <xf numFmtId="0" fontId="17" fillId="0" borderId="0" xfId="1" applyFont="1" applyFill="1" applyBorder="1" applyAlignment="1">
      <alignment horizontal="center" wrapText="1"/>
    </xf>
    <xf numFmtId="0" fontId="13" fillId="0" borderId="0" xfId="1" applyFont="1" applyFill="1" applyAlignment="1">
      <alignment horizontal="center" vertical="top" wrapText="1"/>
    </xf>
    <xf numFmtId="0" fontId="13" fillId="0" borderId="0" xfId="0" applyFont="1" applyAlignment="1">
      <alignment horizontal="center" vertical="top" wrapText="1"/>
    </xf>
    <xf numFmtId="0" fontId="17" fillId="0" borderId="1" xfId="1" applyFont="1" applyFill="1" applyBorder="1" applyAlignment="1">
      <alignment horizontal="center"/>
    </xf>
    <xf numFmtId="0" fontId="17" fillId="0" borderId="1" xfId="1" applyFont="1" applyFill="1" applyBorder="1"/>
    <xf numFmtId="165" fontId="17" fillId="0" borderId="1" xfId="1" applyNumberFormat="1" applyFont="1" applyFill="1" applyBorder="1" applyAlignment="1">
      <alignment horizontal="center"/>
    </xf>
    <xf numFmtId="0" fontId="16" fillId="0" borderId="1" xfId="0" applyFont="1" applyBorder="1"/>
    <xf numFmtId="0" fontId="18" fillId="0" borderId="1" xfId="1" applyFont="1" applyFill="1" applyBorder="1" applyAlignment="1"/>
    <xf numFmtId="165" fontId="16" fillId="0" borderId="1" xfId="1" applyNumberFormat="1" applyFont="1" applyFill="1" applyBorder="1" applyAlignment="1">
      <alignment horizontal="center"/>
    </xf>
    <xf numFmtId="0" fontId="16" fillId="0" borderId="0" xfId="1" applyFont="1" applyFill="1"/>
    <xf numFmtId="0" fontId="16" fillId="0" borderId="0" xfId="0" applyFont="1"/>
    <xf numFmtId="0" fontId="12" fillId="0" borderId="0" xfId="1" applyFont="1" applyFill="1" applyAlignment="1">
      <alignment horizontal="center" vertical="center"/>
    </xf>
    <xf numFmtId="0" fontId="13" fillId="0" borderId="0" xfId="1" applyFont="1" applyFill="1" applyAlignment="1">
      <alignment horizontal="center" vertical="center"/>
    </xf>
    <xf numFmtId="0" fontId="13" fillId="0" borderId="0" xfId="0" applyFont="1" applyAlignment="1">
      <alignment horizontal="center" vertical="center"/>
    </xf>
    <xf numFmtId="0" fontId="1" fillId="0" borderId="1" xfId="0" applyNumberFormat="1" applyFont="1" applyBorder="1" applyAlignment="1">
      <alignment vertical="top" wrapText="1"/>
    </xf>
    <xf numFmtId="0" fontId="1" fillId="0" borderId="1" xfId="0" applyFont="1" applyBorder="1" applyAlignment="1">
      <alignment vertical="top" wrapText="1"/>
    </xf>
    <xf numFmtId="0" fontId="1" fillId="0" borderId="1" xfId="0" applyFont="1" applyFill="1" applyBorder="1" applyAlignment="1">
      <alignment horizontal="center" vertical="top"/>
    </xf>
    <xf numFmtId="0" fontId="1" fillId="0" borderId="0" xfId="0" applyFont="1" applyFill="1" applyAlignment="1">
      <alignment horizontal="center" vertical="top"/>
    </xf>
    <xf numFmtId="0" fontId="2" fillId="0" borderId="0" xfId="0" applyFont="1" applyAlignment="1">
      <alignment vertical="top"/>
    </xf>
    <xf numFmtId="0" fontId="2" fillId="0" borderId="0" xfId="0" applyFont="1" applyAlignment="1">
      <alignment vertical="top" wrapText="1"/>
    </xf>
    <xf numFmtId="0" fontId="9" fillId="0" borderId="0" xfId="0" applyFont="1" applyAlignment="1">
      <alignment vertical="top"/>
    </xf>
    <xf numFmtId="0" fontId="6" fillId="0" borderId="1" xfId="0" applyFont="1" applyBorder="1" applyAlignment="1">
      <alignment vertical="top" wrapText="1"/>
    </xf>
    <xf numFmtId="4" fontId="2" fillId="0" borderId="1" xfId="0" applyNumberFormat="1" applyFont="1" applyFill="1" applyBorder="1" applyAlignment="1">
      <alignment vertical="top"/>
    </xf>
    <xf numFmtId="0" fontId="2" fillId="0" borderId="0" xfId="0" applyFont="1" applyFill="1" applyAlignment="1">
      <alignment vertical="top"/>
    </xf>
    <xf numFmtId="4" fontId="6" fillId="0" borderId="1" xfId="0" applyNumberFormat="1" applyFont="1" applyFill="1" applyBorder="1" applyAlignment="1">
      <alignment vertical="top" wrapText="1"/>
    </xf>
    <xf numFmtId="49" fontId="1" fillId="0" borderId="0" xfId="0" applyNumberFormat="1" applyFont="1" applyFill="1" applyAlignment="1">
      <alignment horizontal="center" vertical="top"/>
    </xf>
    <xf numFmtId="49" fontId="1" fillId="0" borderId="0" xfId="0" applyNumberFormat="1" applyFont="1" applyFill="1" applyAlignment="1">
      <alignment vertical="top"/>
    </xf>
    <xf numFmtId="0" fontId="2" fillId="0" borderId="1" xfId="0" applyFont="1" applyFill="1" applyBorder="1" applyAlignment="1">
      <alignment horizontal="center" vertical="top"/>
    </xf>
    <xf numFmtId="49" fontId="2" fillId="0" borderId="1" xfId="0" applyNumberFormat="1" applyFont="1" applyFill="1" applyBorder="1" applyAlignment="1">
      <alignment horizontal="center" vertical="top"/>
    </xf>
    <xf numFmtId="0" fontId="2" fillId="0" borderId="1" xfId="0" applyFont="1" applyFill="1" applyBorder="1" applyAlignment="1">
      <alignment vertical="top"/>
    </xf>
    <xf numFmtId="0" fontId="10" fillId="0" borderId="0" xfId="0" applyFont="1" applyFill="1" applyAlignment="1">
      <alignment vertical="top"/>
    </xf>
    <xf numFmtId="0" fontId="2" fillId="0" borderId="0" xfId="0" applyFont="1" applyFill="1" applyAlignment="1">
      <alignment horizontal="center" vertical="top"/>
    </xf>
    <xf numFmtId="4" fontId="1" fillId="0" borderId="0" xfId="0" applyNumberFormat="1" applyFont="1" applyFill="1" applyBorder="1" applyAlignment="1">
      <alignment vertical="top"/>
    </xf>
    <xf numFmtId="0" fontId="6" fillId="0" borderId="1" xfId="0" applyFont="1" applyFill="1" applyBorder="1" applyAlignment="1">
      <alignment horizontal="center" vertical="top"/>
    </xf>
    <xf numFmtId="0" fontId="2" fillId="0" borderId="1" xfId="0" applyFont="1" applyFill="1" applyBorder="1" applyAlignment="1">
      <alignment horizontal="center" vertical="top" wrapText="1"/>
    </xf>
    <xf numFmtId="0" fontId="13" fillId="0" borderId="1" xfId="1" applyFont="1" applyFill="1" applyBorder="1" applyAlignment="1">
      <alignment horizontal="center" vertical="top" wrapText="1"/>
    </xf>
    <xf numFmtId="0" fontId="17" fillId="0" borderId="1" xfId="1" applyFont="1" applyFill="1" applyBorder="1" applyAlignment="1">
      <alignment horizontal="center" vertical="center"/>
    </xf>
    <xf numFmtId="0" fontId="17" fillId="0" borderId="1" xfId="1" applyFont="1" applyFill="1" applyBorder="1" applyAlignment="1">
      <alignment vertical="center"/>
    </xf>
    <xf numFmtId="165" fontId="17" fillId="0" borderId="1" xfId="1" applyNumberFormat="1" applyFont="1" applyFill="1" applyBorder="1" applyAlignment="1">
      <alignment horizontal="center" vertical="center"/>
    </xf>
    <xf numFmtId="0" fontId="13" fillId="0" borderId="0" xfId="1" applyFont="1" applyFill="1" applyAlignment="1">
      <alignment vertical="center"/>
    </xf>
    <xf numFmtId="0" fontId="13" fillId="0" borderId="0" xfId="0" applyFont="1" applyAlignment="1">
      <alignment vertical="center"/>
    </xf>
    <xf numFmtId="0" fontId="16" fillId="0" borderId="1" xfId="0" applyFont="1" applyBorder="1" applyAlignment="1">
      <alignment vertical="center"/>
    </xf>
    <xf numFmtId="0" fontId="18" fillId="0" borderId="1" xfId="1" applyFont="1" applyFill="1" applyBorder="1" applyAlignment="1">
      <alignment vertical="center"/>
    </xf>
    <xf numFmtId="165" fontId="16" fillId="0" borderId="1" xfId="1" applyNumberFormat="1" applyFont="1" applyFill="1" applyBorder="1" applyAlignment="1">
      <alignment horizontal="center" vertical="center"/>
    </xf>
    <xf numFmtId="0" fontId="16" fillId="0" borderId="0" xfId="1" applyFont="1" applyFill="1" applyAlignment="1">
      <alignment vertical="center"/>
    </xf>
    <xf numFmtId="0" fontId="16" fillId="0" borderId="0" xfId="0" applyFont="1" applyAlignment="1">
      <alignment vertical="center"/>
    </xf>
    <xf numFmtId="0" fontId="1" fillId="0" borderId="0" xfId="0" applyFont="1" applyFill="1" applyBorder="1" applyAlignment="1">
      <alignment vertical="top"/>
    </xf>
    <xf numFmtId="49" fontId="14" fillId="0" borderId="1" xfId="0" applyNumberFormat="1" applyFont="1" applyFill="1" applyBorder="1" applyAlignment="1">
      <alignment horizontal="center" vertical="top"/>
    </xf>
    <xf numFmtId="0" fontId="1" fillId="0" borderId="0" xfId="0" applyFont="1" applyFill="1" applyBorder="1" applyAlignment="1">
      <alignment horizontal="left" vertical="top" wrapText="1"/>
    </xf>
    <xf numFmtId="4" fontId="1" fillId="0" borderId="3" xfId="0" applyNumberFormat="1" applyFont="1" applyFill="1" applyBorder="1" applyAlignment="1">
      <alignment vertical="top"/>
    </xf>
    <xf numFmtId="49" fontId="13" fillId="0" borderId="1" xfId="0" applyNumberFormat="1" applyFont="1" applyFill="1" applyBorder="1" applyAlignment="1">
      <alignment horizontal="center" vertical="top" wrapText="1"/>
    </xf>
    <xf numFmtId="0" fontId="13" fillId="0" borderId="0" xfId="0" applyFont="1" applyFill="1" applyAlignment="1">
      <alignment vertical="top"/>
    </xf>
    <xf numFmtId="0" fontId="14" fillId="0" borderId="0" xfId="0" applyFont="1" applyFill="1" applyAlignment="1">
      <alignment vertical="top"/>
    </xf>
    <xf numFmtId="4" fontId="5" fillId="0" borderId="1" xfId="0" applyNumberFormat="1" applyFont="1" applyFill="1" applyBorder="1" applyAlignment="1">
      <alignment horizontal="right" vertical="top" wrapText="1"/>
    </xf>
    <xf numFmtId="49" fontId="1" fillId="0" borderId="3" xfId="0" applyNumberFormat="1" applyFont="1" applyFill="1" applyBorder="1" applyAlignment="1">
      <alignment horizontal="center" vertical="top"/>
    </xf>
    <xf numFmtId="49" fontId="1" fillId="0" borderId="3" xfId="0" applyNumberFormat="1" applyFont="1" applyFill="1" applyBorder="1" applyAlignment="1">
      <alignment horizontal="center" vertical="top" wrapText="1"/>
    </xf>
    <xf numFmtId="49" fontId="6" fillId="0" borderId="3" xfId="0" applyNumberFormat="1" applyFont="1" applyFill="1" applyBorder="1" applyAlignment="1">
      <alignment horizontal="center" vertical="top" wrapText="1"/>
    </xf>
    <xf numFmtId="0" fontId="3" fillId="0" borderId="1" xfId="0" applyFont="1" applyFill="1" applyBorder="1" applyAlignment="1">
      <alignment horizontal="center" vertical="top" wrapText="1"/>
    </xf>
    <xf numFmtId="4" fontId="3" fillId="0" borderId="1" xfId="0" applyNumberFormat="1" applyFont="1" applyFill="1" applyBorder="1" applyAlignment="1">
      <alignment horizontal="right" vertical="top" wrapText="1"/>
    </xf>
    <xf numFmtId="4" fontId="10" fillId="0" borderId="1" xfId="0" applyNumberFormat="1" applyFont="1" applyBorder="1" applyAlignment="1">
      <alignment vertical="top" wrapText="1"/>
    </xf>
    <xf numFmtId="0" fontId="2" fillId="0" borderId="0" xfId="0" applyFont="1" applyFill="1" applyBorder="1" applyAlignment="1">
      <alignment vertical="top"/>
    </xf>
    <xf numFmtId="0" fontId="6" fillId="0" borderId="1" xfId="0" applyFont="1" applyFill="1" applyBorder="1" applyAlignment="1">
      <alignment vertical="center" wrapText="1"/>
    </xf>
    <xf numFmtId="0" fontId="6"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xf>
    <xf numFmtId="4" fontId="6" fillId="0" borderId="1" xfId="0" applyNumberFormat="1" applyFont="1" applyFill="1" applyBorder="1" applyAlignment="1">
      <alignment vertical="center"/>
    </xf>
    <xf numFmtId="0" fontId="1" fillId="0" borderId="0" xfId="0" applyFont="1" applyFill="1" applyAlignment="1">
      <alignment vertical="center"/>
    </xf>
    <xf numFmtId="0" fontId="6" fillId="0" borderId="5" xfId="0" applyFont="1" applyFill="1" applyBorder="1" applyAlignment="1">
      <alignment horizontal="center" vertical="top" wrapText="1"/>
    </xf>
    <xf numFmtId="0" fontId="1" fillId="0" borderId="5" xfId="0" applyFont="1" applyFill="1" applyBorder="1" applyAlignment="1">
      <alignment horizontal="center" vertical="top" wrapText="1"/>
    </xf>
    <xf numFmtId="0" fontId="1" fillId="0" borderId="9" xfId="0" applyFont="1" applyFill="1" applyBorder="1" applyAlignment="1">
      <alignment horizontal="center" vertical="top" wrapText="1"/>
    </xf>
    <xf numFmtId="0" fontId="14" fillId="0" borderId="0" xfId="0" applyFont="1"/>
    <xf numFmtId="0" fontId="17" fillId="0" borderId="0" xfId="0" applyFont="1"/>
    <xf numFmtId="0" fontId="21" fillId="0" borderId="0" xfId="1" applyFont="1" applyFill="1"/>
    <xf numFmtId="0" fontId="16" fillId="0" borderId="0" xfId="1" applyFont="1" applyFill="1" applyBorder="1" applyAlignment="1">
      <alignment vertical="center" wrapText="1"/>
    </xf>
    <xf numFmtId="0" fontId="17" fillId="0" borderId="0" xfId="1" applyFont="1" applyFill="1"/>
    <xf numFmtId="0" fontId="16" fillId="0" borderId="0" xfId="1" applyFont="1" applyFill="1" applyBorder="1" applyAlignment="1">
      <alignment horizontal="center" wrapText="1"/>
    </xf>
    <xf numFmtId="0" fontId="16" fillId="0" borderId="0" xfId="1" applyFont="1" applyFill="1" applyBorder="1" applyAlignment="1">
      <alignment wrapText="1"/>
    </xf>
    <xf numFmtId="0" fontId="18" fillId="0" borderId="0" xfId="1" applyFont="1" applyFill="1" applyBorder="1" applyAlignment="1">
      <alignment horizontal="center"/>
    </xf>
    <xf numFmtId="166" fontId="18" fillId="0" borderId="0" xfId="1" applyNumberFormat="1" applyFont="1" applyFill="1" applyBorder="1"/>
    <xf numFmtId="0" fontId="23" fillId="0" borderId="0" xfId="0" applyFont="1"/>
    <xf numFmtId="0" fontId="13" fillId="0" borderId="1" xfId="0" applyFont="1" applyBorder="1" applyAlignment="1">
      <alignment vertical="center"/>
    </xf>
    <xf numFmtId="0" fontId="13" fillId="0" borderId="0" xfId="0" applyFont="1" applyFill="1" applyAlignment="1">
      <alignment horizontal="center" vertical="top"/>
    </xf>
    <xf numFmtId="0" fontId="13" fillId="0" borderId="0" xfId="0" applyFont="1" applyFill="1" applyAlignment="1">
      <alignment vertical="top" wrapText="1"/>
    </xf>
    <xf numFmtId="0" fontId="13" fillId="0" borderId="0" xfId="0" applyFont="1" applyFill="1"/>
    <xf numFmtId="0" fontId="13" fillId="0" borderId="0" xfId="0" applyFont="1" applyFill="1" applyAlignment="1">
      <alignment horizontal="center"/>
    </xf>
    <xf numFmtId="0" fontId="13" fillId="0" borderId="0" xfId="0" applyFont="1" applyFill="1" applyAlignment="1">
      <alignment horizontal="right"/>
    </xf>
    <xf numFmtId="164" fontId="13" fillId="0" borderId="1" xfId="0" applyNumberFormat="1" applyFont="1" applyFill="1" applyBorder="1" applyAlignment="1">
      <alignment horizontal="center" vertical="top" wrapText="1"/>
    </xf>
    <xf numFmtId="0" fontId="19" fillId="0" borderId="1" xfId="0" applyFont="1" applyFill="1" applyBorder="1" applyAlignment="1">
      <alignment horizontal="center" vertical="center" wrapText="1"/>
    </xf>
    <xf numFmtId="164" fontId="19" fillId="0" borderId="1" xfId="0" applyNumberFormat="1" applyFont="1" applyFill="1" applyBorder="1" applyAlignment="1">
      <alignment horizontal="center" vertical="center" wrapText="1"/>
    </xf>
    <xf numFmtId="0" fontId="19" fillId="0" borderId="0" xfId="0" applyFont="1" applyFill="1" applyAlignment="1">
      <alignment vertical="center"/>
    </xf>
    <xf numFmtId="167" fontId="13" fillId="0" borderId="0" xfId="0" applyNumberFormat="1" applyFont="1" applyFill="1" applyAlignment="1">
      <alignment vertical="top" wrapText="1"/>
    </xf>
    <xf numFmtId="0" fontId="24" fillId="0" borderId="0" xfId="0" applyFont="1" applyFill="1" applyAlignment="1">
      <alignment vertical="top" wrapText="1"/>
    </xf>
    <xf numFmtId="0" fontId="25" fillId="0" borderId="0" xfId="0" applyFont="1" applyFill="1" applyAlignment="1">
      <alignment vertical="top" wrapText="1"/>
    </xf>
    <xf numFmtId="49" fontId="6" fillId="0" borderId="1" xfId="0" applyNumberFormat="1" applyFont="1" applyFill="1" applyBorder="1" applyAlignment="1">
      <alignment horizontal="left" vertical="top" wrapText="1"/>
    </xf>
    <xf numFmtId="0" fontId="1" fillId="0" borderId="5" xfId="0" applyFont="1" applyFill="1" applyBorder="1" applyAlignment="1">
      <alignment vertical="top" wrapText="1"/>
    </xf>
    <xf numFmtId="0" fontId="1" fillId="0" borderId="7" xfId="0" applyFont="1" applyFill="1" applyBorder="1" applyAlignment="1">
      <alignment horizontal="center" vertical="top"/>
    </xf>
    <xf numFmtId="0" fontId="2" fillId="0" borderId="1" xfId="0" applyFont="1" applyBorder="1" applyAlignment="1">
      <alignment vertical="top"/>
    </xf>
    <xf numFmtId="0" fontId="13" fillId="0" borderId="0" xfId="0" applyFont="1" applyFill="1" applyAlignment="1">
      <alignment horizontal="center" vertical="top" wrapText="1"/>
    </xf>
    <xf numFmtId="4" fontId="10" fillId="0" borderId="1" xfId="0" applyNumberFormat="1" applyFont="1" applyFill="1" applyBorder="1" applyAlignment="1">
      <alignment vertical="top" wrapText="1"/>
    </xf>
    <xf numFmtId="0" fontId="1" fillId="0" borderId="1" xfId="0" applyFont="1" applyFill="1" applyBorder="1" applyAlignment="1">
      <alignment horizontal="center" wrapText="1"/>
    </xf>
    <xf numFmtId="0" fontId="1" fillId="0" borderId="0" xfId="0" applyFont="1" applyFill="1" applyAlignment="1">
      <alignment wrapText="1"/>
    </xf>
    <xf numFmtId="0" fontId="1" fillId="0" borderId="1" xfId="0" applyFont="1" applyFill="1" applyBorder="1" applyAlignment="1">
      <alignment wrapText="1"/>
    </xf>
    <xf numFmtId="49" fontId="1" fillId="0" borderId="4" xfId="0" applyNumberFormat="1" applyFont="1" applyFill="1" applyBorder="1" applyAlignment="1">
      <alignment vertical="top"/>
    </xf>
    <xf numFmtId="49" fontId="1" fillId="0" borderId="4" xfId="0" applyNumberFormat="1" applyFont="1" applyFill="1" applyBorder="1" applyAlignment="1">
      <alignment horizontal="center" vertical="top"/>
    </xf>
    <xf numFmtId="49" fontId="14" fillId="0" borderId="0" xfId="0" applyNumberFormat="1" applyFont="1" applyFill="1" applyAlignment="1">
      <alignment vertical="top" wrapText="1"/>
    </xf>
    <xf numFmtId="0" fontId="14" fillId="0" borderId="0" xfId="0" applyFont="1" applyFill="1" applyAlignment="1">
      <alignment horizontal="center" vertical="top" wrapText="1"/>
    </xf>
    <xf numFmtId="0" fontId="23" fillId="0" borderId="0" xfId="0" applyFont="1" applyAlignment="1">
      <alignment horizontal="center"/>
    </xf>
    <xf numFmtId="4" fontId="2" fillId="0" borderId="0" xfId="0" applyNumberFormat="1" applyFont="1" applyFill="1" applyAlignment="1">
      <alignment vertical="top"/>
    </xf>
    <xf numFmtId="0" fontId="1" fillId="0" borderId="1" xfId="0" applyFont="1" applyFill="1" applyBorder="1" applyAlignment="1">
      <alignment horizontal="right" vertical="top"/>
    </xf>
    <xf numFmtId="0" fontId="1" fillId="0" borderId="1" xfId="0" applyFont="1" applyBorder="1" applyAlignment="1">
      <alignment horizontal="right" vertical="top"/>
    </xf>
    <xf numFmtId="0" fontId="6" fillId="0" borderId="1" xfId="0" applyFont="1" applyBorder="1" applyAlignment="1">
      <alignment horizontal="right" vertical="top"/>
    </xf>
    <xf numFmtId="0" fontId="1" fillId="0" borderId="1" xfId="0" applyFont="1" applyBorder="1" applyAlignment="1">
      <alignment horizontal="left" vertical="top" wrapText="1"/>
    </xf>
    <xf numFmtId="4" fontId="6" fillId="0" borderId="1" xfId="0" applyNumberFormat="1" applyFont="1" applyFill="1" applyBorder="1" applyAlignment="1">
      <alignment vertical="center" wrapText="1"/>
    </xf>
    <xf numFmtId="0" fontId="9" fillId="0" borderId="0" xfId="0" applyFont="1" applyAlignment="1">
      <alignment vertical="center"/>
    </xf>
    <xf numFmtId="49" fontId="1" fillId="0" borderId="0" xfId="0" applyNumberFormat="1" applyFont="1" applyFill="1" applyAlignment="1">
      <alignment vertical="center"/>
    </xf>
    <xf numFmtId="0" fontId="5" fillId="0" borderId="1" xfId="0" applyFont="1" applyFill="1" applyBorder="1" applyAlignment="1">
      <alignment vertical="top"/>
    </xf>
    <xf numFmtId="49" fontId="14" fillId="4" borderId="1" xfId="0" applyNumberFormat="1" applyFont="1" applyFill="1" applyBorder="1" applyAlignment="1">
      <alignment horizontal="center" vertical="top"/>
    </xf>
    <xf numFmtId="49" fontId="1" fillId="4" borderId="1" xfId="0" applyNumberFormat="1" applyFont="1" applyFill="1" applyBorder="1" applyAlignment="1">
      <alignment horizontal="center" vertical="top"/>
    </xf>
    <xf numFmtId="0" fontId="13" fillId="0" borderId="1" xfId="1" applyFont="1" applyFill="1" applyBorder="1" applyAlignment="1">
      <alignment horizontal="center" vertical="top" wrapText="1"/>
    </xf>
    <xf numFmtId="0" fontId="6" fillId="0" borderId="9" xfId="0" applyFont="1" applyFill="1" applyBorder="1" applyAlignment="1">
      <alignment horizontal="center" vertical="top" wrapText="1"/>
    </xf>
    <xf numFmtId="4" fontId="6" fillId="0" borderId="3" xfId="0" applyNumberFormat="1" applyFont="1" applyFill="1" applyBorder="1" applyAlignment="1">
      <alignment vertical="top"/>
    </xf>
    <xf numFmtId="4" fontId="1" fillId="0" borderId="3" xfId="0" applyNumberFormat="1" applyFont="1" applyFill="1" applyBorder="1" applyAlignment="1">
      <alignment vertical="top" wrapText="1"/>
    </xf>
    <xf numFmtId="4" fontId="3" fillId="0" borderId="9" xfId="0" applyNumberFormat="1" applyFont="1" applyFill="1" applyBorder="1" applyAlignment="1">
      <alignment horizontal="right" vertical="top" wrapText="1"/>
    </xf>
    <xf numFmtId="0" fontId="13" fillId="0" borderId="10" xfId="1" applyFont="1" applyFill="1" applyBorder="1" applyAlignment="1">
      <alignment horizontal="center" vertical="top" wrapText="1"/>
    </xf>
    <xf numFmtId="0" fontId="6" fillId="0" borderId="0" xfId="0" applyFont="1" applyFill="1" applyAlignment="1">
      <alignment horizontal="center" vertical="top"/>
    </xf>
    <xf numFmtId="0" fontId="1" fillId="0" borderId="5" xfId="0" applyFont="1" applyFill="1" applyBorder="1" applyAlignment="1">
      <alignment horizontal="left" vertical="top" wrapText="1"/>
    </xf>
    <xf numFmtId="4" fontId="2" fillId="0" borderId="0" xfId="0" applyNumberFormat="1" applyFont="1" applyAlignment="1">
      <alignment vertical="top"/>
    </xf>
    <xf numFmtId="49" fontId="1" fillId="0" borderId="1" xfId="0" applyNumberFormat="1" applyFont="1" applyFill="1" applyBorder="1" applyAlignment="1">
      <alignment vertical="top"/>
    </xf>
    <xf numFmtId="0" fontId="1" fillId="0" borderId="1" xfId="0" applyFont="1" applyFill="1" applyBorder="1" applyAlignment="1">
      <alignment horizontal="center" vertical="top" wrapText="1"/>
    </xf>
    <xf numFmtId="0" fontId="1" fillId="0" borderId="1" xfId="0" applyFont="1" applyFill="1" applyBorder="1" applyAlignment="1">
      <alignment horizontal="left" vertical="center" wrapText="1"/>
    </xf>
    <xf numFmtId="0" fontId="3" fillId="0" borderId="1" xfId="0" applyFont="1" applyFill="1" applyBorder="1" applyAlignment="1">
      <alignment vertical="top" wrapText="1"/>
    </xf>
    <xf numFmtId="0" fontId="1" fillId="0" borderId="4" xfId="0" applyFont="1" applyFill="1" applyBorder="1" applyAlignment="1">
      <alignment horizontal="center" vertical="top"/>
    </xf>
    <xf numFmtId="49" fontId="26" fillId="0" borderId="1" xfId="0" applyNumberFormat="1" applyFont="1" applyFill="1" applyBorder="1" applyAlignment="1">
      <alignment horizontal="center" vertical="top"/>
    </xf>
    <xf numFmtId="164" fontId="6" fillId="0" borderId="1" xfId="0" applyNumberFormat="1" applyFont="1" applyFill="1" applyBorder="1" applyAlignment="1">
      <alignment vertical="top"/>
    </xf>
    <xf numFmtId="0" fontId="1" fillId="0" borderId="0" xfId="0" applyFont="1" applyFill="1" applyAlignment="1">
      <alignment horizontal="right" vertical="top"/>
    </xf>
    <xf numFmtId="0" fontId="27" fillId="0" borderId="1" xfId="0" applyFont="1" applyFill="1" applyBorder="1" applyAlignment="1">
      <alignment horizontal="center" vertical="top" wrapText="1"/>
    </xf>
    <xf numFmtId="0" fontId="19" fillId="0" borderId="1" xfId="0" applyFont="1" applyFill="1" applyBorder="1" applyAlignment="1">
      <alignment horizontal="center" vertical="top" wrapText="1"/>
    </xf>
    <xf numFmtId="0" fontId="19" fillId="0" borderId="1" xfId="0" applyFont="1" applyFill="1" applyBorder="1" applyAlignment="1">
      <alignment vertical="top" wrapText="1"/>
    </xf>
    <xf numFmtId="49" fontId="1" fillId="2" borderId="10" xfId="0" applyNumberFormat="1" applyFont="1" applyFill="1" applyBorder="1" applyAlignment="1">
      <alignment horizontal="center" vertical="top" wrapText="1" shrinkToFit="1"/>
    </xf>
    <xf numFmtId="0" fontId="1" fillId="0" borderId="1" xfId="0" applyFont="1" applyBorder="1" applyAlignment="1">
      <alignment horizontal="center" vertical="top" wrapText="1"/>
    </xf>
    <xf numFmtId="0" fontId="6" fillId="0" borderId="1" xfId="0" applyFont="1" applyBorder="1" applyAlignment="1">
      <alignment vertical="top"/>
    </xf>
    <xf numFmtId="4" fontId="6" fillId="0" borderId="1" xfId="0" applyNumberFormat="1" applyFont="1" applyBorder="1" applyAlignment="1">
      <alignment vertical="top"/>
    </xf>
    <xf numFmtId="0" fontId="1" fillId="0" borderId="0" xfId="0" applyFont="1" applyAlignment="1">
      <alignment vertical="top"/>
    </xf>
    <xf numFmtId="4" fontId="1" fillId="2" borderId="1" xfId="0" applyNumberFormat="1" applyFont="1" applyFill="1" applyBorder="1" applyAlignment="1">
      <alignment vertical="top"/>
    </xf>
    <xf numFmtId="4" fontId="1" fillId="0" borderId="1" xfId="0" applyNumberFormat="1" applyFont="1" applyBorder="1" applyAlignment="1">
      <alignment vertical="top"/>
    </xf>
    <xf numFmtId="4" fontId="6" fillId="2" borderId="1" xfId="0" applyNumberFormat="1" applyFont="1" applyFill="1" applyBorder="1" applyAlignment="1">
      <alignment vertical="top" wrapText="1"/>
    </xf>
    <xf numFmtId="4" fontId="1" fillId="2" borderId="1" xfId="0" applyNumberFormat="1" applyFont="1" applyFill="1" applyBorder="1" applyAlignment="1">
      <alignment vertical="top" wrapText="1"/>
    </xf>
    <xf numFmtId="4" fontId="1" fillId="0" borderId="1" xfId="0" applyNumberFormat="1" applyFont="1" applyBorder="1" applyAlignment="1">
      <alignment vertical="top" wrapText="1"/>
    </xf>
    <xf numFmtId="4" fontId="6" fillId="0" borderId="1" xfId="0" applyNumberFormat="1" applyFont="1" applyBorder="1" applyAlignment="1">
      <alignment vertical="top" wrapText="1"/>
    </xf>
    <xf numFmtId="0" fontId="19" fillId="0" borderId="0" xfId="0" applyFont="1" applyFill="1" applyBorder="1" applyAlignment="1">
      <alignment wrapText="1"/>
    </xf>
    <xf numFmtId="168" fontId="2" fillId="0" borderId="0" xfId="0" applyNumberFormat="1" applyFont="1" applyAlignment="1">
      <alignment vertical="top"/>
    </xf>
    <xf numFmtId="0" fontId="4" fillId="0" borderId="1" xfId="0" applyFont="1" applyFill="1" applyBorder="1" applyAlignment="1">
      <alignment vertical="top" wrapText="1"/>
    </xf>
    <xf numFmtId="0" fontId="4" fillId="0" borderId="1" xfId="0" applyFont="1" applyFill="1" applyBorder="1" applyAlignment="1">
      <alignment horizontal="center" vertical="top" wrapText="1"/>
    </xf>
    <xf numFmtId="0" fontId="2" fillId="5" borderId="1" xfId="0" applyFont="1" applyFill="1" applyBorder="1" applyAlignment="1">
      <alignment horizontal="center" vertical="top" wrapText="1"/>
    </xf>
    <xf numFmtId="0" fontId="1" fillId="5" borderId="1" xfId="0" applyFont="1" applyFill="1" applyBorder="1" applyAlignment="1">
      <alignment horizontal="center" vertical="top" wrapText="1"/>
    </xf>
    <xf numFmtId="0" fontId="2" fillId="6" borderId="1" xfId="0" applyFont="1" applyFill="1" applyBorder="1" applyAlignment="1">
      <alignment horizontal="center" vertical="top" wrapText="1"/>
    </xf>
    <xf numFmtId="0" fontId="1" fillId="6" borderId="1" xfId="0" applyFont="1" applyFill="1" applyBorder="1" applyAlignment="1">
      <alignment horizontal="center" vertical="top" wrapText="1"/>
    </xf>
    <xf numFmtId="49" fontId="1" fillId="0" borderId="0" xfId="0" applyNumberFormat="1" applyFont="1" applyFill="1" applyBorder="1" applyAlignment="1">
      <alignment horizontal="center" vertical="top"/>
    </xf>
    <xf numFmtId="49" fontId="1" fillId="0" borderId="0" xfId="0" applyNumberFormat="1" applyFont="1" applyFill="1" applyBorder="1" applyAlignment="1">
      <alignment horizontal="center" vertical="top" wrapText="1"/>
    </xf>
    <xf numFmtId="0" fontId="3" fillId="0" borderId="0" xfId="0" applyFont="1" applyFill="1" applyBorder="1" applyAlignment="1">
      <alignment horizontal="center" vertical="top" wrapText="1"/>
    </xf>
    <xf numFmtId="0" fontId="10" fillId="0" borderId="1" xfId="0" applyFont="1" applyFill="1" applyBorder="1" applyAlignment="1">
      <alignment vertical="top"/>
    </xf>
    <xf numFmtId="49" fontId="10" fillId="0" borderId="1" xfId="0" applyNumberFormat="1" applyFont="1" applyFill="1" applyBorder="1" applyAlignment="1">
      <alignment horizontal="center" vertical="top"/>
    </xf>
    <xf numFmtId="49" fontId="10" fillId="0" borderId="1" xfId="0" applyNumberFormat="1" applyFont="1" applyFill="1" applyBorder="1" applyAlignment="1">
      <alignment vertical="top"/>
    </xf>
    <xf numFmtId="49" fontId="2" fillId="0" borderId="1" xfId="0" applyNumberFormat="1" applyFont="1" applyFill="1" applyBorder="1" applyAlignment="1">
      <alignment vertical="top"/>
    </xf>
    <xf numFmtId="4" fontId="13" fillId="0" borderId="0" xfId="0" quotePrefix="1" applyNumberFormat="1" applyFont="1" applyFill="1" applyAlignment="1">
      <alignment vertical="top" wrapText="1"/>
    </xf>
    <xf numFmtId="4" fontId="13" fillId="0" borderId="0" xfId="0" applyNumberFormat="1" applyFont="1" applyFill="1" applyAlignment="1">
      <alignment vertical="top" wrapText="1"/>
    </xf>
    <xf numFmtId="0" fontId="6" fillId="0" borderId="11" xfId="0" applyFont="1" applyFill="1" applyBorder="1" applyAlignment="1">
      <alignment horizontal="center" vertical="top" wrapText="1"/>
    </xf>
    <xf numFmtId="0" fontId="6" fillId="0" borderId="12" xfId="0" applyFont="1" applyFill="1" applyBorder="1" applyAlignment="1">
      <alignment vertical="top" wrapText="1"/>
    </xf>
    <xf numFmtId="49" fontId="13" fillId="0" borderId="1" xfId="0" applyNumberFormat="1" applyFont="1" applyFill="1" applyBorder="1" applyAlignment="1">
      <alignment horizontal="center" vertical="top"/>
    </xf>
    <xf numFmtId="0" fontId="13" fillId="0" borderId="0" xfId="1" applyFont="1" applyFill="1" applyBorder="1" applyAlignment="1">
      <alignment horizontal="center" wrapText="1"/>
    </xf>
    <xf numFmtId="0" fontId="13" fillId="0" borderId="1" xfId="1" applyFont="1" applyFill="1" applyBorder="1" applyAlignment="1">
      <alignment vertical="center"/>
    </xf>
    <xf numFmtId="165" fontId="13" fillId="0" borderId="1" xfId="1" applyNumberFormat="1" applyFont="1" applyFill="1" applyBorder="1" applyAlignment="1">
      <alignment horizontal="center" vertical="center"/>
    </xf>
    <xf numFmtId="0" fontId="13" fillId="0" borderId="1" xfId="1" applyFont="1" applyFill="1" applyBorder="1" applyAlignment="1">
      <alignment horizontal="center" vertical="center"/>
    </xf>
    <xf numFmtId="0" fontId="19" fillId="0" borderId="1" xfId="0" applyFont="1" applyBorder="1" applyAlignment="1">
      <alignment vertical="center"/>
    </xf>
    <xf numFmtId="0" fontId="28" fillId="0" borderId="1" xfId="1" applyFont="1" applyFill="1" applyBorder="1" applyAlignment="1">
      <alignment vertical="center"/>
    </xf>
    <xf numFmtId="165" fontId="19" fillId="0" borderId="1" xfId="1" applyNumberFormat="1" applyFont="1" applyFill="1" applyBorder="1" applyAlignment="1">
      <alignment horizontal="center" vertical="center"/>
    </xf>
    <xf numFmtId="0" fontId="19" fillId="0" borderId="0" xfId="0" applyFont="1" applyAlignment="1">
      <alignment vertical="center"/>
    </xf>
    <xf numFmtId="0" fontId="13" fillId="0" borderId="1" xfId="0" applyFont="1" applyFill="1" applyBorder="1" applyAlignment="1">
      <alignment horizontal="center" vertical="top" wrapText="1"/>
    </xf>
    <xf numFmtId="0" fontId="1" fillId="0" borderId="8" xfId="0" applyFont="1" applyFill="1" applyBorder="1" applyAlignment="1">
      <alignment vertical="top"/>
    </xf>
    <xf numFmtId="0" fontId="1" fillId="0" borderId="11" xfId="0" applyFont="1" applyFill="1" applyBorder="1" applyAlignment="1">
      <alignment horizontal="left" vertical="top" wrapText="1"/>
    </xf>
    <xf numFmtId="4" fontId="2" fillId="3" borderId="1" xfId="0" applyNumberFormat="1" applyFont="1" applyFill="1" applyBorder="1" applyAlignment="1">
      <alignment vertical="top"/>
    </xf>
    <xf numFmtId="4" fontId="13" fillId="0" borderId="1" xfId="0" applyNumberFormat="1" applyFont="1" applyFill="1" applyBorder="1" applyAlignment="1">
      <alignment horizontal="center" vertical="top" wrapText="1"/>
    </xf>
    <xf numFmtId="4" fontId="19" fillId="0" borderId="1" xfId="0" applyNumberFormat="1" applyFont="1" applyFill="1" applyBorder="1" applyAlignment="1">
      <alignment horizontal="center" vertical="center" wrapText="1"/>
    </xf>
    <xf numFmtId="0" fontId="13" fillId="0" borderId="1" xfId="0" applyFont="1" applyBorder="1" applyAlignment="1">
      <alignment horizontal="center" vertical="top" wrapText="1"/>
    </xf>
    <xf numFmtId="0" fontId="13" fillId="0" borderId="1" xfId="1" applyFont="1" applyFill="1" applyBorder="1" applyAlignment="1">
      <alignment horizontal="center" vertical="top" wrapText="1"/>
    </xf>
    <xf numFmtId="0" fontId="14" fillId="0" borderId="0" xfId="0" applyFont="1" applyFill="1" applyBorder="1" applyAlignment="1">
      <alignment horizontal="center" wrapText="1"/>
    </xf>
    <xf numFmtId="4" fontId="14" fillId="0" borderId="0" xfId="0" applyNumberFormat="1" applyFont="1" applyFill="1" applyBorder="1" applyAlignment="1">
      <alignment horizontal="center" wrapText="1"/>
    </xf>
    <xf numFmtId="0" fontId="14" fillId="0" borderId="0" xfId="0" applyFont="1" applyFill="1" applyBorder="1" applyAlignment="1">
      <alignment wrapText="1"/>
    </xf>
    <xf numFmtId="0" fontId="23" fillId="0" borderId="0" xfId="0" applyFont="1" applyFill="1" applyAlignment="1">
      <alignment horizontal="left"/>
    </xf>
    <xf numFmtId="0" fontId="29" fillId="0" borderId="0" xfId="0" applyFont="1" applyFill="1" applyAlignment="1">
      <alignment vertical="top"/>
    </xf>
    <xf numFmtId="0" fontId="29" fillId="0" borderId="0" xfId="0" applyFont="1" applyFill="1"/>
    <xf numFmtId="0" fontId="29" fillId="0" borderId="0" xfId="0" applyFont="1" applyFill="1" applyAlignment="1">
      <alignment horizontal="center"/>
    </xf>
    <xf numFmtId="49" fontId="1" fillId="0" borderId="0" xfId="0" applyNumberFormat="1" applyFont="1" applyFill="1" applyBorder="1" applyAlignment="1">
      <alignment vertical="top" wrapText="1"/>
    </xf>
    <xf numFmtId="0" fontId="13" fillId="0" borderId="0" xfId="0" applyFont="1" applyAlignment="1"/>
    <xf numFmtId="2" fontId="13" fillId="0" borderId="1" xfId="0" applyNumberFormat="1" applyFont="1" applyBorder="1" applyAlignment="1">
      <alignment horizontal="center" vertical="center"/>
    </xf>
    <xf numFmtId="165" fontId="13" fillId="0" borderId="1" xfId="0" applyNumberFormat="1" applyFont="1" applyBorder="1" applyAlignment="1">
      <alignment horizontal="center" vertical="center"/>
    </xf>
    <xf numFmtId="0" fontId="2" fillId="0" borderId="0" xfId="0" applyFont="1" applyFill="1" applyBorder="1" applyAlignment="1">
      <alignment horizontal="center" vertical="top"/>
    </xf>
    <xf numFmtId="0" fontId="6" fillId="0" borderId="1" xfId="0" applyFont="1" applyFill="1" applyBorder="1" applyAlignment="1">
      <alignment vertical="top" wrapText="1"/>
    </xf>
    <xf numFmtId="0" fontId="14" fillId="0" borderId="0" xfId="0" applyFont="1" applyFill="1" applyAlignment="1">
      <alignment vertical="top" wrapText="1"/>
    </xf>
    <xf numFmtId="49" fontId="14" fillId="0" borderId="0" xfId="0" applyNumberFormat="1" applyFont="1" applyFill="1" applyAlignment="1">
      <alignment horizontal="left" vertical="top" wrapText="1"/>
    </xf>
    <xf numFmtId="0" fontId="5" fillId="0" borderId="3" xfId="0" applyFont="1" applyFill="1" applyBorder="1" applyAlignment="1">
      <alignment horizontal="left" vertical="top" wrapText="1"/>
    </xf>
    <xf numFmtId="0" fontId="1" fillId="0" borderId="1" xfId="0" applyFont="1" applyFill="1" applyBorder="1" applyAlignment="1">
      <alignment vertical="top" wrapText="1"/>
    </xf>
    <xf numFmtId="0" fontId="14" fillId="0" borderId="1" xfId="0" applyFont="1" applyFill="1" applyBorder="1" applyAlignment="1">
      <alignment horizontal="center" vertical="top" wrapText="1"/>
    </xf>
    <xf numFmtId="0" fontId="4" fillId="0" borderId="1" xfId="0" applyFont="1" applyFill="1" applyBorder="1" applyAlignment="1">
      <alignment horizontal="left" vertical="top" wrapText="1"/>
    </xf>
    <xf numFmtId="0" fontId="14" fillId="0" borderId="0" xfId="0" applyFont="1" applyFill="1" applyAlignment="1">
      <alignment vertical="top" wrapText="1"/>
    </xf>
    <xf numFmtId="0" fontId="14" fillId="0" borderId="0" xfId="0" applyFont="1" applyAlignment="1">
      <alignment horizontal="left" vertical="top" wrapText="1"/>
    </xf>
    <xf numFmtId="0" fontId="13" fillId="0" borderId="1" xfId="0" applyFont="1" applyFill="1" applyBorder="1" applyAlignment="1">
      <alignment vertical="top" wrapText="1"/>
    </xf>
    <xf numFmtId="3" fontId="1" fillId="0" borderId="0" xfId="0" applyNumberFormat="1" applyFont="1" applyAlignment="1">
      <alignment vertical="top"/>
    </xf>
    <xf numFmtId="3" fontId="6" fillId="0" borderId="1" xfId="0" applyNumberFormat="1" applyFont="1" applyBorder="1" applyAlignment="1">
      <alignment vertical="top"/>
    </xf>
    <xf numFmtId="3" fontId="1" fillId="0" borderId="0" xfId="0" applyNumberFormat="1" applyFont="1" applyFill="1" applyAlignment="1">
      <alignment vertical="top"/>
    </xf>
    <xf numFmtId="3" fontId="1" fillId="0" borderId="1" xfId="0" applyNumberFormat="1" applyFont="1" applyFill="1" applyBorder="1" applyAlignment="1">
      <alignment vertical="top"/>
    </xf>
    <xf numFmtId="3" fontId="1" fillId="0" borderId="1" xfId="0" applyNumberFormat="1" applyFont="1" applyFill="1" applyBorder="1" applyAlignment="1">
      <alignment vertical="top" wrapText="1"/>
    </xf>
    <xf numFmtId="3" fontId="1" fillId="2" borderId="1" xfId="0" applyNumberFormat="1" applyFont="1" applyFill="1" applyBorder="1" applyAlignment="1">
      <alignment vertical="top"/>
    </xf>
    <xf numFmtId="3" fontId="1" fillId="0" borderId="1" xfId="0" applyNumberFormat="1" applyFont="1" applyBorder="1" applyAlignment="1">
      <alignment vertical="top"/>
    </xf>
    <xf numFmtId="3" fontId="6" fillId="0" borderId="1" xfId="0" applyNumberFormat="1" applyFont="1" applyFill="1" applyBorder="1" applyAlignment="1">
      <alignment vertical="top"/>
    </xf>
    <xf numFmtId="4" fontId="6" fillId="2" borderId="1" xfId="0" applyNumberFormat="1" applyFont="1" applyFill="1" applyBorder="1" applyAlignment="1">
      <alignment vertical="top"/>
    </xf>
    <xf numFmtId="0" fontId="6" fillId="0" borderId="0" xfId="0" applyFont="1" applyAlignment="1">
      <alignment vertical="top"/>
    </xf>
    <xf numFmtId="3" fontId="6" fillId="0" borderId="0" xfId="0" applyNumberFormat="1" applyFont="1" applyAlignment="1">
      <alignment vertical="top"/>
    </xf>
    <xf numFmtId="3" fontId="6" fillId="2" borderId="1" xfId="0" applyNumberFormat="1" applyFont="1" applyFill="1" applyBorder="1" applyAlignment="1">
      <alignment vertical="top"/>
    </xf>
    <xf numFmtId="3" fontId="6" fillId="0" borderId="1" xfId="0" applyNumberFormat="1" applyFont="1" applyFill="1" applyBorder="1" applyAlignment="1">
      <alignment vertical="top" wrapText="1"/>
    </xf>
    <xf numFmtId="0" fontId="2" fillId="0" borderId="1" xfId="0" applyFont="1" applyBorder="1" applyAlignment="1">
      <alignment horizontal="justify" vertical="top" wrapText="1"/>
    </xf>
    <xf numFmtId="3" fontId="6" fillId="2" borderId="1" xfId="0" applyNumberFormat="1" applyFont="1" applyFill="1" applyBorder="1" applyAlignment="1">
      <alignment vertical="top" wrapText="1"/>
    </xf>
    <xf numFmtId="3" fontId="1" fillId="2" borderId="1" xfId="0" applyNumberFormat="1" applyFont="1" applyFill="1" applyBorder="1" applyAlignment="1">
      <alignment vertical="top" wrapText="1"/>
    </xf>
    <xf numFmtId="3" fontId="1" fillId="0" borderId="1" xfId="0" applyNumberFormat="1" applyFont="1" applyBorder="1" applyAlignment="1">
      <alignment vertical="top" wrapText="1"/>
    </xf>
    <xf numFmtId="0" fontId="2" fillId="0" borderId="1" xfId="0" applyFont="1" applyBorder="1" applyAlignment="1">
      <alignment horizontal="center" vertical="top" wrapText="1"/>
    </xf>
    <xf numFmtId="0" fontId="1" fillId="0" borderId="8" xfId="0" applyFont="1" applyBorder="1" applyAlignment="1">
      <alignment horizontal="right" vertical="top"/>
    </xf>
    <xf numFmtId="0" fontId="1" fillId="0" borderId="8" xfId="0" applyFont="1" applyBorder="1" applyAlignment="1">
      <alignment vertical="top" wrapText="1"/>
    </xf>
    <xf numFmtId="0" fontId="1" fillId="0" borderId="10" xfId="0" applyFont="1" applyBorder="1" applyAlignment="1">
      <alignment horizontal="right" vertical="top"/>
    </xf>
    <xf numFmtId="0" fontId="1" fillId="0" borderId="10" xfId="0" applyFont="1" applyBorder="1" applyAlignment="1">
      <alignment vertical="top" wrapText="1"/>
    </xf>
    <xf numFmtId="0" fontId="2" fillId="0" borderId="8" xfId="0" applyFont="1" applyBorder="1" applyAlignment="1">
      <alignment horizontal="center" vertical="top" wrapText="1"/>
    </xf>
    <xf numFmtId="0" fontId="2" fillId="0" borderId="8" xfId="0" applyFont="1" applyBorder="1" applyAlignment="1">
      <alignment horizontal="justify" vertical="top" wrapText="1"/>
    </xf>
    <xf numFmtId="0" fontId="9" fillId="0" borderId="0" xfId="0" applyFont="1" applyFill="1" applyAlignment="1">
      <alignment vertical="top"/>
    </xf>
    <xf numFmtId="4" fontId="9" fillId="0" borderId="0" xfId="0" applyNumberFormat="1" applyFont="1" applyFill="1" applyAlignment="1">
      <alignment vertical="top"/>
    </xf>
    <xf numFmtId="4" fontId="4" fillId="0" borderId="1" xfId="0" applyNumberFormat="1" applyFont="1" applyFill="1" applyBorder="1" applyAlignment="1">
      <alignment vertical="top"/>
    </xf>
    <xf numFmtId="2" fontId="1" fillId="0" borderId="1" xfId="0" applyNumberFormat="1" applyFont="1" applyFill="1" applyBorder="1" applyAlignment="1">
      <alignment vertical="top"/>
    </xf>
    <xf numFmtId="0" fontId="1" fillId="0" borderId="13" xfId="0" applyFont="1" applyFill="1" applyBorder="1" applyAlignment="1">
      <alignment horizontal="left" vertical="top" wrapText="1"/>
    </xf>
    <xf numFmtId="0" fontId="13" fillId="0" borderId="1" xfId="1" applyFont="1" applyFill="1" applyBorder="1" applyAlignment="1">
      <alignment horizontal="center" vertical="center" wrapText="1"/>
    </xf>
    <xf numFmtId="2" fontId="13" fillId="0" borderId="0" xfId="0" applyNumberFormat="1" applyFont="1" applyAlignment="1">
      <alignment vertical="center"/>
    </xf>
    <xf numFmtId="165" fontId="13" fillId="0" borderId="0" xfId="0" applyNumberFormat="1" applyFont="1" applyAlignment="1">
      <alignment vertical="center"/>
    </xf>
    <xf numFmtId="0" fontId="13" fillId="0" borderId="1" xfId="0" applyFont="1" applyBorder="1" applyAlignment="1">
      <alignment horizontal="center" vertical="center"/>
    </xf>
    <xf numFmtId="0" fontId="31" fillId="0" borderId="0" xfId="0" applyFont="1"/>
    <xf numFmtId="0" fontId="29" fillId="0" borderId="0" xfId="0" applyFont="1" applyFill="1" applyAlignment="1">
      <alignment horizontal="left"/>
    </xf>
    <xf numFmtId="0" fontId="30" fillId="0" borderId="0" xfId="0" applyFont="1" applyFill="1" applyAlignment="1">
      <alignment horizontal="left"/>
    </xf>
    <xf numFmtId="0" fontId="23" fillId="0" borderId="0" xfId="0" applyFont="1" applyAlignment="1">
      <alignment horizontal="left"/>
    </xf>
    <xf numFmtId="0" fontId="13" fillId="0" borderId="0" xfId="0" applyFont="1" applyFill="1" applyAlignment="1">
      <alignment horizontal="left" vertical="top"/>
    </xf>
    <xf numFmtId="0" fontId="1" fillId="0" borderId="0" xfId="0" applyFont="1" applyFill="1" applyAlignment="1">
      <alignment horizontal="left" vertical="top"/>
    </xf>
    <xf numFmtId="0" fontId="1" fillId="0" borderId="1" xfId="0" applyFont="1" applyFill="1" applyBorder="1" applyAlignment="1">
      <alignment horizontal="left" vertical="top" wrapText="1"/>
    </xf>
    <xf numFmtId="0" fontId="5" fillId="0" borderId="1" xfId="0" applyFont="1" applyFill="1" applyBorder="1" applyAlignment="1">
      <alignment horizontal="left" vertical="top" wrapText="1"/>
    </xf>
    <xf numFmtId="0" fontId="14" fillId="0" borderId="1" xfId="0" applyFont="1" applyFill="1" applyBorder="1" applyAlignment="1">
      <alignment horizontal="center" vertical="top" wrapText="1"/>
    </xf>
    <xf numFmtId="0" fontId="5" fillId="0" borderId="3" xfId="0" applyFont="1" applyFill="1" applyBorder="1" applyAlignment="1">
      <alignment horizontal="center" vertical="top"/>
    </xf>
    <xf numFmtId="0" fontId="6" fillId="0" borderId="1" xfId="0" applyFont="1" applyFill="1" applyBorder="1" applyAlignment="1">
      <alignment horizontal="left" vertical="top" wrapText="1"/>
    </xf>
    <xf numFmtId="0" fontId="1" fillId="0" borderId="3" xfId="0" applyFont="1" applyFill="1" applyBorder="1" applyAlignment="1">
      <alignment horizontal="left" vertical="top" wrapText="1"/>
    </xf>
    <xf numFmtId="0" fontId="1" fillId="0" borderId="2" xfId="0" applyFont="1" applyFill="1" applyBorder="1" applyAlignment="1">
      <alignment horizontal="left" vertical="top" wrapText="1"/>
    </xf>
    <xf numFmtId="0" fontId="6" fillId="0" borderId="1" xfId="0" applyFont="1" applyFill="1" applyBorder="1" applyAlignment="1">
      <alignment horizontal="left" vertical="top"/>
    </xf>
    <xf numFmtId="0" fontId="1" fillId="0" borderId="1" xfId="0" applyFont="1" applyFill="1" applyBorder="1" applyAlignment="1">
      <alignment horizontal="left" vertical="top"/>
    </xf>
    <xf numFmtId="0" fontId="1" fillId="0" borderId="3" xfId="0" applyFont="1" applyFill="1" applyBorder="1" applyAlignment="1">
      <alignment vertical="top" wrapText="1"/>
    </xf>
    <xf numFmtId="0" fontId="1" fillId="0" borderId="1" xfId="0" applyFont="1" applyFill="1" applyBorder="1" applyAlignment="1">
      <alignment vertical="top" wrapText="1"/>
    </xf>
    <xf numFmtId="0" fontId="5" fillId="0" borderId="1" xfId="0" applyFont="1" applyFill="1" applyBorder="1" applyAlignment="1">
      <alignment horizontal="center" vertical="top"/>
    </xf>
    <xf numFmtId="0" fontId="3" fillId="0" borderId="1" xfId="0" applyFont="1" applyFill="1" applyBorder="1" applyAlignment="1">
      <alignment horizontal="left" vertical="top" wrapText="1"/>
    </xf>
    <xf numFmtId="0" fontId="6" fillId="0" borderId="1" xfId="0" applyFont="1" applyFill="1" applyBorder="1" applyAlignment="1">
      <alignment vertical="top" wrapText="1"/>
    </xf>
    <xf numFmtId="0" fontId="6" fillId="0" borderId="1" xfId="0" applyFont="1" applyFill="1" applyBorder="1" applyAlignment="1">
      <alignment vertical="top"/>
    </xf>
    <xf numFmtId="0" fontId="5" fillId="0" borderId="1" xfId="0" applyFont="1" applyFill="1" applyBorder="1" applyAlignment="1">
      <alignment horizontal="center" vertical="top" wrapText="1"/>
    </xf>
    <xf numFmtId="0" fontId="5" fillId="0" borderId="2" xfId="0" applyFont="1" applyFill="1" applyBorder="1" applyAlignment="1">
      <alignment horizontal="center" vertical="top" wrapText="1"/>
    </xf>
    <xf numFmtId="0" fontId="6" fillId="0" borderId="3" xfId="0" applyFont="1" applyFill="1" applyBorder="1" applyAlignment="1">
      <alignment horizontal="left" vertical="top" wrapText="1"/>
    </xf>
    <xf numFmtId="0" fontId="6" fillId="0" borderId="2" xfId="0" applyFont="1" applyFill="1" applyBorder="1" applyAlignment="1">
      <alignment horizontal="left" vertical="top" wrapText="1"/>
    </xf>
    <xf numFmtId="0" fontId="6" fillId="0" borderId="3" xfId="0" applyFont="1" applyFill="1" applyBorder="1" applyAlignment="1">
      <alignment horizontal="left" vertical="top"/>
    </xf>
    <xf numFmtId="0" fontId="13" fillId="0" borderId="1" xfId="0" applyFont="1" applyFill="1" applyBorder="1" applyAlignment="1">
      <alignment vertical="top" wrapText="1"/>
    </xf>
    <xf numFmtId="0" fontId="14" fillId="0" borderId="3" xfId="0" applyFont="1" applyFill="1" applyBorder="1" applyAlignment="1">
      <alignment horizontal="center" vertical="top" wrapText="1"/>
    </xf>
    <xf numFmtId="4" fontId="5" fillId="0" borderId="3" xfId="0" applyNumberFormat="1" applyFont="1" applyFill="1" applyBorder="1" applyAlignment="1">
      <alignment horizontal="right" vertical="top" wrapText="1"/>
    </xf>
    <xf numFmtId="4" fontId="6" fillId="0" borderId="3" xfId="0" applyNumberFormat="1" applyFont="1" applyFill="1" applyBorder="1" applyAlignment="1">
      <alignment horizontal="right" vertical="top" wrapText="1"/>
    </xf>
    <xf numFmtId="4" fontId="1" fillId="0" borderId="3" xfId="0" applyNumberFormat="1" applyFont="1" applyFill="1" applyBorder="1" applyAlignment="1">
      <alignment horizontal="right" vertical="top" wrapText="1"/>
    </xf>
    <xf numFmtId="4" fontId="5" fillId="0" borderId="3" xfId="0" applyNumberFormat="1" applyFont="1" applyFill="1" applyBorder="1" applyAlignment="1">
      <alignment vertical="top"/>
    </xf>
    <xf numFmtId="4" fontId="3" fillId="0" borderId="3" xfId="0" applyNumberFormat="1" applyFont="1" applyFill="1" applyBorder="1" applyAlignment="1">
      <alignment horizontal="right" vertical="top" wrapText="1"/>
    </xf>
    <xf numFmtId="0" fontId="14" fillId="0" borderId="0" xfId="0" applyFont="1" applyFill="1" applyAlignment="1">
      <alignment vertical="top" wrapText="1"/>
    </xf>
    <xf numFmtId="0" fontId="14" fillId="0" borderId="0" xfId="0" applyFont="1" applyAlignment="1">
      <alignment vertical="top" wrapText="1"/>
    </xf>
    <xf numFmtId="0" fontId="19" fillId="0" borderId="0" xfId="0" applyFont="1" applyFill="1" applyBorder="1" applyAlignment="1">
      <alignment horizontal="center" vertical="top" wrapText="1"/>
    </xf>
    <xf numFmtId="49" fontId="1" fillId="0" borderId="0" xfId="0" applyNumberFormat="1" applyFont="1" applyFill="1" applyBorder="1" applyAlignment="1">
      <alignment horizontal="left" vertical="top" wrapText="1"/>
    </xf>
    <xf numFmtId="0" fontId="1" fillId="0" borderId="0" xfId="0" applyFont="1" applyFill="1" applyAlignment="1">
      <alignment horizontal="left" vertical="top"/>
    </xf>
    <xf numFmtId="0" fontId="3"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5" fillId="0" borderId="1" xfId="0" applyFont="1" applyFill="1" applyBorder="1" applyAlignment="1">
      <alignment horizontal="left" vertical="top" wrapText="1"/>
    </xf>
    <xf numFmtId="0" fontId="19" fillId="0" borderId="0" xfId="0" applyFont="1" applyFill="1" applyBorder="1" applyAlignment="1">
      <alignment horizontal="center" vertical="center" wrapText="1"/>
    </xf>
    <xf numFmtId="49" fontId="14" fillId="0" borderId="0" xfId="0" applyNumberFormat="1" applyFont="1" applyFill="1" applyAlignment="1">
      <alignment horizontal="left" vertical="top" wrapText="1"/>
    </xf>
    <xf numFmtId="0" fontId="6" fillId="0" borderId="1" xfId="0" applyFont="1" applyFill="1" applyBorder="1" applyAlignment="1">
      <alignment horizontal="left" vertical="top" wrapText="1"/>
    </xf>
    <xf numFmtId="0" fontId="5" fillId="0" borderId="1" xfId="0" applyFont="1" applyFill="1" applyBorder="1" applyAlignment="1">
      <alignment horizontal="center" vertical="top"/>
    </xf>
    <xf numFmtId="0" fontId="1" fillId="0" borderId="3" xfId="0" applyFont="1" applyFill="1" applyBorder="1" applyAlignment="1">
      <alignment horizontal="left" vertical="top" wrapText="1"/>
    </xf>
    <xf numFmtId="0" fontId="1" fillId="0" borderId="2" xfId="0" applyFont="1" applyFill="1" applyBorder="1" applyAlignment="1">
      <alignment horizontal="left" vertical="top" wrapText="1"/>
    </xf>
    <xf numFmtId="0" fontId="5" fillId="0" borderId="1" xfId="0" applyFont="1" applyFill="1" applyBorder="1" applyAlignment="1">
      <alignment horizontal="center" vertical="top" wrapText="1"/>
    </xf>
    <xf numFmtId="0" fontId="1" fillId="0" borderId="3" xfId="0" applyFont="1" applyFill="1" applyBorder="1" applyAlignment="1">
      <alignment horizontal="left" vertical="top"/>
    </xf>
    <xf numFmtId="0" fontId="1" fillId="0" borderId="2" xfId="0" applyFont="1" applyFill="1" applyBorder="1" applyAlignment="1">
      <alignment horizontal="left" vertical="top"/>
    </xf>
    <xf numFmtId="0" fontId="6" fillId="0" borderId="1" xfId="0" applyFont="1" applyFill="1" applyBorder="1" applyAlignment="1">
      <alignment horizontal="left" vertical="top"/>
    </xf>
    <xf numFmtId="0" fontId="14" fillId="0" borderId="1" xfId="0" applyFont="1" applyFill="1" applyBorder="1" applyAlignment="1">
      <alignment horizontal="center" vertical="top" wrapText="1"/>
    </xf>
    <xf numFmtId="0" fontId="5" fillId="0" borderId="3" xfId="0" applyFont="1" applyFill="1" applyBorder="1" applyAlignment="1">
      <alignment horizontal="center" vertical="top"/>
    </xf>
    <xf numFmtId="0" fontId="5" fillId="0" borderId="2" xfId="0" applyFont="1" applyFill="1" applyBorder="1" applyAlignment="1">
      <alignment horizontal="center" vertical="top"/>
    </xf>
    <xf numFmtId="0" fontId="1" fillId="0" borderId="3" xfId="0" applyFont="1" applyFill="1" applyBorder="1" applyAlignment="1">
      <alignment vertical="top" wrapText="1"/>
    </xf>
    <xf numFmtId="0" fontId="1" fillId="0" borderId="2" xfId="0" applyFont="1" applyFill="1" applyBorder="1" applyAlignment="1">
      <alignment vertical="top" wrapText="1"/>
    </xf>
    <xf numFmtId="0" fontId="6" fillId="0" borderId="1" xfId="0" applyFont="1" applyFill="1" applyBorder="1" applyAlignment="1">
      <alignment vertical="top"/>
    </xf>
    <xf numFmtId="0" fontId="14" fillId="0" borderId="0" xfId="0" applyFont="1" applyFill="1" applyAlignment="1">
      <alignment horizontal="left" vertical="top" wrapText="1"/>
    </xf>
    <xf numFmtId="0" fontId="1" fillId="0" borderId="3" xfId="0" applyFont="1" applyFill="1" applyBorder="1" applyAlignment="1">
      <alignment horizontal="left" wrapText="1"/>
    </xf>
    <xf numFmtId="0" fontId="1" fillId="0" borderId="2" xfId="0" applyFont="1" applyFill="1" applyBorder="1" applyAlignment="1">
      <alignment horizontal="left" wrapText="1"/>
    </xf>
    <xf numFmtId="0" fontId="6" fillId="0" borderId="1" xfId="0" applyFont="1" applyFill="1" applyBorder="1" applyAlignment="1">
      <alignment vertical="top" wrapText="1"/>
    </xf>
    <xf numFmtId="0" fontId="1" fillId="0" borderId="1" xfId="0" applyFont="1" applyFill="1" applyBorder="1" applyAlignment="1">
      <alignment horizontal="left" vertical="top"/>
    </xf>
    <xf numFmtId="0" fontId="1" fillId="0" borderId="1" xfId="0" applyFont="1" applyFill="1" applyBorder="1" applyAlignment="1">
      <alignment vertical="top" wrapText="1"/>
    </xf>
    <xf numFmtId="0" fontId="6" fillId="0" borderId="3" xfId="0" applyFont="1" applyFill="1" applyBorder="1" applyAlignment="1">
      <alignment horizontal="left" vertical="top" wrapText="1"/>
    </xf>
    <xf numFmtId="0" fontId="6" fillId="0" borderId="2" xfId="0" applyFont="1" applyFill="1" applyBorder="1" applyAlignment="1">
      <alignment horizontal="left" vertical="top" wrapText="1"/>
    </xf>
    <xf numFmtId="0" fontId="5" fillId="0" borderId="3" xfId="0" applyFont="1" applyFill="1" applyBorder="1" applyAlignment="1">
      <alignment horizontal="center" vertical="top" wrapText="1"/>
    </xf>
    <xf numFmtId="0" fontId="5" fillId="0" borderId="2" xfId="0" applyFont="1" applyFill="1" applyBorder="1" applyAlignment="1">
      <alignment horizontal="center" vertical="top" wrapText="1"/>
    </xf>
    <xf numFmtId="0" fontId="13" fillId="0" borderId="3" xfId="0" applyFont="1" applyFill="1" applyBorder="1" applyAlignment="1">
      <alignment horizontal="left" vertical="top" wrapText="1"/>
    </xf>
    <xf numFmtId="0" fontId="13" fillId="0" borderId="2" xfId="0" applyFont="1" applyFill="1" applyBorder="1" applyAlignment="1">
      <alignment horizontal="left" vertical="top" wrapText="1"/>
    </xf>
    <xf numFmtId="0" fontId="9" fillId="0" borderId="6" xfId="0" applyFont="1" applyFill="1" applyBorder="1" applyAlignment="1">
      <alignment horizontal="left" vertical="top" wrapText="1"/>
    </xf>
    <xf numFmtId="0" fontId="9" fillId="0" borderId="2" xfId="0" applyFont="1" applyFill="1" applyBorder="1" applyAlignment="1">
      <alignment horizontal="left" vertical="top" wrapText="1"/>
    </xf>
    <xf numFmtId="0" fontId="2" fillId="0" borderId="1" xfId="0" applyFont="1" applyFill="1" applyBorder="1" applyAlignment="1">
      <alignment horizontal="left" vertical="top" wrapText="1"/>
    </xf>
    <xf numFmtId="0" fontId="6" fillId="0" borderId="3" xfId="0" applyFont="1" applyFill="1" applyBorder="1" applyAlignment="1">
      <alignment horizontal="left" vertical="top"/>
    </xf>
    <xf numFmtId="0" fontId="6" fillId="0" borderId="2" xfId="0" applyFont="1" applyFill="1" applyBorder="1" applyAlignment="1">
      <alignment horizontal="left" vertical="top"/>
    </xf>
    <xf numFmtId="0" fontId="14" fillId="0" borderId="0" xfId="0" applyFont="1" applyFill="1" applyAlignment="1">
      <alignment vertical="top" wrapText="1"/>
    </xf>
    <xf numFmtId="0" fontId="1" fillId="0" borderId="4" xfId="0" applyFont="1" applyFill="1" applyBorder="1" applyAlignment="1">
      <alignment horizontal="center" vertical="top"/>
    </xf>
    <xf numFmtId="0" fontId="20" fillId="0" borderId="3" xfId="0" applyFont="1" applyFill="1" applyBorder="1" applyAlignment="1">
      <alignment horizontal="center" vertical="top" wrapText="1"/>
    </xf>
    <xf numFmtId="0" fontId="20" fillId="0" borderId="2" xfId="0" applyFont="1" applyFill="1" applyBorder="1" applyAlignment="1">
      <alignment horizontal="center" vertical="top" wrapText="1"/>
    </xf>
    <xf numFmtId="0" fontId="19" fillId="0" borderId="0" xfId="1" applyFont="1" applyFill="1" applyBorder="1" applyAlignment="1">
      <alignment horizontal="center" vertical="center" wrapText="1"/>
    </xf>
    <xf numFmtId="0" fontId="14" fillId="0" borderId="0" xfId="0" applyFont="1" applyAlignment="1">
      <alignment horizontal="left" vertical="top" wrapText="1"/>
    </xf>
    <xf numFmtId="0" fontId="13" fillId="0" borderId="1" xfId="1" applyFont="1" applyFill="1" applyBorder="1" applyAlignment="1">
      <alignment horizontal="center" vertical="top" wrapText="1"/>
    </xf>
    <xf numFmtId="49" fontId="14" fillId="0" borderId="0" xfId="0" applyNumberFormat="1" applyFont="1" applyAlignment="1">
      <alignment horizontal="left" vertical="top" wrapText="1"/>
    </xf>
    <xf numFmtId="0" fontId="16" fillId="0" borderId="0" xfId="1" applyFont="1" applyFill="1" applyBorder="1" applyAlignment="1">
      <alignment horizontal="center" vertical="center" wrapText="1"/>
    </xf>
    <xf numFmtId="0" fontId="22" fillId="0" borderId="0" xfId="1" applyFont="1" applyFill="1" applyBorder="1" applyAlignment="1">
      <alignment horizontal="center" wrapText="1"/>
    </xf>
    <xf numFmtId="0" fontId="14" fillId="0" borderId="0" xfId="0" applyFont="1" applyFill="1" applyAlignment="1">
      <alignment horizontal="left" vertical="top"/>
    </xf>
    <xf numFmtId="0" fontId="22" fillId="0" borderId="0" xfId="0" applyFont="1" applyFill="1" applyAlignment="1">
      <alignment horizontal="center" vertical="center" wrapText="1"/>
    </xf>
    <xf numFmtId="0" fontId="13" fillId="0" borderId="1" xfId="0" applyFont="1" applyFill="1" applyBorder="1" applyAlignment="1">
      <alignment vertical="top" wrapText="1"/>
    </xf>
    <xf numFmtId="0" fontId="19" fillId="0" borderId="1" xfId="0" applyFont="1" applyFill="1" applyBorder="1" applyAlignment="1">
      <alignment vertical="center" wrapText="1"/>
    </xf>
  </cellXfs>
  <cellStyles count="2">
    <cellStyle name="Обычный" xfId="0" builtinId="0"/>
    <cellStyle name="Обычный_method_2_1" xfId="1"/>
  </cellStyles>
  <dxfs count="0"/>
  <tableStyles count="0" defaultTableStyle="TableStyleMedium2" defaultPivotStyle="PivotStyleMedium9"/>
  <colors>
    <mruColors>
      <color rgb="FF0033CC"/>
      <color rgb="FFFFCCFF"/>
      <color rgb="FF99FFCC"/>
      <color rgb="FF66FF99"/>
      <color rgb="FFCCECFF"/>
      <color rgb="FFCC0099"/>
      <color rgb="FFFF5050"/>
      <color rgb="FFCCFFFF"/>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0</xdr:colOff>
      <xdr:row>1</xdr:row>
      <xdr:rowOff>0</xdr:rowOff>
    </xdr:from>
    <xdr:to>
      <xdr:col>5</xdr:col>
      <xdr:colOff>0</xdr:colOff>
      <xdr:row>1</xdr:row>
      <xdr:rowOff>0</xdr:rowOff>
    </xdr:to>
    <xdr:sp macro="" textlink="">
      <xdr:nvSpPr>
        <xdr:cNvPr id="2" name="AutoShape 5"/>
        <xdr:cNvSpPr>
          <a:spLocks noChangeArrowheads="1"/>
        </xdr:cNvSpPr>
      </xdr:nvSpPr>
      <xdr:spPr bwMode="auto">
        <a:xfrm>
          <a:off x="7848600" y="142875"/>
          <a:ext cx="0" cy="0"/>
        </a:xfrm>
        <a:prstGeom prst="wedgeRoundRectCallout">
          <a:avLst>
            <a:gd name="adj1" fmla="val 16838"/>
            <a:gd name="adj2" fmla="val 105384"/>
            <a:gd name="adj3" fmla="val 16667"/>
          </a:avLst>
        </a:prstGeom>
        <a:solidFill>
          <a:srgbClr val="FFFFFF"/>
        </a:solidFill>
        <a:ln w="9525" cap="rnd">
          <a:solidFill>
            <a:srgbClr val="000000"/>
          </a:solidFill>
          <a:prstDash val="sysDot"/>
          <a:miter lim="800000"/>
          <a:headEnd/>
          <a:tailEnd/>
        </a:ln>
      </xdr:spPr>
      <xdr:txBody>
        <a:bodyPr vertOverflow="clip" wrap="square" lIns="27432" tIns="22860" rIns="27432" bIns="0" anchor="t" upright="1"/>
        <a:lstStyle/>
        <a:p>
          <a:pPr algn="ctr" rtl="1">
            <a:defRPr sz="1000"/>
          </a:pPr>
          <a:r>
            <a:rPr lang="ru-RU" sz="800" b="0" i="0" strike="noStrike">
              <a:solidFill>
                <a:srgbClr val="000000"/>
              </a:solidFill>
              <a:latin typeface="Times New Roman Cyr"/>
            </a:rPr>
            <a:t>Расчетный уровень бюджетной обеспеченность, соотв. Среднему уровню бюджетных обязательств в планируемом году</a:t>
          </a:r>
        </a:p>
      </xdr:txBody>
    </xdr:sp>
    <xdr:clientData/>
  </xdr:twoCellAnchor>
  <xdr:twoCellAnchor>
    <xdr:from>
      <xdr:col>5</xdr:col>
      <xdr:colOff>0</xdr:colOff>
      <xdr:row>7</xdr:row>
      <xdr:rowOff>0</xdr:rowOff>
    </xdr:from>
    <xdr:to>
      <xdr:col>5</xdr:col>
      <xdr:colOff>0</xdr:colOff>
      <xdr:row>8</xdr:row>
      <xdr:rowOff>76200</xdr:rowOff>
    </xdr:to>
    <xdr:sp macro="" textlink="">
      <xdr:nvSpPr>
        <xdr:cNvPr id="3" name="AutoShape 7"/>
        <xdr:cNvSpPr>
          <a:spLocks noChangeArrowheads="1"/>
        </xdr:cNvSpPr>
      </xdr:nvSpPr>
      <xdr:spPr bwMode="auto">
        <a:xfrm>
          <a:off x="7848600" y="3552825"/>
          <a:ext cx="0" cy="466725"/>
        </a:xfrm>
        <a:prstGeom prst="wedgeRoundRectCallout">
          <a:avLst>
            <a:gd name="adj1" fmla="val 85384"/>
            <a:gd name="adj2" fmla="val -68181"/>
            <a:gd name="adj3" fmla="val 16667"/>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1000" b="0" i="0" strike="noStrike">
              <a:solidFill>
                <a:srgbClr val="000000"/>
              </a:solidFill>
              <a:latin typeface="Times New Roman Cyr"/>
            </a:rPr>
            <a:t>ср. знач.</a:t>
          </a:r>
        </a:p>
      </xdr:txBody>
    </xdr:sp>
    <xdr:clientData/>
  </xdr:twoCellAnchor>
  <xdr:twoCellAnchor>
    <xdr:from>
      <xdr:col>5</xdr:col>
      <xdr:colOff>0</xdr:colOff>
      <xdr:row>1</xdr:row>
      <xdr:rowOff>0</xdr:rowOff>
    </xdr:from>
    <xdr:to>
      <xdr:col>5</xdr:col>
      <xdr:colOff>0</xdr:colOff>
      <xdr:row>1</xdr:row>
      <xdr:rowOff>0</xdr:rowOff>
    </xdr:to>
    <xdr:sp macro="" textlink="">
      <xdr:nvSpPr>
        <xdr:cNvPr id="4" name="AutoShape 14"/>
        <xdr:cNvSpPr>
          <a:spLocks noChangeArrowheads="1"/>
        </xdr:cNvSpPr>
      </xdr:nvSpPr>
      <xdr:spPr bwMode="auto">
        <a:xfrm>
          <a:off x="7848600" y="142875"/>
          <a:ext cx="0" cy="0"/>
        </a:xfrm>
        <a:prstGeom prst="wedgeRoundRectCallout">
          <a:avLst>
            <a:gd name="adj1" fmla="val 8491"/>
            <a:gd name="adj2" fmla="val 3316667"/>
            <a:gd name="adj3" fmla="val 16667"/>
          </a:avLst>
        </a:prstGeom>
        <a:solidFill>
          <a:srgbClr val="FFFFFF"/>
        </a:solidFill>
        <a:ln w="9525" cap="rnd">
          <a:solidFill>
            <a:srgbClr val="000000"/>
          </a:solidFill>
          <a:prstDash val="sysDot"/>
          <a:miter lim="800000"/>
          <a:headEnd/>
          <a:tailEnd/>
        </a:ln>
      </xdr:spPr>
      <xdr:txBody>
        <a:bodyPr vertOverflow="clip" wrap="square" lIns="27432" tIns="22860" rIns="27432" bIns="0" anchor="t" upright="1"/>
        <a:lstStyle/>
        <a:p>
          <a:pPr algn="ctr" rtl="1">
            <a:defRPr sz="1000"/>
          </a:pPr>
          <a:r>
            <a:rPr lang="ru-RU" sz="800" b="0" i="0" strike="noStrike">
              <a:solidFill>
                <a:srgbClr val="000000"/>
              </a:solidFill>
              <a:latin typeface="Times New Roman Cyr"/>
            </a:rPr>
            <a:t>Расчетный уровень бюджетной обеспеченность, соотв. Среднему уровню бюджетных обязательств в планируемом году</a:t>
          </a:r>
        </a:p>
      </xdr:txBody>
    </xdr:sp>
    <xdr:clientData/>
  </xdr:twoCellAnchor>
  <xdr:twoCellAnchor>
    <xdr:from>
      <xdr:col>5</xdr:col>
      <xdr:colOff>0</xdr:colOff>
      <xdr:row>7</xdr:row>
      <xdr:rowOff>0</xdr:rowOff>
    </xdr:from>
    <xdr:to>
      <xdr:col>5</xdr:col>
      <xdr:colOff>0</xdr:colOff>
      <xdr:row>8</xdr:row>
      <xdr:rowOff>76200</xdr:rowOff>
    </xdr:to>
    <xdr:sp macro="" textlink="">
      <xdr:nvSpPr>
        <xdr:cNvPr id="5" name="AutoShape 21"/>
        <xdr:cNvSpPr>
          <a:spLocks noChangeArrowheads="1"/>
        </xdr:cNvSpPr>
      </xdr:nvSpPr>
      <xdr:spPr bwMode="auto">
        <a:xfrm>
          <a:off x="7848600" y="3552825"/>
          <a:ext cx="0" cy="466725"/>
        </a:xfrm>
        <a:prstGeom prst="wedgeRoundRectCallout">
          <a:avLst>
            <a:gd name="adj1" fmla="val 85384"/>
            <a:gd name="adj2" fmla="val -68181"/>
            <a:gd name="adj3" fmla="val 16667"/>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1000" b="0" i="0" strike="noStrike">
              <a:solidFill>
                <a:srgbClr val="000000"/>
              </a:solidFill>
              <a:latin typeface="Times New Roman Cyr"/>
            </a:rPr>
            <a:t>ср. знач.</a:t>
          </a:r>
        </a:p>
      </xdr:txBody>
    </xdr:sp>
    <xdr:clientData/>
  </xdr:twoCellAnchor>
  <xdr:twoCellAnchor>
    <xdr:from>
      <xdr:col>5</xdr:col>
      <xdr:colOff>0</xdr:colOff>
      <xdr:row>7</xdr:row>
      <xdr:rowOff>0</xdr:rowOff>
    </xdr:from>
    <xdr:to>
      <xdr:col>5</xdr:col>
      <xdr:colOff>0</xdr:colOff>
      <xdr:row>8</xdr:row>
      <xdr:rowOff>123825</xdr:rowOff>
    </xdr:to>
    <xdr:sp macro="" textlink="">
      <xdr:nvSpPr>
        <xdr:cNvPr id="6" name="AutoShape 22"/>
        <xdr:cNvSpPr>
          <a:spLocks noChangeArrowheads="1"/>
        </xdr:cNvSpPr>
      </xdr:nvSpPr>
      <xdr:spPr bwMode="auto">
        <a:xfrm>
          <a:off x="7848600" y="3552825"/>
          <a:ext cx="0" cy="514350"/>
        </a:xfrm>
        <a:prstGeom prst="wedgeRoundRectCallout">
          <a:avLst>
            <a:gd name="adj1" fmla="val -29593"/>
            <a:gd name="adj2" fmla="val -120588"/>
            <a:gd name="adj3" fmla="val 16667"/>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1000" b="0" i="0" strike="noStrike">
              <a:solidFill>
                <a:srgbClr val="000000"/>
              </a:solidFill>
              <a:latin typeface="Times New Roman Cyr"/>
            </a:rPr>
            <a:t>ср. знач.</a:t>
          </a:r>
        </a:p>
      </xdr:txBody>
    </xdr:sp>
    <xdr:clientData/>
  </xdr:twoCellAnchor>
  <xdr:twoCellAnchor>
    <xdr:from>
      <xdr:col>5</xdr:col>
      <xdr:colOff>0</xdr:colOff>
      <xdr:row>1</xdr:row>
      <xdr:rowOff>0</xdr:rowOff>
    </xdr:from>
    <xdr:to>
      <xdr:col>5</xdr:col>
      <xdr:colOff>0</xdr:colOff>
      <xdr:row>1</xdr:row>
      <xdr:rowOff>0</xdr:rowOff>
    </xdr:to>
    <xdr:sp macro="" textlink="">
      <xdr:nvSpPr>
        <xdr:cNvPr id="10" name="AutoShape 5"/>
        <xdr:cNvSpPr>
          <a:spLocks noChangeArrowheads="1"/>
        </xdr:cNvSpPr>
      </xdr:nvSpPr>
      <xdr:spPr bwMode="auto">
        <a:xfrm>
          <a:off x="7848600" y="142875"/>
          <a:ext cx="0" cy="0"/>
        </a:xfrm>
        <a:prstGeom prst="wedgeRoundRectCallout">
          <a:avLst>
            <a:gd name="adj1" fmla="val 16838"/>
            <a:gd name="adj2" fmla="val 105384"/>
            <a:gd name="adj3" fmla="val 16667"/>
          </a:avLst>
        </a:prstGeom>
        <a:solidFill>
          <a:srgbClr val="FFFFFF"/>
        </a:solidFill>
        <a:ln w="9525" cap="rnd">
          <a:solidFill>
            <a:srgbClr val="000000"/>
          </a:solidFill>
          <a:prstDash val="sysDot"/>
          <a:miter lim="800000"/>
          <a:headEnd/>
          <a:tailEnd/>
        </a:ln>
      </xdr:spPr>
      <xdr:txBody>
        <a:bodyPr vertOverflow="clip" wrap="square" lIns="27432" tIns="22860" rIns="27432" bIns="0" anchor="t" upright="1"/>
        <a:lstStyle/>
        <a:p>
          <a:pPr algn="ctr" rtl="1">
            <a:defRPr sz="1000"/>
          </a:pPr>
          <a:r>
            <a:rPr lang="ru-RU" sz="800" b="0" i="0" strike="noStrike">
              <a:solidFill>
                <a:srgbClr val="000000"/>
              </a:solidFill>
              <a:latin typeface="Times New Roman Cyr"/>
            </a:rPr>
            <a:t>Расчетный уровень бюджетной обеспеченность, соотв. Среднему уровню бюджетных обязательств в планируемом году</a:t>
          </a:r>
        </a:p>
      </xdr:txBody>
    </xdr:sp>
    <xdr:clientData/>
  </xdr:twoCellAnchor>
  <xdr:twoCellAnchor>
    <xdr:from>
      <xdr:col>5</xdr:col>
      <xdr:colOff>0</xdr:colOff>
      <xdr:row>7</xdr:row>
      <xdr:rowOff>0</xdr:rowOff>
    </xdr:from>
    <xdr:to>
      <xdr:col>5</xdr:col>
      <xdr:colOff>0</xdr:colOff>
      <xdr:row>8</xdr:row>
      <xdr:rowOff>76200</xdr:rowOff>
    </xdr:to>
    <xdr:sp macro="" textlink="">
      <xdr:nvSpPr>
        <xdr:cNvPr id="11" name="AutoShape 7"/>
        <xdr:cNvSpPr>
          <a:spLocks noChangeArrowheads="1"/>
        </xdr:cNvSpPr>
      </xdr:nvSpPr>
      <xdr:spPr bwMode="auto">
        <a:xfrm>
          <a:off x="7848600" y="3552825"/>
          <a:ext cx="0" cy="466725"/>
        </a:xfrm>
        <a:prstGeom prst="wedgeRoundRectCallout">
          <a:avLst>
            <a:gd name="adj1" fmla="val 85384"/>
            <a:gd name="adj2" fmla="val -68181"/>
            <a:gd name="adj3" fmla="val 16667"/>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1000" b="0" i="0" strike="noStrike">
              <a:solidFill>
                <a:srgbClr val="000000"/>
              </a:solidFill>
              <a:latin typeface="Times New Roman Cyr"/>
            </a:rPr>
            <a:t>ср. знач.</a:t>
          </a:r>
        </a:p>
      </xdr:txBody>
    </xdr:sp>
    <xdr:clientData/>
  </xdr:twoCellAnchor>
  <xdr:twoCellAnchor>
    <xdr:from>
      <xdr:col>5</xdr:col>
      <xdr:colOff>0</xdr:colOff>
      <xdr:row>7</xdr:row>
      <xdr:rowOff>0</xdr:rowOff>
    </xdr:from>
    <xdr:to>
      <xdr:col>5</xdr:col>
      <xdr:colOff>0</xdr:colOff>
      <xdr:row>8</xdr:row>
      <xdr:rowOff>123825</xdr:rowOff>
    </xdr:to>
    <xdr:sp macro="" textlink="">
      <xdr:nvSpPr>
        <xdr:cNvPr id="12" name="AutoShape 8"/>
        <xdr:cNvSpPr>
          <a:spLocks noChangeArrowheads="1"/>
        </xdr:cNvSpPr>
      </xdr:nvSpPr>
      <xdr:spPr bwMode="auto">
        <a:xfrm>
          <a:off x="7848600" y="3552825"/>
          <a:ext cx="0" cy="514350"/>
        </a:xfrm>
        <a:prstGeom prst="wedgeRoundRectCallout">
          <a:avLst>
            <a:gd name="adj1" fmla="val -29593"/>
            <a:gd name="adj2" fmla="val -120588"/>
            <a:gd name="adj3" fmla="val 16667"/>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1000" b="0" i="0" strike="noStrike">
              <a:solidFill>
                <a:srgbClr val="000000"/>
              </a:solidFill>
              <a:latin typeface="Times New Roman Cyr"/>
            </a:rPr>
            <a:t>ср. знач.</a:t>
          </a:r>
        </a:p>
      </xdr:txBody>
    </xdr:sp>
    <xdr:clientData/>
  </xdr:twoCellAnchor>
  <xdr:twoCellAnchor>
    <xdr:from>
      <xdr:col>5</xdr:col>
      <xdr:colOff>0</xdr:colOff>
      <xdr:row>1</xdr:row>
      <xdr:rowOff>0</xdr:rowOff>
    </xdr:from>
    <xdr:to>
      <xdr:col>5</xdr:col>
      <xdr:colOff>0</xdr:colOff>
      <xdr:row>1</xdr:row>
      <xdr:rowOff>0</xdr:rowOff>
    </xdr:to>
    <xdr:sp macro="" textlink="">
      <xdr:nvSpPr>
        <xdr:cNvPr id="13" name="AutoShape 14"/>
        <xdr:cNvSpPr>
          <a:spLocks noChangeArrowheads="1"/>
        </xdr:cNvSpPr>
      </xdr:nvSpPr>
      <xdr:spPr bwMode="auto">
        <a:xfrm>
          <a:off x="7848600" y="142875"/>
          <a:ext cx="0" cy="0"/>
        </a:xfrm>
        <a:prstGeom prst="wedgeRoundRectCallout">
          <a:avLst>
            <a:gd name="adj1" fmla="val 8491"/>
            <a:gd name="adj2" fmla="val 3316667"/>
            <a:gd name="adj3" fmla="val 16667"/>
          </a:avLst>
        </a:prstGeom>
        <a:solidFill>
          <a:srgbClr val="FFFFFF"/>
        </a:solidFill>
        <a:ln w="9525" cap="rnd">
          <a:solidFill>
            <a:srgbClr val="000000"/>
          </a:solidFill>
          <a:prstDash val="sysDot"/>
          <a:miter lim="800000"/>
          <a:headEnd/>
          <a:tailEnd/>
        </a:ln>
      </xdr:spPr>
      <xdr:txBody>
        <a:bodyPr vertOverflow="clip" wrap="square" lIns="27432" tIns="22860" rIns="27432" bIns="0" anchor="t" upright="1"/>
        <a:lstStyle/>
        <a:p>
          <a:pPr algn="ctr" rtl="1">
            <a:defRPr sz="1000"/>
          </a:pPr>
          <a:r>
            <a:rPr lang="ru-RU" sz="800" b="0" i="0" strike="noStrike">
              <a:solidFill>
                <a:srgbClr val="000000"/>
              </a:solidFill>
              <a:latin typeface="Times New Roman Cyr"/>
            </a:rPr>
            <a:t>Расчетный уровень бюджетной обеспеченность, соотв. Среднему уровню бюджетных обязательств в планируемом году</a:t>
          </a:r>
        </a:p>
      </xdr:txBody>
    </xdr:sp>
    <xdr:clientData/>
  </xdr:twoCellAnchor>
  <xdr:twoCellAnchor>
    <xdr:from>
      <xdr:col>5</xdr:col>
      <xdr:colOff>0</xdr:colOff>
      <xdr:row>7</xdr:row>
      <xdr:rowOff>0</xdr:rowOff>
    </xdr:from>
    <xdr:to>
      <xdr:col>5</xdr:col>
      <xdr:colOff>0</xdr:colOff>
      <xdr:row>8</xdr:row>
      <xdr:rowOff>76200</xdr:rowOff>
    </xdr:to>
    <xdr:sp macro="" textlink="">
      <xdr:nvSpPr>
        <xdr:cNvPr id="14" name="AutoShape 21"/>
        <xdr:cNvSpPr>
          <a:spLocks noChangeArrowheads="1"/>
        </xdr:cNvSpPr>
      </xdr:nvSpPr>
      <xdr:spPr bwMode="auto">
        <a:xfrm>
          <a:off x="7848600" y="3552825"/>
          <a:ext cx="0" cy="466725"/>
        </a:xfrm>
        <a:prstGeom prst="wedgeRoundRectCallout">
          <a:avLst>
            <a:gd name="adj1" fmla="val 85384"/>
            <a:gd name="adj2" fmla="val -68181"/>
            <a:gd name="adj3" fmla="val 16667"/>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1000" b="0" i="0" strike="noStrike">
              <a:solidFill>
                <a:srgbClr val="000000"/>
              </a:solidFill>
              <a:latin typeface="Times New Roman Cyr"/>
            </a:rPr>
            <a:t>ср. знач.</a:t>
          </a:r>
        </a:p>
      </xdr:txBody>
    </xdr:sp>
    <xdr:clientData/>
  </xdr:twoCellAnchor>
  <xdr:twoCellAnchor>
    <xdr:from>
      <xdr:col>5</xdr:col>
      <xdr:colOff>0</xdr:colOff>
      <xdr:row>7</xdr:row>
      <xdr:rowOff>0</xdr:rowOff>
    </xdr:from>
    <xdr:to>
      <xdr:col>5</xdr:col>
      <xdr:colOff>0</xdr:colOff>
      <xdr:row>8</xdr:row>
      <xdr:rowOff>123825</xdr:rowOff>
    </xdr:to>
    <xdr:sp macro="" textlink="">
      <xdr:nvSpPr>
        <xdr:cNvPr id="15" name="AutoShape 22"/>
        <xdr:cNvSpPr>
          <a:spLocks noChangeArrowheads="1"/>
        </xdr:cNvSpPr>
      </xdr:nvSpPr>
      <xdr:spPr bwMode="auto">
        <a:xfrm>
          <a:off x="7848600" y="3552825"/>
          <a:ext cx="0" cy="514350"/>
        </a:xfrm>
        <a:prstGeom prst="wedgeRoundRectCallout">
          <a:avLst>
            <a:gd name="adj1" fmla="val -29593"/>
            <a:gd name="adj2" fmla="val -120588"/>
            <a:gd name="adj3" fmla="val 16667"/>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1000" b="0" i="0" strike="noStrike">
              <a:solidFill>
                <a:srgbClr val="000000"/>
              </a:solidFill>
              <a:latin typeface="Times New Roman Cyr"/>
            </a:rPr>
            <a:t>ср. знач.</a:t>
          </a:r>
        </a:p>
      </xdr:txBody>
    </xdr:sp>
    <xdr:clientData/>
  </xdr:twoCellAnchor>
  <xdr:twoCellAnchor>
    <xdr:from>
      <xdr:col>2</xdr:col>
      <xdr:colOff>0</xdr:colOff>
      <xdr:row>4</xdr:row>
      <xdr:rowOff>0</xdr:rowOff>
    </xdr:from>
    <xdr:to>
      <xdr:col>2</xdr:col>
      <xdr:colOff>0</xdr:colOff>
      <xdr:row>4</xdr:row>
      <xdr:rowOff>0</xdr:rowOff>
    </xdr:to>
    <xdr:sp macro="" textlink="">
      <xdr:nvSpPr>
        <xdr:cNvPr id="20" name="AutoShape 4"/>
        <xdr:cNvSpPr>
          <a:spLocks noChangeArrowheads="1"/>
        </xdr:cNvSpPr>
      </xdr:nvSpPr>
      <xdr:spPr bwMode="auto">
        <a:xfrm>
          <a:off x="4581525" y="2638425"/>
          <a:ext cx="0" cy="0"/>
        </a:xfrm>
        <a:prstGeom prst="wedgeRoundRectCallout">
          <a:avLst>
            <a:gd name="adj1" fmla="val 16838"/>
            <a:gd name="adj2" fmla="val 105384"/>
            <a:gd name="adj3" fmla="val 16667"/>
          </a:avLst>
        </a:prstGeom>
        <a:solidFill>
          <a:srgbClr val="FFFFFF"/>
        </a:solidFill>
        <a:ln w="9525" cap="rnd">
          <a:solidFill>
            <a:srgbClr val="000000"/>
          </a:solidFill>
          <a:prstDash val="sysDot"/>
          <a:miter lim="800000"/>
          <a:headEnd/>
          <a:tailEnd/>
        </a:ln>
      </xdr:spPr>
      <xdr:txBody>
        <a:bodyPr vertOverflow="clip" wrap="square" lIns="27432" tIns="22860" rIns="27432" bIns="0" anchor="t" upright="1"/>
        <a:lstStyle/>
        <a:p>
          <a:pPr algn="ctr" rtl="1">
            <a:defRPr sz="1000"/>
          </a:pPr>
          <a:r>
            <a:rPr lang="ru-RU" sz="800" b="0" i="0" strike="noStrike">
              <a:solidFill>
                <a:srgbClr val="000000"/>
              </a:solidFill>
              <a:latin typeface="Times New Roman Cyr"/>
            </a:rPr>
            <a:t>Расчетный уровень бюджетной обеспеченность, соотв. Среднему уровню бюджетных обязательств в планируемом году</a:t>
          </a:r>
        </a:p>
      </xdr:txBody>
    </xdr:sp>
    <xdr:clientData/>
  </xdr:twoCellAnchor>
  <xdr:twoCellAnchor>
    <xdr:from>
      <xdr:col>2</xdr:col>
      <xdr:colOff>0</xdr:colOff>
      <xdr:row>4</xdr:row>
      <xdr:rowOff>0</xdr:rowOff>
    </xdr:from>
    <xdr:to>
      <xdr:col>2</xdr:col>
      <xdr:colOff>0</xdr:colOff>
      <xdr:row>4</xdr:row>
      <xdr:rowOff>0</xdr:rowOff>
    </xdr:to>
    <xdr:sp macro="" textlink="">
      <xdr:nvSpPr>
        <xdr:cNvPr id="21" name="AutoShape 9"/>
        <xdr:cNvSpPr>
          <a:spLocks noChangeArrowheads="1"/>
        </xdr:cNvSpPr>
      </xdr:nvSpPr>
      <xdr:spPr bwMode="auto">
        <a:xfrm>
          <a:off x="4581525" y="2638425"/>
          <a:ext cx="0" cy="0"/>
        </a:xfrm>
        <a:prstGeom prst="wedgeRoundRectCallout">
          <a:avLst>
            <a:gd name="adj1" fmla="val 8491"/>
            <a:gd name="adj2" fmla="val 3316667"/>
            <a:gd name="adj3" fmla="val 16667"/>
          </a:avLst>
        </a:prstGeom>
        <a:solidFill>
          <a:srgbClr val="FFFFFF"/>
        </a:solidFill>
        <a:ln w="9525" cap="rnd">
          <a:solidFill>
            <a:srgbClr val="000000"/>
          </a:solidFill>
          <a:prstDash val="sysDot"/>
          <a:miter lim="800000"/>
          <a:headEnd/>
          <a:tailEnd/>
        </a:ln>
      </xdr:spPr>
      <xdr:txBody>
        <a:bodyPr vertOverflow="clip" wrap="square" lIns="27432" tIns="22860" rIns="27432" bIns="0" anchor="t" upright="1"/>
        <a:lstStyle/>
        <a:p>
          <a:pPr algn="ctr" rtl="1">
            <a:defRPr sz="1000"/>
          </a:pPr>
          <a:r>
            <a:rPr lang="ru-RU" sz="800" b="0" i="0" strike="noStrike">
              <a:solidFill>
                <a:srgbClr val="000000"/>
              </a:solidFill>
              <a:latin typeface="Times New Roman Cyr"/>
            </a:rPr>
            <a:t>Расчетный уровень бюджетной обеспеченность, соотв. Среднему уровню бюджетных обязательств в планируемом году</a:t>
          </a:r>
        </a:p>
      </xdr:txBody>
    </xdr:sp>
    <xdr:clientData/>
  </xdr:twoCellAnchor>
  <xdr:twoCellAnchor>
    <xdr:from>
      <xdr:col>2</xdr:col>
      <xdr:colOff>0</xdr:colOff>
      <xdr:row>4</xdr:row>
      <xdr:rowOff>0</xdr:rowOff>
    </xdr:from>
    <xdr:to>
      <xdr:col>2</xdr:col>
      <xdr:colOff>0</xdr:colOff>
      <xdr:row>4</xdr:row>
      <xdr:rowOff>0</xdr:rowOff>
    </xdr:to>
    <xdr:sp macro="" textlink="">
      <xdr:nvSpPr>
        <xdr:cNvPr id="22" name="AutoShape 4"/>
        <xdr:cNvSpPr>
          <a:spLocks noChangeArrowheads="1"/>
        </xdr:cNvSpPr>
      </xdr:nvSpPr>
      <xdr:spPr bwMode="auto">
        <a:xfrm>
          <a:off x="4581525" y="2638425"/>
          <a:ext cx="0" cy="0"/>
        </a:xfrm>
        <a:prstGeom prst="wedgeRoundRectCallout">
          <a:avLst>
            <a:gd name="adj1" fmla="val 16838"/>
            <a:gd name="adj2" fmla="val 105384"/>
            <a:gd name="adj3" fmla="val 16667"/>
          </a:avLst>
        </a:prstGeom>
        <a:solidFill>
          <a:srgbClr val="FFFFFF"/>
        </a:solidFill>
        <a:ln w="9525" cap="rnd">
          <a:solidFill>
            <a:srgbClr val="000000"/>
          </a:solidFill>
          <a:prstDash val="sysDot"/>
          <a:miter lim="800000"/>
          <a:headEnd/>
          <a:tailEnd/>
        </a:ln>
      </xdr:spPr>
      <xdr:txBody>
        <a:bodyPr vertOverflow="clip" wrap="square" lIns="27432" tIns="22860" rIns="27432" bIns="0" anchor="t" upright="1"/>
        <a:lstStyle/>
        <a:p>
          <a:pPr algn="ctr" rtl="1">
            <a:defRPr sz="1000"/>
          </a:pPr>
          <a:r>
            <a:rPr lang="ru-RU" sz="800" b="0" i="0" strike="noStrike">
              <a:solidFill>
                <a:srgbClr val="000000"/>
              </a:solidFill>
              <a:latin typeface="Times New Roman Cyr"/>
            </a:rPr>
            <a:t>Расчетный уровень бюджетной обеспеченность, соотв. Среднему уровню бюджетных обязательств в планируемом году</a:t>
          </a:r>
        </a:p>
      </xdr:txBody>
    </xdr:sp>
    <xdr:clientData/>
  </xdr:twoCellAnchor>
  <xdr:twoCellAnchor>
    <xdr:from>
      <xdr:col>2</xdr:col>
      <xdr:colOff>0</xdr:colOff>
      <xdr:row>4</xdr:row>
      <xdr:rowOff>0</xdr:rowOff>
    </xdr:from>
    <xdr:to>
      <xdr:col>2</xdr:col>
      <xdr:colOff>0</xdr:colOff>
      <xdr:row>4</xdr:row>
      <xdr:rowOff>0</xdr:rowOff>
    </xdr:to>
    <xdr:sp macro="" textlink="">
      <xdr:nvSpPr>
        <xdr:cNvPr id="23" name="AutoShape 9"/>
        <xdr:cNvSpPr>
          <a:spLocks noChangeArrowheads="1"/>
        </xdr:cNvSpPr>
      </xdr:nvSpPr>
      <xdr:spPr bwMode="auto">
        <a:xfrm>
          <a:off x="4581525" y="2638425"/>
          <a:ext cx="0" cy="0"/>
        </a:xfrm>
        <a:prstGeom prst="wedgeRoundRectCallout">
          <a:avLst>
            <a:gd name="adj1" fmla="val 8491"/>
            <a:gd name="adj2" fmla="val 3316667"/>
            <a:gd name="adj3" fmla="val 16667"/>
          </a:avLst>
        </a:prstGeom>
        <a:solidFill>
          <a:srgbClr val="FFFFFF"/>
        </a:solidFill>
        <a:ln w="9525" cap="rnd">
          <a:solidFill>
            <a:srgbClr val="000000"/>
          </a:solidFill>
          <a:prstDash val="sysDot"/>
          <a:miter lim="800000"/>
          <a:headEnd/>
          <a:tailEnd/>
        </a:ln>
      </xdr:spPr>
      <xdr:txBody>
        <a:bodyPr vertOverflow="clip" wrap="square" lIns="27432" tIns="22860" rIns="27432" bIns="0" anchor="t" upright="1"/>
        <a:lstStyle/>
        <a:p>
          <a:pPr algn="ctr" rtl="1">
            <a:defRPr sz="1000"/>
          </a:pPr>
          <a:r>
            <a:rPr lang="ru-RU" sz="800" b="0" i="0" strike="noStrike">
              <a:solidFill>
                <a:srgbClr val="000000"/>
              </a:solidFill>
              <a:latin typeface="Times New Roman Cyr"/>
            </a:rPr>
            <a:t>Расчетный уровень бюджетной обеспеченность, соотв. Среднему уровню бюджетных обязательств в планируемом году</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048;&#1079;&#1084;.&#1088;&#1077;&#1096;&#1077;&#1085;&#1080;&#1081;%202015%20&#1075;&#1086;&#1076;/&#1048;&#1079;&#1084;&#1077;&#1085;&#1077;&#1085;&#1080;&#1103;/&#1055;&#1088;&#1080;&#1083;&#1086;&#1078;&#1077;&#1085;&#1080;&#1103;%202015-2017%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48;&#1079;&#1084;.&#1088;&#1077;&#1096;&#1077;&#1085;&#1080;&#1081;%202015%20&#1075;&#1086;&#1076;/&#1048;&#1079;&#1084;&#1077;&#1085;&#1077;&#1085;&#1080;&#1103;/&#1055;&#1088;&#1080;&#1083;&#1086;&#1078;&#1077;&#1085;&#1080;&#1103;%202015-2017%20&#1076;&#1077;&#108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статки"/>
      <sheetName val="Лист2"/>
      <sheetName val="Публ"/>
      <sheetName val="Лист3"/>
      <sheetName val="От пос"/>
      <sheetName val="Пос-м"/>
      <sheetName val=" Дох.15"/>
      <sheetName val="1 Норм"/>
      <sheetName val="2 Адм.дох"/>
      <sheetName val="3 Ист.дох"/>
      <sheetName val="4 Адм.ОГВ"/>
      <sheetName val="5.Адм.ист."/>
      <sheetName val="0801"/>
      <sheetName val="Функц."/>
      <sheetName val="6 Вед15"/>
      <sheetName val="8 МП15"/>
      <sheetName val="7 Вед.15-16"/>
      <sheetName val="9 МП15-16"/>
      <sheetName val="10.1 Выр.15"/>
      <sheetName val="10.2 Сб 15"/>
      <sheetName val="10.3 Ком.15"/>
      <sheetName val="10.4 В.уч15"/>
      <sheetName val="10.5 Прот.15"/>
      <sheetName val="10.6 Дороги"/>
      <sheetName val="10.7 Сб.МР"/>
      <sheetName val="10.8 Жилф"/>
      <sheetName val="10.9 Газ"/>
      <sheetName val="11.1 Выр.16-17"/>
      <sheetName val="11.2 СБ.16-17"/>
      <sheetName val="11.3 Ком.16-17"/>
      <sheetName val="11.4 В.уч.16-17"/>
      <sheetName val="11.5 Прот.16-17"/>
      <sheetName val="12 Ист.15"/>
      <sheetName val="13 Ист.15-16"/>
      <sheetName val="14.1 дороги"/>
      <sheetName val="Расчет жилье"/>
      <sheetName val="Лист1"/>
    </sheetNames>
    <sheetDataSet>
      <sheetData sheetId="0"/>
      <sheetData sheetId="1"/>
      <sheetData sheetId="2"/>
      <sheetData sheetId="3"/>
      <sheetData sheetId="4"/>
      <sheetData sheetId="5"/>
      <sheetData sheetId="6">
        <row r="143">
          <cell r="C143">
            <v>234246433</v>
          </cell>
          <cell r="F143">
            <v>4802500</v>
          </cell>
          <cell r="G143">
            <v>239048933</v>
          </cell>
          <cell r="H143">
            <v>-4115019</v>
          </cell>
          <cell r="I143">
            <v>234933914</v>
          </cell>
          <cell r="J143">
            <v>-2547950</v>
          </cell>
          <cell r="K143">
            <v>232385964</v>
          </cell>
          <cell r="L143">
            <v>16088001.16</v>
          </cell>
          <cell r="M143">
            <v>248473965.16</v>
          </cell>
        </row>
      </sheetData>
      <sheetData sheetId="7"/>
      <sheetData sheetId="8"/>
      <sheetData sheetId="9"/>
      <sheetData sheetId="10"/>
      <sheetData sheetId="11"/>
      <sheetData sheetId="12"/>
      <sheetData sheetId="13"/>
      <sheetData sheetId="14">
        <row r="13">
          <cell r="J13">
            <v>946200</v>
          </cell>
        </row>
        <row r="74">
          <cell r="J74">
            <v>379160</v>
          </cell>
        </row>
        <row r="409">
          <cell r="J409">
            <v>234246433</v>
          </cell>
          <cell r="K409">
            <v>8505006</v>
          </cell>
          <cell r="L409">
            <v>242751439</v>
          </cell>
          <cell r="M409">
            <v>165681</v>
          </cell>
          <cell r="N409">
            <v>242917120</v>
          </cell>
          <cell r="O409">
            <v>-2522350</v>
          </cell>
          <cell r="P409">
            <v>240394770</v>
          </cell>
          <cell r="Q409">
            <v>16540201.76</v>
          </cell>
          <cell r="U409">
            <v>256934971.75999999</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статки"/>
      <sheetName val="Лист2"/>
      <sheetName val="Публ"/>
      <sheetName val="Лист3"/>
      <sheetName val="От пос"/>
      <sheetName val="Пос-м"/>
      <sheetName val=" Дох.15"/>
      <sheetName val="1 Норм"/>
      <sheetName val="2 Адм.дох"/>
      <sheetName val="3 Ист.дох"/>
      <sheetName val="4 Адм.ОГВ"/>
      <sheetName val="5.Адм.ист."/>
      <sheetName val="0801"/>
      <sheetName val="Функц."/>
      <sheetName val="6 Вед15"/>
      <sheetName val="8 МП15"/>
      <sheetName val="7 Вед.15-16"/>
      <sheetName val="9 МП15-16"/>
      <sheetName val="10.1 Выр.15"/>
      <sheetName val="10.2 Сб 15"/>
      <sheetName val="10.3 Ком.15"/>
      <sheetName val="10.4 В.уч15"/>
      <sheetName val="10.5 Прот.15"/>
      <sheetName val="10.6 Дороги"/>
      <sheetName val="10.7 Сб.МР"/>
      <sheetName val="10.8 Жилф"/>
      <sheetName val="10.9 Газ"/>
      <sheetName val="11.1 Выр.16-17"/>
      <sheetName val="11.2 СБ.16-17"/>
      <sheetName val="11.3 Ком.16-17"/>
      <sheetName val="11.4 В.уч.16-17"/>
      <sheetName val="11.5 Прот.16-17"/>
      <sheetName val="12 Ист.15"/>
      <sheetName val="13 Ист.15-16"/>
      <sheetName val="14.1 дороги"/>
      <sheetName val="Расчет жилье"/>
      <sheetName val="Лист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13">
          <cell r="J13">
            <v>946200</v>
          </cell>
        </row>
        <row r="16">
          <cell r="J16">
            <v>11544100</v>
          </cell>
          <cell r="Q16">
            <v>76094</v>
          </cell>
        </row>
        <row r="18">
          <cell r="J18">
            <v>3777580</v>
          </cell>
          <cell r="Q18">
            <v>-39614</v>
          </cell>
        </row>
        <row r="20">
          <cell r="J20">
            <v>945200</v>
          </cell>
          <cell r="Q20">
            <v>-36480</v>
          </cell>
        </row>
        <row r="21">
          <cell r="J21">
            <v>70800</v>
          </cell>
        </row>
        <row r="22">
          <cell r="J22">
            <v>50000</v>
          </cell>
        </row>
        <row r="25">
          <cell r="J25">
            <v>2500</v>
          </cell>
        </row>
        <row r="29">
          <cell r="J29">
            <v>0</v>
          </cell>
          <cell r="K29">
            <v>0</v>
          </cell>
          <cell r="M29">
            <v>0</v>
          </cell>
          <cell r="O29">
            <v>0</v>
          </cell>
          <cell r="Q29">
            <v>0</v>
          </cell>
          <cell r="V29">
            <v>0</v>
          </cell>
        </row>
        <row r="33">
          <cell r="O33">
            <v>25600</v>
          </cell>
        </row>
        <row r="37">
          <cell r="J37">
            <v>200000</v>
          </cell>
          <cell r="O37">
            <v>-59000</v>
          </cell>
          <cell r="Q37">
            <v>-20000</v>
          </cell>
        </row>
        <row r="41">
          <cell r="J41">
            <v>216840</v>
          </cell>
        </row>
        <row r="43">
          <cell r="J43">
            <v>123860</v>
          </cell>
          <cell r="M43">
            <v>-23856</v>
          </cell>
        </row>
        <row r="46">
          <cell r="J46">
            <v>450000</v>
          </cell>
        </row>
        <row r="49">
          <cell r="J49">
            <v>1575000</v>
          </cell>
        </row>
        <row r="55">
          <cell r="J55">
            <v>172000</v>
          </cell>
          <cell r="Q55">
            <v>2150404</v>
          </cell>
        </row>
        <row r="57">
          <cell r="J57">
            <v>1400000</v>
          </cell>
          <cell r="K57">
            <v>763089</v>
          </cell>
          <cell r="Q57">
            <v>-2150404</v>
          </cell>
        </row>
        <row r="62">
          <cell r="J62">
            <v>2000000</v>
          </cell>
          <cell r="K62">
            <v>39999</v>
          </cell>
          <cell r="Q62">
            <v>243839</v>
          </cell>
        </row>
        <row r="65">
          <cell r="J65">
            <v>300000</v>
          </cell>
          <cell r="Q65">
            <v>-258323</v>
          </cell>
        </row>
        <row r="68">
          <cell r="Q68">
            <v>1200000</v>
          </cell>
        </row>
        <row r="70">
          <cell r="O70">
            <v>1200000</v>
          </cell>
          <cell r="Q70">
            <v>-1200000</v>
          </cell>
        </row>
        <row r="75">
          <cell r="J75">
            <v>379160</v>
          </cell>
        </row>
        <row r="77">
          <cell r="J77">
            <v>49742</v>
          </cell>
          <cell r="M77">
            <v>-39699</v>
          </cell>
        </row>
        <row r="82">
          <cell r="J82">
            <v>1246000</v>
          </cell>
        </row>
        <row r="84">
          <cell r="J84">
            <v>86400</v>
          </cell>
          <cell r="K84">
            <v>10900</v>
          </cell>
        </row>
        <row r="89">
          <cell r="M89">
            <v>700000</v>
          </cell>
        </row>
        <row r="92">
          <cell r="J92">
            <v>11140</v>
          </cell>
        </row>
        <row r="95">
          <cell r="J95">
            <v>55000</v>
          </cell>
        </row>
        <row r="98">
          <cell r="K98">
            <v>1300000</v>
          </cell>
        </row>
        <row r="105">
          <cell r="Q105">
            <v>80000</v>
          </cell>
        </row>
        <row r="108">
          <cell r="J108">
            <v>2558000</v>
          </cell>
          <cell r="K108">
            <v>0</v>
          </cell>
          <cell r="M108">
            <v>0</v>
          </cell>
          <cell r="O108">
            <v>0</v>
          </cell>
          <cell r="Q108">
            <v>-2558000</v>
          </cell>
        </row>
        <row r="112">
          <cell r="J112">
            <v>97615</v>
          </cell>
        </row>
        <row r="114">
          <cell r="J114">
            <v>75885</v>
          </cell>
          <cell r="M114">
            <v>-12145</v>
          </cell>
        </row>
        <row r="120">
          <cell r="J120">
            <v>100000</v>
          </cell>
        </row>
        <row r="128">
          <cell r="J128">
            <v>41440</v>
          </cell>
        </row>
        <row r="132">
          <cell r="K132">
            <v>285000</v>
          </cell>
        </row>
        <row r="135">
          <cell r="J135">
            <v>700000</v>
          </cell>
          <cell r="K135">
            <v>10570</v>
          </cell>
        </row>
        <row r="138">
          <cell r="K138">
            <v>15000</v>
          </cell>
        </row>
        <row r="141">
          <cell r="K141">
            <v>632468</v>
          </cell>
          <cell r="Q141">
            <v>-632468</v>
          </cell>
        </row>
        <row r="144">
          <cell r="Q144">
            <v>426205</v>
          </cell>
        </row>
        <row r="147">
          <cell r="Q147">
            <v>969400</v>
          </cell>
        </row>
        <row r="152">
          <cell r="K152">
            <v>4517500</v>
          </cell>
          <cell r="O152">
            <v>-4017500</v>
          </cell>
          <cell r="Q152">
            <v>11500000</v>
          </cell>
        </row>
        <row r="155">
          <cell r="L155">
            <v>0</v>
          </cell>
          <cell r="N155">
            <v>0</v>
          </cell>
          <cell r="P155">
            <v>0</v>
          </cell>
          <cell r="U155">
            <v>0</v>
          </cell>
        </row>
        <row r="157">
          <cell r="J157">
            <v>8214000</v>
          </cell>
          <cell r="M157">
            <v>-940718</v>
          </cell>
        </row>
        <row r="162">
          <cell r="J162">
            <v>2580900</v>
          </cell>
          <cell r="O162">
            <v>11130</v>
          </cell>
          <cell r="Q162">
            <v>-11130</v>
          </cell>
        </row>
        <row r="165">
          <cell r="J165">
            <v>157900</v>
          </cell>
        </row>
        <row r="168">
          <cell r="J168">
            <v>8947680</v>
          </cell>
          <cell r="O168">
            <v>20795</v>
          </cell>
          <cell r="Q168">
            <v>-51675</v>
          </cell>
        </row>
        <row r="171">
          <cell r="J171">
            <v>2860620</v>
          </cell>
          <cell r="K171">
            <v>0</v>
          </cell>
          <cell r="M171">
            <v>0</v>
          </cell>
          <cell r="O171">
            <v>-8745</v>
          </cell>
          <cell r="Q171">
            <v>-92850</v>
          </cell>
        </row>
        <row r="172">
          <cell r="Q172">
            <v>57075</v>
          </cell>
        </row>
        <row r="175">
          <cell r="J175">
            <v>9540</v>
          </cell>
          <cell r="O175">
            <v>-3180</v>
          </cell>
          <cell r="Q175">
            <v>98580</v>
          </cell>
        </row>
        <row r="178">
          <cell r="J178">
            <v>100000</v>
          </cell>
        </row>
        <row r="181">
          <cell r="J181">
            <v>200000</v>
          </cell>
          <cell r="K181">
            <v>605000</v>
          </cell>
          <cell r="O181">
            <v>10000</v>
          </cell>
        </row>
        <row r="184">
          <cell r="Q184">
            <v>261321.25</v>
          </cell>
        </row>
        <row r="188">
          <cell r="J188">
            <v>15000</v>
          </cell>
        </row>
        <row r="193">
          <cell r="J193">
            <v>2587000</v>
          </cell>
          <cell r="M193">
            <v>115000</v>
          </cell>
          <cell r="Q193">
            <v>14484</v>
          </cell>
        </row>
        <row r="197">
          <cell r="O197">
            <v>59000</v>
          </cell>
          <cell r="Q197">
            <v>20000</v>
          </cell>
        </row>
        <row r="200">
          <cell r="Q200">
            <v>2136420</v>
          </cell>
        </row>
        <row r="203">
          <cell r="J203">
            <v>582660</v>
          </cell>
        </row>
        <row r="207">
          <cell r="J207">
            <v>8011575</v>
          </cell>
        </row>
        <row r="211">
          <cell r="J211">
            <v>90000</v>
          </cell>
        </row>
        <row r="213">
          <cell r="J213">
            <v>180000</v>
          </cell>
        </row>
        <row r="218">
          <cell r="J218">
            <v>260000</v>
          </cell>
        </row>
        <row r="221">
          <cell r="J221">
            <v>284000</v>
          </cell>
        </row>
        <row r="227">
          <cell r="J227">
            <v>11495900</v>
          </cell>
          <cell r="Q227">
            <v>1176182</v>
          </cell>
        </row>
        <row r="230">
          <cell r="J230">
            <v>21495027</v>
          </cell>
        </row>
        <row r="233">
          <cell r="J233">
            <v>624000</v>
          </cell>
        </row>
        <row r="236">
          <cell r="Q236">
            <v>37591</v>
          </cell>
        </row>
        <row r="239">
          <cell r="J239">
            <v>361000</v>
          </cell>
          <cell r="Q239">
            <v>-102591</v>
          </cell>
        </row>
        <row r="243">
          <cell r="J243">
            <v>13985000</v>
          </cell>
          <cell r="M243">
            <v>-49248</v>
          </cell>
        </row>
        <row r="246">
          <cell r="J246">
            <v>8331600</v>
          </cell>
          <cell r="Q246">
            <v>-329104</v>
          </cell>
        </row>
        <row r="252">
          <cell r="J252">
            <v>66777336</v>
          </cell>
        </row>
        <row r="255">
          <cell r="M255">
            <v>808050</v>
          </cell>
        </row>
        <row r="258">
          <cell r="J258">
            <v>2667200</v>
          </cell>
        </row>
        <row r="261">
          <cell r="O261">
            <v>247500</v>
          </cell>
        </row>
        <row r="264">
          <cell r="J264">
            <v>1110000</v>
          </cell>
          <cell r="K264">
            <v>154200</v>
          </cell>
          <cell r="M264">
            <v>49248</v>
          </cell>
          <cell r="Q264">
            <v>48980</v>
          </cell>
        </row>
        <row r="267">
          <cell r="J267">
            <v>677500</v>
          </cell>
          <cell r="K267">
            <v>171280</v>
          </cell>
          <cell r="Q267">
            <v>304124</v>
          </cell>
        </row>
        <row r="277">
          <cell r="J277">
            <v>122200</v>
          </cell>
        </row>
        <row r="281">
          <cell r="J281">
            <v>836500</v>
          </cell>
        </row>
        <row r="284">
          <cell r="J284">
            <v>2427300</v>
          </cell>
          <cell r="M284">
            <v>1824</v>
          </cell>
        </row>
        <row r="286">
          <cell r="J286">
            <v>505100</v>
          </cell>
          <cell r="M286">
            <v>-1824</v>
          </cell>
        </row>
        <row r="288">
          <cell r="J288">
            <v>6887400</v>
          </cell>
          <cell r="M288">
            <v>57314</v>
          </cell>
          <cell r="Q288">
            <v>384100</v>
          </cell>
        </row>
        <row r="290">
          <cell r="J290">
            <v>12000</v>
          </cell>
          <cell r="Q290">
            <v>-563</v>
          </cell>
        </row>
        <row r="291">
          <cell r="Q291">
            <v>563</v>
          </cell>
        </row>
        <row r="294">
          <cell r="J294">
            <v>1399060</v>
          </cell>
        </row>
        <row r="297">
          <cell r="Q297">
            <v>41000</v>
          </cell>
        </row>
        <row r="302">
          <cell r="J302">
            <v>93000</v>
          </cell>
          <cell r="Q302">
            <v>79000</v>
          </cell>
        </row>
        <row r="306">
          <cell r="J306">
            <v>836736</v>
          </cell>
          <cell r="M306">
            <v>249959</v>
          </cell>
        </row>
        <row r="309">
          <cell r="J309">
            <v>1795108</v>
          </cell>
        </row>
        <row r="311">
          <cell r="J311">
            <v>5181192</v>
          </cell>
        </row>
        <row r="314">
          <cell r="J314">
            <v>158000</v>
          </cell>
          <cell r="Q314">
            <v>-34322.089999999997</v>
          </cell>
        </row>
        <row r="318">
          <cell r="J318">
            <v>379550</v>
          </cell>
        </row>
        <row r="320">
          <cell r="J320">
            <v>131250</v>
          </cell>
          <cell r="M320">
            <v>-35763</v>
          </cell>
        </row>
        <row r="323">
          <cell r="J323">
            <v>420900</v>
          </cell>
          <cell r="V323">
            <v>21799.07</v>
          </cell>
        </row>
        <row r="331">
          <cell r="J331">
            <v>3406500</v>
          </cell>
        </row>
        <row r="333">
          <cell r="J333">
            <v>314800</v>
          </cell>
        </row>
        <row r="335">
          <cell r="J335">
            <v>13870</v>
          </cell>
        </row>
        <row r="336">
          <cell r="J336">
            <v>130</v>
          </cell>
        </row>
        <row r="340">
          <cell r="J340">
            <v>200</v>
          </cell>
        </row>
        <row r="345">
          <cell r="J345">
            <v>800617</v>
          </cell>
          <cell r="M345">
            <v>-74105</v>
          </cell>
        </row>
        <row r="350">
          <cell r="K350">
            <v>0</v>
          </cell>
          <cell r="M350">
            <v>0</v>
          </cell>
          <cell r="O350">
            <v>0</v>
          </cell>
          <cell r="Q350">
            <v>2478000</v>
          </cell>
        </row>
        <row r="355">
          <cell r="M355">
            <v>68104</v>
          </cell>
          <cell r="Q355">
            <v>68100.600000000006</v>
          </cell>
        </row>
        <row r="359">
          <cell r="M359">
            <v>300</v>
          </cell>
          <cell r="Q359">
            <v>206263</v>
          </cell>
        </row>
        <row r="368">
          <cell r="J368">
            <v>95400</v>
          </cell>
          <cell r="O368">
            <v>-7950</v>
          </cell>
        </row>
        <row r="374">
          <cell r="K374">
            <v>5882000</v>
          </cell>
        </row>
        <row r="375">
          <cell r="J375">
            <v>5882000</v>
          </cell>
          <cell r="K375">
            <v>-5882000</v>
          </cell>
          <cell r="L375">
            <v>0</v>
          </cell>
          <cell r="N375">
            <v>0</v>
          </cell>
          <cell r="P375">
            <v>0</v>
          </cell>
          <cell r="U375">
            <v>0</v>
          </cell>
        </row>
        <row r="380">
          <cell r="K380">
            <v>8607000</v>
          </cell>
          <cell r="M380">
            <v>-860700</v>
          </cell>
        </row>
        <row r="381">
          <cell r="J381">
            <v>8607000</v>
          </cell>
          <cell r="K381">
            <v>-8607000</v>
          </cell>
        </row>
        <row r="385">
          <cell r="M385">
            <v>200000</v>
          </cell>
        </row>
        <row r="395">
          <cell r="J395">
            <v>789500</v>
          </cell>
        </row>
        <row r="399">
          <cell r="J399">
            <v>418200</v>
          </cell>
        </row>
        <row r="401">
          <cell r="J401">
            <v>208700</v>
          </cell>
        </row>
        <row r="403">
          <cell r="J403">
            <v>520</v>
          </cell>
        </row>
        <row r="409">
          <cell r="J409">
            <v>459000</v>
          </cell>
        </row>
        <row r="411">
          <cell r="J411">
            <v>29700</v>
          </cell>
        </row>
        <row r="414">
          <cell r="J414">
            <v>18000</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Y178"/>
  <sheetViews>
    <sheetView zoomScaleNormal="100" workbookViewId="0">
      <pane xSplit="2" ySplit="6" topLeftCell="C120" activePane="bottomRight" state="frozen"/>
      <selection activeCell="A87" sqref="A87"/>
      <selection pane="topRight" activeCell="A87" sqref="A87"/>
      <selection pane="bottomLeft" activeCell="A87" sqref="A87"/>
      <selection pane="bottomRight" activeCell="Z142" sqref="Z142"/>
    </sheetView>
  </sheetViews>
  <sheetFormatPr defaultRowHeight="12" x14ac:dyDescent="0.25"/>
  <cols>
    <col min="1" max="1" width="20.5703125" style="64" customWidth="1"/>
    <col min="2" max="2" width="63.85546875" style="64" customWidth="1"/>
    <col min="3" max="3" width="15.28515625" style="64" hidden="1" customWidth="1"/>
    <col min="4" max="5" width="14" style="64" hidden="1" customWidth="1"/>
    <col min="6" max="6" width="16.28515625" style="64" hidden="1" customWidth="1"/>
    <col min="7" max="7" width="14.140625" style="69" hidden="1" customWidth="1"/>
    <col min="8" max="8" width="13" style="64" hidden="1" customWidth="1"/>
    <col min="9" max="9" width="13.5703125" style="69" hidden="1" customWidth="1"/>
    <col min="10" max="10" width="13" style="64" hidden="1" customWidth="1"/>
    <col min="11" max="11" width="13.5703125" style="69" hidden="1" customWidth="1"/>
    <col min="12" max="12" width="25.85546875" style="64" hidden="1" customWidth="1"/>
    <col min="13" max="13" width="15.28515625" style="69" customWidth="1"/>
    <col min="14" max="14" width="14.7109375" style="69" customWidth="1"/>
    <col min="15" max="15" width="15.28515625" style="69" customWidth="1"/>
    <col min="16" max="17" width="2.5703125" style="64" hidden="1" customWidth="1"/>
    <col min="18" max="18" width="14" style="64" hidden="1" customWidth="1"/>
    <col min="19" max="19" width="13" style="64" hidden="1" customWidth="1"/>
    <col min="20" max="23" width="14" style="64" hidden="1" customWidth="1"/>
    <col min="24" max="25" width="0" style="64" hidden="1" customWidth="1"/>
    <col min="26" max="197" width="9.140625" style="64"/>
    <col min="198" max="198" width="25.42578125" style="64" customWidth="1"/>
    <col min="199" max="199" width="56.28515625" style="64" customWidth="1"/>
    <col min="200" max="200" width="14" style="64" customWidth="1"/>
    <col min="201" max="202" width="14.5703125" style="64" customWidth="1"/>
    <col min="203" max="203" width="14.140625" style="64" customWidth="1"/>
    <col min="204" max="204" width="15.140625" style="64" customWidth="1"/>
    <col min="205" max="205" width="13.85546875" style="64" customWidth="1"/>
    <col min="206" max="207" width="14.7109375" style="64" customWidth="1"/>
    <col min="208" max="208" width="12.85546875" style="64" customWidth="1"/>
    <col min="209" max="209" width="13.5703125" style="64" customWidth="1"/>
    <col min="210" max="210" width="12.7109375" style="64" customWidth="1"/>
    <col min="211" max="211" width="13.42578125" style="64" customWidth="1"/>
    <col min="212" max="212" width="13.140625" style="64" customWidth="1"/>
    <col min="213" max="213" width="14.7109375" style="64" customWidth="1"/>
    <col min="214" max="214" width="14.5703125" style="64" customWidth="1"/>
    <col min="215" max="215" width="13" style="64" customWidth="1"/>
    <col min="216" max="216" width="15" style="64" customWidth="1"/>
    <col min="217" max="218" width="12.140625" style="64" customWidth="1"/>
    <col min="219" max="219" width="12" style="64" customWidth="1"/>
    <col min="220" max="220" width="13.5703125" style="64" customWidth="1"/>
    <col min="221" max="221" width="14" style="64" customWidth="1"/>
    <col min="222" max="222" width="12.28515625" style="64" customWidth="1"/>
    <col min="223" max="223" width="14.140625" style="64" customWidth="1"/>
    <col min="224" max="224" width="13" style="64" customWidth="1"/>
    <col min="225" max="225" width="13.5703125" style="64" customWidth="1"/>
    <col min="226" max="226" width="12.42578125" style="64" customWidth="1"/>
    <col min="227" max="227" width="12.5703125" style="64" customWidth="1"/>
    <col min="228" max="228" width="11.7109375" style="64" customWidth="1"/>
    <col min="229" max="229" width="13.7109375" style="64" customWidth="1"/>
    <col min="230" max="230" width="13.28515625" style="64" customWidth="1"/>
    <col min="231" max="231" width="13.140625" style="64" customWidth="1"/>
    <col min="232" max="232" width="12" style="64" customWidth="1"/>
    <col min="233" max="233" width="12.140625" style="64" customWidth="1"/>
    <col min="234" max="234" width="12.28515625" style="64" customWidth="1"/>
    <col min="235" max="235" width="12.140625" style="64" customWidth="1"/>
    <col min="236" max="236" width="12.5703125" style="64" customWidth="1"/>
    <col min="237" max="453" width="9.140625" style="64"/>
    <col min="454" max="454" width="25.42578125" style="64" customWidth="1"/>
    <col min="455" max="455" width="56.28515625" style="64" customWidth="1"/>
    <col min="456" max="456" width="14" style="64" customWidth="1"/>
    <col min="457" max="458" width="14.5703125" style="64" customWidth="1"/>
    <col min="459" max="459" width="14.140625" style="64" customWidth="1"/>
    <col min="460" max="460" width="15.140625" style="64" customWidth="1"/>
    <col min="461" max="461" width="13.85546875" style="64" customWidth="1"/>
    <col min="462" max="463" width="14.7109375" style="64" customWidth="1"/>
    <col min="464" max="464" width="12.85546875" style="64" customWidth="1"/>
    <col min="465" max="465" width="13.5703125" style="64" customWidth="1"/>
    <col min="466" max="466" width="12.7109375" style="64" customWidth="1"/>
    <col min="467" max="467" width="13.42578125" style="64" customWidth="1"/>
    <col min="468" max="468" width="13.140625" style="64" customWidth="1"/>
    <col min="469" max="469" width="14.7109375" style="64" customWidth="1"/>
    <col min="470" max="470" width="14.5703125" style="64" customWidth="1"/>
    <col min="471" max="471" width="13" style="64" customWidth="1"/>
    <col min="472" max="472" width="15" style="64" customWidth="1"/>
    <col min="473" max="474" width="12.140625" style="64" customWidth="1"/>
    <col min="475" max="475" width="12" style="64" customWidth="1"/>
    <col min="476" max="476" width="13.5703125" style="64" customWidth="1"/>
    <col min="477" max="477" width="14" style="64" customWidth="1"/>
    <col min="478" max="478" width="12.28515625" style="64" customWidth="1"/>
    <col min="479" max="479" width="14.140625" style="64" customWidth="1"/>
    <col min="480" max="480" width="13" style="64" customWidth="1"/>
    <col min="481" max="481" width="13.5703125" style="64" customWidth="1"/>
    <col min="482" max="482" width="12.42578125" style="64" customWidth="1"/>
    <col min="483" max="483" width="12.5703125" style="64" customWidth="1"/>
    <col min="484" max="484" width="11.7109375" style="64" customWidth="1"/>
    <col min="485" max="485" width="13.7109375" style="64" customWidth="1"/>
    <col min="486" max="486" width="13.28515625" style="64" customWidth="1"/>
    <col min="487" max="487" width="13.140625" style="64" customWidth="1"/>
    <col min="488" max="488" width="12" style="64" customWidth="1"/>
    <col min="489" max="489" width="12.140625" style="64" customWidth="1"/>
    <col min="490" max="490" width="12.28515625" style="64" customWidth="1"/>
    <col min="491" max="491" width="12.140625" style="64" customWidth="1"/>
    <col min="492" max="492" width="12.5703125" style="64" customWidth="1"/>
    <col min="493" max="709" width="9.140625" style="64"/>
    <col min="710" max="710" width="25.42578125" style="64" customWidth="1"/>
    <col min="711" max="711" width="56.28515625" style="64" customWidth="1"/>
    <col min="712" max="712" width="14" style="64" customWidth="1"/>
    <col min="713" max="714" width="14.5703125" style="64" customWidth="1"/>
    <col min="715" max="715" width="14.140625" style="64" customWidth="1"/>
    <col min="716" max="716" width="15.140625" style="64" customWidth="1"/>
    <col min="717" max="717" width="13.85546875" style="64" customWidth="1"/>
    <col min="718" max="719" width="14.7109375" style="64" customWidth="1"/>
    <col min="720" max="720" width="12.85546875" style="64" customWidth="1"/>
    <col min="721" max="721" width="13.5703125" style="64" customWidth="1"/>
    <col min="722" max="722" width="12.7109375" style="64" customWidth="1"/>
    <col min="723" max="723" width="13.42578125" style="64" customWidth="1"/>
    <col min="724" max="724" width="13.140625" style="64" customWidth="1"/>
    <col min="725" max="725" width="14.7109375" style="64" customWidth="1"/>
    <col min="726" max="726" width="14.5703125" style="64" customWidth="1"/>
    <col min="727" max="727" width="13" style="64" customWidth="1"/>
    <col min="728" max="728" width="15" style="64" customWidth="1"/>
    <col min="729" max="730" width="12.140625" style="64" customWidth="1"/>
    <col min="731" max="731" width="12" style="64" customWidth="1"/>
    <col min="732" max="732" width="13.5703125" style="64" customWidth="1"/>
    <col min="733" max="733" width="14" style="64" customWidth="1"/>
    <col min="734" max="734" width="12.28515625" style="64" customWidth="1"/>
    <col min="735" max="735" width="14.140625" style="64" customWidth="1"/>
    <col min="736" max="736" width="13" style="64" customWidth="1"/>
    <col min="737" max="737" width="13.5703125" style="64" customWidth="1"/>
    <col min="738" max="738" width="12.42578125" style="64" customWidth="1"/>
    <col min="739" max="739" width="12.5703125" style="64" customWidth="1"/>
    <col min="740" max="740" width="11.7109375" style="64" customWidth="1"/>
    <col min="741" max="741" width="13.7109375" style="64" customWidth="1"/>
    <col min="742" max="742" width="13.28515625" style="64" customWidth="1"/>
    <col min="743" max="743" width="13.140625" style="64" customWidth="1"/>
    <col min="744" max="744" width="12" style="64" customWidth="1"/>
    <col min="745" max="745" width="12.140625" style="64" customWidth="1"/>
    <col min="746" max="746" width="12.28515625" style="64" customWidth="1"/>
    <col min="747" max="747" width="12.140625" style="64" customWidth="1"/>
    <col min="748" max="748" width="12.5703125" style="64" customWidth="1"/>
    <col min="749" max="965" width="9.140625" style="64"/>
    <col min="966" max="966" width="25.42578125" style="64" customWidth="1"/>
    <col min="967" max="967" width="56.28515625" style="64" customWidth="1"/>
    <col min="968" max="968" width="14" style="64" customWidth="1"/>
    <col min="969" max="970" width="14.5703125" style="64" customWidth="1"/>
    <col min="971" max="971" width="14.140625" style="64" customWidth="1"/>
    <col min="972" max="972" width="15.140625" style="64" customWidth="1"/>
    <col min="973" max="973" width="13.85546875" style="64" customWidth="1"/>
    <col min="974" max="975" width="14.7109375" style="64" customWidth="1"/>
    <col min="976" max="976" width="12.85546875" style="64" customWidth="1"/>
    <col min="977" max="977" width="13.5703125" style="64" customWidth="1"/>
    <col min="978" max="978" width="12.7109375" style="64" customWidth="1"/>
    <col min="979" max="979" width="13.42578125" style="64" customWidth="1"/>
    <col min="980" max="980" width="13.140625" style="64" customWidth="1"/>
    <col min="981" max="981" width="14.7109375" style="64" customWidth="1"/>
    <col min="982" max="982" width="14.5703125" style="64" customWidth="1"/>
    <col min="983" max="983" width="13" style="64" customWidth="1"/>
    <col min="984" max="984" width="15" style="64" customWidth="1"/>
    <col min="985" max="986" width="12.140625" style="64" customWidth="1"/>
    <col min="987" max="987" width="12" style="64" customWidth="1"/>
    <col min="988" max="988" width="13.5703125" style="64" customWidth="1"/>
    <col min="989" max="989" width="14" style="64" customWidth="1"/>
    <col min="990" max="990" width="12.28515625" style="64" customWidth="1"/>
    <col min="991" max="991" width="14.140625" style="64" customWidth="1"/>
    <col min="992" max="992" width="13" style="64" customWidth="1"/>
    <col min="993" max="993" width="13.5703125" style="64" customWidth="1"/>
    <col min="994" max="994" width="12.42578125" style="64" customWidth="1"/>
    <col min="995" max="995" width="12.5703125" style="64" customWidth="1"/>
    <col min="996" max="996" width="11.7109375" style="64" customWidth="1"/>
    <col min="997" max="997" width="13.7109375" style="64" customWidth="1"/>
    <col min="998" max="998" width="13.28515625" style="64" customWidth="1"/>
    <col min="999" max="999" width="13.140625" style="64" customWidth="1"/>
    <col min="1000" max="1000" width="12" style="64" customWidth="1"/>
    <col min="1001" max="1001" width="12.140625" style="64" customWidth="1"/>
    <col min="1002" max="1002" width="12.28515625" style="64" customWidth="1"/>
    <col min="1003" max="1003" width="12.140625" style="64" customWidth="1"/>
    <col min="1004" max="1004" width="12.5703125" style="64" customWidth="1"/>
    <col min="1005" max="1221" width="9.140625" style="64"/>
    <col min="1222" max="1222" width="25.42578125" style="64" customWidth="1"/>
    <col min="1223" max="1223" width="56.28515625" style="64" customWidth="1"/>
    <col min="1224" max="1224" width="14" style="64" customWidth="1"/>
    <col min="1225" max="1226" width="14.5703125" style="64" customWidth="1"/>
    <col min="1227" max="1227" width="14.140625" style="64" customWidth="1"/>
    <col min="1228" max="1228" width="15.140625" style="64" customWidth="1"/>
    <col min="1229" max="1229" width="13.85546875" style="64" customWidth="1"/>
    <col min="1230" max="1231" width="14.7109375" style="64" customWidth="1"/>
    <col min="1232" max="1232" width="12.85546875" style="64" customWidth="1"/>
    <col min="1233" max="1233" width="13.5703125" style="64" customWidth="1"/>
    <col min="1234" max="1234" width="12.7109375" style="64" customWidth="1"/>
    <col min="1235" max="1235" width="13.42578125" style="64" customWidth="1"/>
    <col min="1236" max="1236" width="13.140625" style="64" customWidth="1"/>
    <col min="1237" max="1237" width="14.7109375" style="64" customWidth="1"/>
    <col min="1238" max="1238" width="14.5703125" style="64" customWidth="1"/>
    <col min="1239" max="1239" width="13" style="64" customWidth="1"/>
    <col min="1240" max="1240" width="15" style="64" customWidth="1"/>
    <col min="1241" max="1242" width="12.140625" style="64" customWidth="1"/>
    <col min="1243" max="1243" width="12" style="64" customWidth="1"/>
    <col min="1244" max="1244" width="13.5703125" style="64" customWidth="1"/>
    <col min="1245" max="1245" width="14" style="64" customWidth="1"/>
    <col min="1246" max="1246" width="12.28515625" style="64" customWidth="1"/>
    <col min="1247" max="1247" width="14.140625" style="64" customWidth="1"/>
    <col min="1248" max="1248" width="13" style="64" customWidth="1"/>
    <col min="1249" max="1249" width="13.5703125" style="64" customWidth="1"/>
    <col min="1250" max="1250" width="12.42578125" style="64" customWidth="1"/>
    <col min="1251" max="1251" width="12.5703125" style="64" customWidth="1"/>
    <col min="1252" max="1252" width="11.7109375" style="64" customWidth="1"/>
    <col min="1253" max="1253" width="13.7109375" style="64" customWidth="1"/>
    <col min="1254" max="1254" width="13.28515625" style="64" customWidth="1"/>
    <col min="1255" max="1255" width="13.140625" style="64" customWidth="1"/>
    <col min="1256" max="1256" width="12" style="64" customWidth="1"/>
    <col min="1257" max="1257" width="12.140625" style="64" customWidth="1"/>
    <col min="1258" max="1258" width="12.28515625" style="64" customWidth="1"/>
    <col min="1259" max="1259" width="12.140625" style="64" customWidth="1"/>
    <col min="1260" max="1260" width="12.5703125" style="64" customWidth="1"/>
    <col min="1261" max="1477" width="9.140625" style="64"/>
    <col min="1478" max="1478" width="25.42578125" style="64" customWidth="1"/>
    <col min="1479" max="1479" width="56.28515625" style="64" customWidth="1"/>
    <col min="1480" max="1480" width="14" style="64" customWidth="1"/>
    <col min="1481" max="1482" width="14.5703125" style="64" customWidth="1"/>
    <col min="1483" max="1483" width="14.140625" style="64" customWidth="1"/>
    <col min="1484" max="1484" width="15.140625" style="64" customWidth="1"/>
    <col min="1485" max="1485" width="13.85546875" style="64" customWidth="1"/>
    <col min="1486" max="1487" width="14.7109375" style="64" customWidth="1"/>
    <col min="1488" max="1488" width="12.85546875" style="64" customWidth="1"/>
    <col min="1489" max="1489" width="13.5703125" style="64" customWidth="1"/>
    <col min="1490" max="1490" width="12.7109375" style="64" customWidth="1"/>
    <col min="1491" max="1491" width="13.42578125" style="64" customWidth="1"/>
    <col min="1492" max="1492" width="13.140625" style="64" customWidth="1"/>
    <col min="1493" max="1493" width="14.7109375" style="64" customWidth="1"/>
    <col min="1494" max="1494" width="14.5703125" style="64" customWidth="1"/>
    <col min="1495" max="1495" width="13" style="64" customWidth="1"/>
    <col min="1496" max="1496" width="15" style="64" customWidth="1"/>
    <col min="1497" max="1498" width="12.140625" style="64" customWidth="1"/>
    <col min="1499" max="1499" width="12" style="64" customWidth="1"/>
    <col min="1500" max="1500" width="13.5703125" style="64" customWidth="1"/>
    <col min="1501" max="1501" width="14" style="64" customWidth="1"/>
    <col min="1502" max="1502" width="12.28515625" style="64" customWidth="1"/>
    <col min="1503" max="1503" width="14.140625" style="64" customWidth="1"/>
    <col min="1504" max="1504" width="13" style="64" customWidth="1"/>
    <col min="1505" max="1505" width="13.5703125" style="64" customWidth="1"/>
    <col min="1506" max="1506" width="12.42578125" style="64" customWidth="1"/>
    <col min="1507" max="1507" width="12.5703125" style="64" customWidth="1"/>
    <col min="1508" max="1508" width="11.7109375" style="64" customWidth="1"/>
    <col min="1509" max="1509" width="13.7109375" style="64" customWidth="1"/>
    <col min="1510" max="1510" width="13.28515625" style="64" customWidth="1"/>
    <col min="1511" max="1511" width="13.140625" style="64" customWidth="1"/>
    <col min="1512" max="1512" width="12" style="64" customWidth="1"/>
    <col min="1513" max="1513" width="12.140625" style="64" customWidth="1"/>
    <col min="1514" max="1514" width="12.28515625" style="64" customWidth="1"/>
    <col min="1515" max="1515" width="12.140625" style="64" customWidth="1"/>
    <col min="1516" max="1516" width="12.5703125" style="64" customWidth="1"/>
    <col min="1517" max="1733" width="9.140625" style="64"/>
    <col min="1734" max="1734" width="25.42578125" style="64" customWidth="1"/>
    <col min="1735" max="1735" width="56.28515625" style="64" customWidth="1"/>
    <col min="1736" max="1736" width="14" style="64" customWidth="1"/>
    <col min="1737" max="1738" width="14.5703125" style="64" customWidth="1"/>
    <col min="1739" max="1739" width="14.140625" style="64" customWidth="1"/>
    <col min="1740" max="1740" width="15.140625" style="64" customWidth="1"/>
    <col min="1741" max="1741" width="13.85546875" style="64" customWidth="1"/>
    <col min="1742" max="1743" width="14.7109375" style="64" customWidth="1"/>
    <col min="1744" max="1744" width="12.85546875" style="64" customWidth="1"/>
    <col min="1745" max="1745" width="13.5703125" style="64" customWidth="1"/>
    <col min="1746" max="1746" width="12.7109375" style="64" customWidth="1"/>
    <col min="1747" max="1747" width="13.42578125" style="64" customWidth="1"/>
    <col min="1748" max="1748" width="13.140625" style="64" customWidth="1"/>
    <col min="1749" max="1749" width="14.7109375" style="64" customWidth="1"/>
    <col min="1750" max="1750" width="14.5703125" style="64" customWidth="1"/>
    <col min="1751" max="1751" width="13" style="64" customWidth="1"/>
    <col min="1752" max="1752" width="15" style="64" customWidth="1"/>
    <col min="1753" max="1754" width="12.140625" style="64" customWidth="1"/>
    <col min="1755" max="1755" width="12" style="64" customWidth="1"/>
    <col min="1756" max="1756" width="13.5703125" style="64" customWidth="1"/>
    <col min="1757" max="1757" width="14" style="64" customWidth="1"/>
    <col min="1758" max="1758" width="12.28515625" style="64" customWidth="1"/>
    <col min="1759" max="1759" width="14.140625" style="64" customWidth="1"/>
    <col min="1760" max="1760" width="13" style="64" customWidth="1"/>
    <col min="1761" max="1761" width="13.5703125" style="64" customWidth="1"/>
    <col min="1762" max="1762" width="12.42578125" style="64" customWidth="1"/>
    <col min="1763" max="1763" width="12.5703125" style="64" customWidth="1"/>
    <col min="1764" max="1764" width="11.7109375" style="64" customWidth="1"/>
    <col min="1765" max="1765" width="13.7109375" style="64" customWidth="1"/>
    <col min="1766" max="1766" width="13.28515625" style="64" customWidth="1"/>
    <col min="1767" max="1767" width="13.140625" style="64" customWidth="1"/>
    <col min="1768" max="1768" width="12" style="64" customWidth="1"/>
    <col min="1769" max="1769" width="12.140625" style="64" customWidth="1"/>
    <col min="1770" max="1770" width="12.28515625" style="64" customWidth="1"/>
    <col min="1771" max="1771" width="12.140625" style="64" customWidth="1"/>
    <col min="1772" max="1772" width="12.5703125" style="64" customWidth="1"/>
    <col min="1773" max="1989" width="9.140625" style="64"/>
    <col min="1990" max="1990" width="25.42578125" style="64" customWidth="1"/>
    <col min="1991" max="1991" width="56.28515625" style="64" customWidth="1"/>
    <col min="1992" max="1992" width="14" style="64" customWidth="1"/>
    <col min="1993" max="1994" width="14.5703125" style="64" customWidth="1"/>
    <col min="1995" max="1995" width="14.140625" style="64" customWidth="1"/>
    <col min="1996" max="1996" width="15.140625" style="64" customWidth="1"/>
    <col min="1997" max="1997" width="13.85546875" style="64" customWidth="1"/>
    <col min="1998" max="1999" width="14.7109375" style="64" customWidth="1"/>
    <col min="2000" max="2000" width="12.85546875" style="64" customWidth="1"/>
    <col min="2001" max="2001" width="13.5703125" style="64" customWidth="1"/>
    <col min="2002" max="2002" width="12.7109375" style="64" customWidth="1"/>
    <col min="2003" max="2003" width="13.42578125" style="64" customWidth="1"/>
    <col min="2004" max="2004" width="13.140625" style="64" customWidth="1"/>
    <col min="2005" max="2005" width="14.7109375" style="64" customWidth="1"/>
    <col min="2006" max="2006" width="14.5703125" style="64" customWidth="1"/>
    <col min="2007" max="2007" width="13" style="64" customWidth="1"/>
    <col min="2008" max="2008" width="15" style="64" customWidth="1"/>
    <col min="2009" max="2010" width="12.140625" style="64" customWidth="1"/>
    <col min="2011" max="2011" width="12" style="64" customWidth="1"/>
    <col min="2012" max="2012" width="13.5703125" style="64" customWidth="1"/>
    <col min="2013" max="2013" width="14" style="64" customWidth="1"/>
    <col min="2014" max="2014" width="12.28515625" style="64" customWidth="1"/>
    <col min="2015" max="2015" width="14.140625" style="64" customWidth="1"/>
    <col min="2016" max="2016" width="13" style="64" customWidth="1"/>
    <col min="2017" max="2017" width="13.5703125" style="64" customWidth="1"/>
    <col min="2018" max="2018" width="12.42578125" style="64" customWidth="1"/>
    <col min="2019" max="2019" width="12.5703125" style="64" customWidth="1"/>
    <col min="2020" max="2020" width="11.7109375" style="64" customWidth="1"/>
    <col min="2021" max="2021" width="13.7109375" style="64" customWidth="1"/>
    <col min="2022" max="2022" width="13.28515625" style="64" customWidth="1"/>
    <col min="2023" max="2023" width="13.140625" style="64" customWidth="1"/>
    <col min="2024" max="2024" width="12" style="64" customWidth="1"/>
    <col min="2025" max="2025" width="12.140625" style="64" customWidth="1"/>
    <col min="2026" max="2026" width="12.28515625" style="64" customWidth="1"/>
    <col min="2027" max="2027" width="12.140625" style="64" customWidth="1"/>
    <col min="2028" max="2028" width="12.5703125" style="64" customWidth="1"/>
    <col min="2029" max="2245" width="9.140625" style="64"/>
    <col min="2246" max="2246" width="25.42578125" style="64" customWidth="1"/>
    <col min="2247" max="2247" width="56.28515625" style="64" customWidth="1"/>
    <col min="2248" max="2248" width="14" style="64" customWidth="1"/>
    <col min="2249" max="2250" width="14.5703125" style="64" customWidth="1"/>
    <col min="2251" max="2251" width="14.140625" style="64" customWidth="1"/>
    <col min="2252" max="2252" width="15.140625" style="64" customWidth="1"/>
    <col min="2253" max="2253" width="13.85546875" style="64" customWidth="1"/>
    <col min="2254" max="2255" width="14.7109375" style="64" customWidth="1"/>
    <col min="2256" max="2256" width="12.85546875" style="64" customWidth="1"/>
    <col min="2257" max="2257" width="13.5703125" style="64" customWidth="1"/>
    <col min="2258" max="2258" width="12.7109375" style="64" customWidth="1"/>
    <col min="2259" max="2259" width="13.42578125" style="64" customWidth="1"/>
    <col min="2260" max="2260" width="13.140625" style="64" customWidth="1"/>
    <col min="2261" max="2261" width="14.7109375" style="64" customWidth="1"/>
    <col min="2262" max="2262" width="14.5703125" style="64" customWidth="1"/>
    <col min="2263" max="2263" width="13" style="64" customWidth="1"/>
    <col min="2264" max="2264" width="15" style="64" customWidth="1"/>
    <col min="2265" max="2266" width="12.140625" style="64" customWidth="1"/>
    <col min="2267" max="2267" width="12" style="64" customWidth="1"/>
    <col min="2268" max="2268" width="13.5703125" style="64" customWidth="1"/>
    <col min="2269" max="2269" width="14" style="64" customWidth="1"/>
    <col min="2270" max="2270" width="12.28515625" style="64" customWidth="1"/>
    <col min="2271" max="2271" width="14.140625" style="64" customWidth="1"/>
    <col min="2272" max="2272" width="13" style="64" customWidth="1"/>
    <col min="2273" max="2273" width="13.5703125" style="64" customWidth="1"/>
    <col min="2274" max="2274" width="12.42578125" style="64" customWidth="1"/>
    <col min="2275" max="2275" width="12.5703125" style="64" customWidth="1"/>
    <col min="2276" max="2276" width="11.7109375" style="64" customWidth="1"/>
    <col min="2277" max="2277" width="13.7109375" style="64" customWidth="1"/>
    <col min="2278" max="2278" width="13.28515625" style="64" customWidth="1"/>
    <col min="2279" max="2279" width="13.140625" style="64" customWidth="1"/>
    <col min="2280" max="2280" width="12" style="64" customWidth="1"/>
    <col min="2281" max="2281" width="12.140625" style="64" customWidth="1"/>
    <col min="2282" max="2282" width="12.28515625" style="64" customWidth="1"/>
    <col min="2283" max="2283" width="12.140625" style="64" customWidth="1"/>
    <col min="2284" max="2284" width="12.5703125" style="64" customWidth="1"/>
    <col min="2285" max="2501" width="9.140625" style="64"/>
    <col min="2502" max="2502" width="25.42578125" style="64" customWidth="1"/>
    <col min="2503" max="2503" width="56.28515625" style="64" customWidth="1"/>
    <col min="2504" max="2504" width="14" style="64" customWidth="1"/>
    <col min="2505" max="2506" width="14.5703125" style="64" customWidth="1"/>
    <col min="2507" max="2507" width="14.140625" style="64" customWidth="1"/>
    <col min="2508" max="2508" width="15.140625" style="64" customWidth="1"/>
    <col min="2509" max="2509" width="13.85546875" style="64" customWidth="1"/>
    <col min="2510" max="2511" width="14.7109375" style="64" customWidth="1"/>
    <col min="2512" max="2512" width="12.85546875" style="64" customWidth="1"/>
    <col min="2513" max="2513" width="13.5703125" style="64" customWidth="1"/>
    <col min="2514" max="2514" width="12.7109375" style="64" customWidth="1"/>
    <col min="2515" max="2515" width="13.42578125" style="64" customWidth="1"/>
    <col min="2516" max="2516" width="13.140625" style="64" customWidth="1"/>
    <col min="2517" max="2517" width="14.7109375" style="64" customWidth="1"/>
    <col min="2518" max="2518" width="14.5703125" style="64" customWidth="1"/>
    <col min="2519" max="2519" width="13" style="64" customWidth="1"/>
    <col min="2520" max="2520" width="15" style="64" customWidth="1"/>
    <col min="2521" max="2522" width="12.140625" style="64" customWidth="1"/>
    <col min="2523" max="2523" width="12" style="64" customWidth="1"/>
    <col min="2524" max="2524" width="13.5703125" style="64" customWidth="1"/>
    <col min="2525" max="2525" width="14" style="64" customWidth="1"/>
    <col min="2526" max="2526" width="12.28515625" style="64" customWidth="1"/>
    <col min="2527" max="2527" width="14.140625" style="64" customWidth="1"/>
    <col min="2528" max="2528" width="13" style="64" customWidth="1"/>
    <col min="2529" max="2529" width="13.5703125" style="64" customWidth="1"/>
    <col min="2530" max="2530" width="12.42578125" style="64" customWidth="1"/>
    <col min="2531" max="2531" width="12.5703125" style="64" customWidth="1"/>
    <col min="2532" max="2532" width="11.7109375" style="64" customWidth="1"/>
    <col min="2533" max="2533" width="13.7109375" style="64" customWidth="1"/>
    <col min="2534" max="2534" width="13.28515625" style="64" customWidth="1"/>
    <col min="2535" max="2535" width="13.140625" style="64" customWidth="1"/>
    <col min="2536" max="2536" width="12" style="64" customWidth="1"/>
    <col min="2537" max="2537" width="12.140625" style="64" customWidth="1"/>
    <col min="2538" max="2538" width="12.28515625" style="64" customWidth="1"/>
    <col min="2539" max="2539" width="12.140625" style="64" customWidth="1"/>
    <col min="2540" max="2540" width="12.5703125" style="64" customWidth="1"/>
    <col min="2541" max="2757" width="9.140625" style="64"/>
    <col min="2758" max="2758" width="25.42578125" style="64" customWidth="1"/>
    <col min="2759" max="2759" width="56.28515625" style="64" customWidth="1"/>
    <col min="2760" max="2760" width="14" style="64" customWidth="1"/>
    <col min="2761" max="2762" width="14.5703125" style="64" customWidth="1"/>
    <col min="2763" max="2763" width="14.140625" style="64" customWidth="1"/>
    <col min="2764" max="2764" width="15.140625" style="64" customWidth="1"/>
    <col min="2765" max="2765" width="13.85546875" style="64" customWidth="1"/>
    <col min="2766" max="2767" width="14.7109375" style="64" customWidth="1"/>
    <col min="2768" max="2768" width="12.85546875" style="64" customWidth="1"/>
    <col min="2769" max="2769" width="13.5703125" style="64" customWidth="1"/>
    <col min="2770" max="2770" width="12.7109375" style="64" customWidth="1"/>
    <col min="2771" max="2771" width="13.42578125" style="64" customWidth="1"/>
    <col min="2772" max="2772" width="13.140625" style="64" customWidth="1"/>
    <col min="2773" max="2773" width="14.7109375" style="64" customWidth="1"/>
    <col min="2774" max="2774" width="14.5703125" style="64" customWidth="1"/>
    <col min="2775" max="2775" width="13" style="64" customWidth="1"/>
    <col min="2776" max="2776" width="15" style="64" customWidth="1"/>
    <col min="2777" max="2778" width="12.140625" style="64" customWidth="1"/>
    <col min="2779" max="2779" width="12" style="64" customWidth="1"/>
    <col min="2780" max="2780" width="13.5703125" style="64" customWidth="1"/>
    <col min="2781" max="2781" width="14" style="64" customWidth="1"/>
    <col min="2782" max="2782" width="12.28515625" style="64" customWidth="1"/>
    <col min="2783" max="2783" width="14.140625" style="64" customWidth="1"/>
    <col min="2784" max="2784" width="13" style="64" customWidth="1"/>
    <col min="2785" max="2785" width="13.5703125" style="64" customWidth="1"/>
    <col min="2786" max="2786" width="12.42578125" style="64" customWidth="1"/>
    <col min="2787" max="2787" width="12.5703125" style="64" customWidth="1"/>
    <col min="2788" max="2788" width="11.7109375" style="64" customWidth="1"/>
    <col min="2789" max="2789" width="13.7109375" style="64" customWidth="1"/>
    <col min="2790" max="2790" width="13.28515625" style="64" customWidth="1"/>
    <col min="2791" max="2791" width="13.140625" style="64" customWidth="1"/>
    <col min="2792" max="2792" width="12" style="64" customWidth="1"/>
    <col min="2793" max="2793" width="12.140625" style="64" customWidth="1"/>
    <col min="2794" max="2794" width="12.28515625" style="64" customWidth="1"/>
    <col min="2795" max="2795" width="12.140625" style="64" customWidth="1"/>
    <col min="2796" max="2796" width="12.5703125" style="64" customWidth="1"/>
    <col min="2797" max="3013" width="9.140625" style="64"/>
    <col min="3014" max="3014" width="25.42578125" style="64" customWidth="1"/>
    <col min="3015" max="3015" width="56.28515625" style="64" customWidth="1"/>
    <col min="3016" max="3016" width="14" style="64" customWidth="1"/>
    <col min="3017" max="3018" width="14.5703125" style="64" customWidth="1"/>
    <col min="3019" max="3019" width="14.140625" style="64" customWidth="1"/>
    <col min="3020" max="3020" width="15.140625" style="64" customWidth="1"/>
    <col min="3021" max="3021" width="13.85546875" style="64" customWidth="1"/>
    <col min="3022" max="3023" width="14.7109375" style="64" customWidth="1"/>
    <col min="3024" max="3024" width="12.85546875" style="64" customWidth="1"/>
    <col min="3025" max="3025" width="13.5703125" style="64" customWidth="1"/>
    <col min="3026" max="3026" width="12.7109375" style="64" customWidth="1"/>
    <col min="3027" max="3027" width="13.42578125" style="64" customWidth="1"/>
    <col min="3028" max="3028" width="13.140625" style="64" customWidth="1"/>
    <col min="3029" max="3029" width="14.7109375" style="64" customWidth="1"/>
    <col min="3030" max="3030" width="14.5703125" style="64" customWidth="1"/>
    <col min="3031" max="3031" width="13" style="64" customWidth="1"/>
    <col min="3032" max="3032" width="15" style="64" customWidth="1"/>
    <col min="3033" max="3034" width="12.140625" style="64" customWidth="1"/>
    <col min="3035" max="3035" width="12" style="64" customWidth="1"/>
    <col min="3036" max="3036" width="13.5703125" style="64" customWidth="1"/>
    <col min="3037" max="3037" width="14" style="64" customWidth="1"/>
    <col min="3038" max="3038" width="12.28515625" style="64" customWidth="1"/>
    <col min="3039" max="3039" width="14.140625" style="64" customWidth="1"/>
    <col min="3040" max="3040" width="13" style="64" customWidth="1"/>
    <col min="3041" max="3041" width="13.5703125" style="64" customWidth="1"/>
    <col min="3042" max="3042" width="12.42578125" style="64" customWidth="1"/>
    <col min="3043" max="3043" width="12.5703125" style="64" customWidth="1"/>
    <col min="3044" max="3044" width="11.7109375" style="64" customWidth="1"/>
    <col min="3045" max="3045" width="13.7109375" style="64" customWidth="1"/>
    <col min="3046" max="3046" width="13.28515625" style="64" customWidth="1"/>
    <col min="3047" max="3047" width="13.140625" style="64" customWidth="1"/>
    <col min="3048" max="3048" width="12" style="64" customWidth="1"/>
    <col min="3049" max="3049" width="12.140625" style="64" customWidth="1"/>
    <col min="3050" max="3050" width="12.28515625" style="64" customWidth="1"/>
    <col min="3051" max="3051" width="12.140625" style="64" customWidth="1"/>
    <col min="3052" max="3052" width="12.5703125" style="64" customWidth="1"/>
    <col min="3053" max="3269" width="9.140625" style="64"/>
    <col min="3270" max="3270" width="25.42578125" style="64" customWidth="1"/>
    <col min="3271" max="3271" width="56.28515625" style="64" customWidth="1"/>
    <col min="3272" max="3272" width="14" style="64" customWidth="1"/>
    <col min="3273" max="3274" width="14.5703125" style="64" customWidth="1"/>
    <col min="3275" max="3275" width="14.140625" style="64" customWidth="1"/>
    <col min="3276" max="3276" width="15.140625" style="64" customWidth="1"/>
    <col min="3277" max="3277" width="13.85546875" style="64" customWidth="1"/>
    <col min="3278" max="3279" width="14.7109375" style="64" customWidth="1"/>
    <col min="3280" max="3280" width="12.85546875" style="64" customWidth="1"/>
    <col min="3281" max="3281" width="13.5703125" style="64" customWidth="1"/>
    <col min="3282" max="3282" width="12.7109375" style="64" customWidth="1"/>
    <col min="3283" max="3283" width="13.42578125" style="64" customWidth="1"/>
    <col min="3284" max="3284" width="13.140625" style="64" customWidth="1"/>
    <col min="3285" max="3285" width="14.7109375" style="64" customWidth="1"/>
    <col min="3286" max="3286" width="14.5703125" style="64" customWidth="1"/>
    <col min="3287" max="3287" width="13" style="64" customWidth="1"/>
    <col min="3288" max="3288" width="15" style="64" customWidth="1"/>
    <col min="3289" max="3290" width="12.140625" style="64" customWidth="1"/>
    <col min="3291" max="3291" width="12" style="64" customWidth="1"/>
    <col min="3292" max="3292" width="13.5703125" style="64" customWidth="1"/>
    <col min="3293" max="3293" width="14" style="64" customWidth="1"/>
    <col min="3294" max="3294" width="12.28515625" style="64" customWidth="1"/>
    <col min="3295" max="3295" width="14.140625" style="64" customWidth="1"/>
    <col min="3296" max="3296" width="13" style="64" customWidth="1"/>
    <col min="3297" max="3297" width="13.5703125" style="64" customWidth="1"/>
    <col min="3298" max="3298" width="12.42578125" style="64" customWidth="1"/>
    <col min="3299" max="3299" width="12.5703125" style="64" customWidth="1"/>
    <col min="3300" max="3300" width="11.7109375" style="64" customWidth="1"/>
    <col min="3301" max="3301" width="13.7109375" style="64" customWidth="1"/>
    <col min="3302" max="3302" width="13.28515625" style="64" customWidth="1"/>
    <col min="3303" max="3303" width="13.140625" style="64" customWidth="1"/>
    <col min="3304" max="3304" width="12" style="64" customWidth="1"/>
    <col min="3305" max="3305" width="12.140625" style="64" customWidth="1"/>
    <col min="3306" max="3306" width="12.28515625" style="64" customWidth="1"/>
    <col min="3307" max="3307" width="12.140625" style="64" customWidth="1"/>
    <col min="3308" max="3308" width="12.5703125" style="64" customWidth="1"/>
    <col min="3309" max="3525" width="9.140625" style="64"/>
    <col min="3526" max="3526" width="25.42578125" style="64" customWidth="1"/>
    <col min="3527" max="3527" width="56.28515625" style="64" customWidth="1"/>
    <col min="3528" max="3528" width="14" style="64" customWidth="1"/>
    <col min="3529" max="3530" width="14.5703125" style="64" customWidth="1"/>
    <col min="3531" max="3531" width="14.140625" style="64" customWidth="1"/>
    <col min="3532" max="3532" width="15.140625" style="64" customWidth="1"/>
    <col min="3533" max="3533" width="13.85546875" style="64" customWidth="1"/>
    <col min="3534" max="3535" width="14.7109375" style="64" customWidth="1"/>
    <col min="3536" max="3536" width="12.85546875" style="64" customWidth="1"/>
    <col min="3537" max="3537" width="13.5703125" style="64" customWidth="1"/>
    <col min="3538" max="3538" width="12.7109375" style="64" customWidth="1"/>
    <col min="3539" max="3539" width="13.42578125" style="64" customWidth="1"/>
    <col min="3540" max="3540" width="13.140625" style="64" customWidth="1"/>
    <col min="3541" max="3541" width="14.7109375" style="64" customWidth="1"/>
    <col min="3542" max="3542" width="14.5703125" style="64" customWidth="1"/>
    <col min="3543" max="3543" width="13" style="64" customWidth="1"/>
    <col min="3544" max="3544" width="15" style="64" customWidth="1"/>
    <col min="3545" max="3546" width="12.140625" style="64" customWidth="1"/>
    <col min="3547" max="3547" width="12" style="64" customWidth="1"/>
    <col min="3548" max="3548" width="13.5703125" style="64" customWidth="1"/>
    <col min="3549" max="3549" width="14" style="64" customWidth="1"/>
    <col min="3550" max="3550" width="12.28515625" style="64" customWidth="1"/>
    <col min="3551" max="3551" width="14.140625" style="64" customWidth="1"/>
    <col min="3552" max="3552" width="13" style="64" customWidth="1"/>
    <col min="3553" max="3553" width="13.5703125" style="64" customWidth="1"/>
    <col min="3554" max="3554" width="12.42578125" style="64" customWidth="1"/>
    <col min="3555" max="3555" width="12.5703125" style="64" customWidth="1"/>
    <col min="3556" max="3556" width="11.7109375" style="64" customWidth="1"/>
    <col min="3557" max="3557" width="13.7109375" style="64" customWidth="1"/>
    <col min="3558" max="3558" width="13.28515625" style="64" customWidth="1"/>
    <col min="3559" max="3559" width="13.140625" style="64" customWidth="1"/>
    <col min="3560" max="3560" width="12" style="64" customWidth="1"/>
    <col min="3561" max="3561" width="12.140625" style="64" customWidth="1"/>
    <col min="3562" max="3562" width="12.28515625" style="64" customWidth="1"/>
    <col min="3563" max="3563" width="12.140625" style="64" customWidth="1"/>
    <col min="3564" max="3564" width="12.5703125" style="64" customWidth="1"/>
    <col min="3565" max="3781" width="9.140625" style="64"/>
    <col min="3782" max="3782" width="25.42578125" style="64" customWidth="1"/>
    <col min="3783" max="3783" width="56.28515625" style="64" customWidth="1"/>
    <col min="3784" max="3784" width="14" style="64" customWidth="1"/>
    <col min="3785" max="3786" width="14.5703125" style="64" customWidth="1"/>
    <col min="3787" max="3787" width="14.140625" style="64" customWidth="1"/>
    <col min="3788" max="3788" width="15.140625" style="64" customWidth="1"/>
    <col min="3789" max="3789" width="13.85546875" style="64" customWidth="1"/>
    <col min="3790" max="3791" width="14.7109375" style="64" customWidth="1"/>
    <col min="3792" max="3792" width="12.85546875" style="64" customWidth="1"/>
    <col min="3793" max="3793" width="13.5703125" style="64" customWidth="1"/>
    <col min="3794" max="3794" width="12.7109375" style="64" customWidth="1"/>
    <col min="3795" max="3795" width="13.42578125" style="64" customWidth="1"/>
    <col min="3796" max="3796" width="13.140625" style="64" customWidth="1"/>
    <col min="3797" max="3797" width="14.7109375" style="64" customWidth="1"/>
    <col min="3798" max="3798" width="14.5703125" style="64" customWidth="1"/>
    <col min="3799" max="3799" width="13" style="64" customWidth="1"/>
    <col min="3800" max="3800" width="15" style="64" customWidth="1"/>
    <col min="3801" max="3802" width="12.140625" style="64" customWidth="1"/>
    <col min="3803" max="3803" width="12" style="64" customWidth="1"/>
    <col min="3804" max="3804" width="13.5703125" style="64" customWidth="1"/>
    <col min="3805" max="3805" width="14" style="64" customWidth="1"/>
    <col min="3806" max="3806" width="12.28515625" style="64" customWidth="1"/>
    <col min="3807" max="3807" width="14.140625" style="64" customWidth="1"/>
    <col min="3808" max="3808" width="13" style="64" customWidth="1"/>
    <col min="3809" max="3809" width="13.5703125" style="64" customWidth="1"/>
    <col min="3810" max="3810" width="12.42578125" style="64" customWidth="1"/>
    <col min="3811" max="3811" width="12.5703125" style="64" customWidth="1"/>
    <col min="3812" max="3812" width="11.7109375" style="64" customWidth="1"/>
    <col min="3813" max="3813" width="13.7109375" style="64" customWidth="1"/>
    <col min="3814" max="3814" width="13.28515625" style="64" customWidth="1"/>
    <col min="3815" max="3815" width="13.140625" style="64" customWidth="1"/>
    <col min="3816" max="3816" width="12" style="64" customWidth="1"/>
    <col min="3817" max="3817" width="12.140625" style="64" customWidth="1"/>
    <col min="3818" max="3818" width="12.28515625" style="64" customWidth="1"/>
    <col min="3819" max="3819" width="12.140625" style="64" customWidth="1"/>
    <col min="3820" max="3820" width="12.5703125" style="64" customWidth="1"/>
    <col min="3821" max="4037" width="9.140625" style="64"/>
    <col min="4038" max="4038" width="25.42578125" style="64" customWidth="1"/>
    <col min="4039" max="4039" width="56.28515625" style="64" customWidth="1"/>
    <col min="4040" max="4040" width="14" style="64" customWidth="1"/>
    <col min="4041" max="4042" width="14.5703125" style="64" customWidth="1"/>
    <col min="4043" max="4043" width="14.140625" style="64" customWidth="1"/>
    <col min="4044" max="4044" width="15.140625" style="64" customWidth="1"/>
    <col min="4045" max="4045" width="13.85546875" style="64" customWidth="1"/>
    <col min="4046" max="4047" width="14.7109375" style="64" customWidth="1"/>
    <col min="4048" max="4048" width="12.85546875" style="64" customWidth="1"/>
    <col min="4049" max="4049" width="13.5703125" style="64" customWidth="1"/>
    <col min="4050" max="4050" width="12.7109375" style="64" customWidth="1"/>
    <col min="4051" max="4051" width="13.42578125" style="64" customWidth="1"/>
    <col min="4052" max="4052" width="13.140625" style="64" customWidth="1"/>
    <col min="4053" max="4053" width="14.7109375" style="64" customWidth="1"/>
    <col min="4054" max="4054" width="14.5703125" style="64" customWidth="1"/>
    <col min="4055" max="4055" width="13" style="64" customWidth="1"/>
    <col min="4056" max="4056" width="15" style="64" customWidth="1"/>
    <col min="4057" max="4058" width="12.140625" style="64" customWidth="1"/>
    <col min="4059" max="4059" width="12" style="64" customWidth="1"/>
    <col min="4060" max="4060" width="13.5703125" style="64" customWidth="1"/>
    <col min="4061" max="4061" width="14" style="64" customWidth="1"/>
    <col min="4062" max="4062" width="12.28515625" style="64" customWidth="1"/>
    <col min="4063" max="4063" width="14.140625" style="64" customWidth="1"/>
    <col min="4064" max="4064" width="13" style="64" customWidth="1"/>
    <col min="4065" max="4065" width="13.5703125" style="64" customWidth="1"/>
    <col min="4066" max="4066" width="12.42578125" style="64" customWidth="1"/>
    <col min="4067" max="4067" width="12.5703125" style="64" customWidth="1"/>
    <col min="4068" max="4068" width="11.7109375" style="64" customWidth="1"/>
    <col min="4069" max="4069" width="13.7109375" style="64" customWidth="1"/>
    <col min="4070" max="4070" width="13.28515625" style="64" customWidth="1"/>
    <col min="4071" max="4071" width="13.140625" style="64" customWidth="1"/>
    <col min="4072" max="4072" width="12" style="64" customWidth="1"/>
    <col min="4073" max="4073" width="12.140625" style="64" customWidth="1"/>
    <col min="4074" max="4074" width="12.28515625" style="64" customWidth="1"/>
    <col min="4075" max="4075" width="12.140625" style="64" customWidth="1"/>
    <col min="4076" max="4076" width="12.5703125" style="64" customWidth="1"/>
    <col min="4077" max="4293" width="9.140625" style="64"/>
    <col min="4294" max="4294" width="25.42578125" style="64" customWidth="1"/>
    <col min="4295" max="4295" width="56.28515625" style="64" customWidth="1"/>
    <col min="4296" max="4296" width="14" style="64" customWidth="1"/>
    <col min="4297" max="4298" width="14.5703125" style="64" customWidth="1"/>
    <col min="4299" max="4299" width="14.140625" style="64" customWidth="1"/>
    <col min="4300" max="4300" width="15.140625" style="64" customWidth="1"/>
    <col min="4301" max="4301" width="13.85546875" style="64" customWidth="1"/>
    <col min="4302" max="4303" width="14.7109375" style="64" customWidth="1"/>
    <col min="4304" max="4304" width="12.85546875" style="64" customWidth="1"/>
    <col min="4305" max="4305" width="13.5703125" style="64" customWidth="1"/>
    <col min="4306" max="4306" width="12.7109375" style="64" customWidth="1"/>
    <col min="4307" max="4307" width="13.42578125" style="64" customWidth="1"/>
    <col min="4308" max="4308" width="13.140625" style="64" customWidth="1"/>
    <col min="4309" max="4309" width="14.7109375" style="64" customWidth="1"/>
    <col min="4310" max="4310" width="14.5703125" style="64" customWidth="1"/>
    <col min="4311" max="4311" width="13" style="64" customWidth="1"/>
    <col min="4312" max="4312" width="15" style="64" customWidth="1"/>
    <col min="4313" max="4314" width="12.140625" style="64" customWidth="1"/>
    <col min="4315" max="4315" width="12" style="64" customWidth="1"/>
    <col min="4316" max="4316" width="13.5703125" style="64" customWidth="1"/>
    <col min="4317" max="4317" width="14" style="64" customWidth="1"/>
    <col min="4318" max="4318" width="12.28515625" style="64" customWidth="1"/>
    <col min="4319" max="4319" width="14.140625" style="64" customWidth="1"/>
    <col min="4320" max="4320" width="13" style="64" customWidth="1"/>
    <col min="4321" max="4321" width="13.5703125" style="64" customWidth="1"/>
    <col min="4322" max="4322" width="12.42578125" style="64" customWidth="1"/>
    <col min="4323" max="4323" width="12.5703125" style="64" customWidth="1"/>
    <col min="4324" max="4324" width="11.7109375" style="64" customWidth="1"/>
    <col min="4325" max="4325" width="13.7109375" style="64" customWidth="1"/>
    <col min="4326" max="4326" width="13.28515625" style="64" customWidth="1"/>
    <col min="4327" max="4327" width="13.140625" style="64" customWidth="1"/>
    <col min="4328" max="4328" width="12" style="64" customWidth="1"/>
    <col min="4329" max="4329" width="12.140625" style="64" customWidth="1"/>
    <col min="4330" max="4330" width="12.28515625" style="64" customWidth="1"/>
    <col min="4331" max="4331" width="12.140625" style="64" customWidth="1"/>
    <col min="4332" max="4332" width="12.5703125" style="64" customWidth="1"/>
    <col min="4333" max="4549" width="9.140625" style="64"/>
    <col min="4550" max="4550" width="25.42578125" style="64" customWidth="1"/>
    <col min="4551" max="4551" width="56.28515625" style="64" customWidth="1"/>
    <col min="4552" max="4552" width="14" style="64" customWidth="1"/>
    <col min="4553" max="4554" width="14.5703125" style="64" customWidth="1"/>
    <col min="4555" max="4555" width="14.140625" style="64" customWidth="1"/>
    <col min="4556" max="4556" width="15.140625" style="64" customWidth="1"/>
    <col min="4557" max="4557" width="13.85546875" style="64" customWidth="1"/>
    <col min="4558" max="4559" width="14.7109375" style="64" customWidth="1"/>
    <col min="4560" max="4560" width="12.85546875" style="64" customWidth="1"/>
    <col min="4561" max="4561" width="13.5703125" style="64" customWidth="1"/>
    <col min="4562" max="4562" width="12.7109375" style="64" customWidth="1"/>
    <col min="4563" max="4563" width="13.42578125" style="64" customWidth="1"/>
    <col min="4564" max="4564" width="13.140625" style="64" customWidth="1"/>
    <col min="4565" max="4565" width="14.7109375" style="64" customWidth="1"/>
    <col min="4566" max="4566" width="14.5703125" style="64" customWidth="1"/>
    <col min="4567" max="4567" width="13" style="64" customWidth="1"/>
    <col min="4568" max="4568" width="15" style="64" customWidth="1"/>
    <col min="4569" max="4570" width="12.140625" style="64" customWidth="1"/>
    <col min="4571" max="4571" width="12" style="64" customWidth="1"/>
    <col min="4572" max="4572" width="13.5703125" style="64" customWidth="1"/>
    <col min="4573" max="4573" width="14" style="64" customWidth="1"/>
    <col min="4574" max="4574" width="12.28515625" style="64" customWidth="1"/>
    <col min="4575" max="4575" width="14.140625" style="64" customWidth="1"/>
    <col min="4576" max="4576" width="13" style="64" customWidth="1"/>
    <col min="4577" max="4577" width="13.5703125" style="64" customWidth="1"/>
    <col min="4578" max="4578" width="12.42578125" style="64" customWidth="1"/>
    <col min="4579" max="4579" width="12.5703125" style="64" customWidth="1"/>
    <col min="4580" max="4580" width="11.7109375" style="64" customWidth="1"/>
    <col min="4581" max="4581" width="13.7109375" style="64" customWidth="1"/>
    <col min="4582" max="4582" width="13.28515625" style="64" customWidth="1"/>
    <col min="4583" max="4583" width="13.140625" style="64" customWidth="1"/>
    <col min="4584" max="4584" width="12" style="64" customWidth="1"/>
    <col min="4585" max="4585" width="12.140625" style="64" customWidth="1"/>
    <col min="4586" max="4586" width="12.28515625" style="64" customWidth="1"/>
    <col min="4587" max="4587" width="12.140625" style="64" customWidth="1"/>
    <col min="4588" max="4588" width="12.5703125" style="64" customWidth="1"/>
    <col min="4589" max="4805" width="9.140625" style="64"/>
    <col min="4806" max="4806" width="25.42578125" style="64" customWidth="1"/>
    <col min="4807" max="4807" width="56.28515625" style="64" customWidth="1"/>
    <col min="4808" max="4808" width="14" style="64" customWidth="1"/>
    <col min="4809" max="4810" width="14.5703125" style="64" customWidth="1"/>
    <col min="4811" max="4811" width="14.140625" style="64" customWidth="1"/>
    <col min="4812" max="4812" width="15.140625" style="64" customWidth="1"/>
    <col min="4813" max="4813" width="13.85546875" style="64" customWidth="1"/>
    <col min="4814" max="4815" width="14.7109375" style="64" customWidth="1"/>
    <col min="4816" max="4816" width="12.85546875" style="64" customWidth="1"/>
    <col min="4817" max="4817" width="13.5703125" style="64" customWidth="1"/>
    <col min="4818" max="4818" width="12.7109375" style="64" customWidth="1"/>
    <col min="4819" max="4819" width="13.42578125" style="64" customWidth="1"/>
    <col min="4820" max="4820" width="13.140625" style="64" customWidth="1"/>
    <col min="4821" max="4821" width="14.7109375" style="64" customWidth="1"/>
    <col min="4822" max="4822" width="14.5703125" style="64" customWidth="1"/>
    <col min="4823" max="4823" width="13" style="64" customWidth="1"/>
    <col min="4824" max="4824" width="15" style="64" customWidth="1"/>
    <col min="4825" max="4826" width="12.140625" style="64" customWidth="1"/>
    <col min="4827" max="4827" width="12" style="64" customWidth="1"/>
    <col min="4828" max="4828" width="13.5703125" style="64" customWidth="1"/>
    <col min="4829" max="4829" width="14" style="64" customWidth="1"/>
    <col min="4830" max="4830" width="12.28515625" style="64" customWidth="1"/>
    <col min="4831" max="4831" width="14.140625" style="64" customWidth="1"/>
    <col min="4832" max="4832" width="13" style="64" customWidth="1"/>
    <col min="4833" max="4833" width="13.5703125" style="64" customWidth="1"/>
    <col min="4834" max="4834" width="12.42578125" style="64" customWidth="1"/>
    <col min="4835" max="4835" width="12.5703125" style="64" customWidth="1"/>
    <col min="4836" max="4836" width="11.7109375" style="64" customWidth="1"/>
    <col min="4837" max="4837" width="13.7109375" style="64" customWidth="1"/>
    <col min="4838" max="4838" width="13.28515625" style="64" customWidth="1"/>
    <col min="4839" max="4839" width="13.140625" style="64" customWidth="1"/>
    <col min="4840" max="4840" width="12" style="64" customWidth="1"/>
    <col min="4841" max="4841" width="12.140625" style="64" customWidth="1"/>
    <col min="4842" max="4842" width="12.28515625" style="64" customWidth="1"/>
    <col min="4843" max="4843" width="12.140625" style="64" customWidth="1"/>
    <col min="4844" max="4844" width="12.5703125" style="64" customWidth="1"/>
    <col min="4845" max="5061" width="9.140625" style="64"/>
    <col min="5062" max="5062" width="25.42578125" style="64" customWidth="1"/>
    <col min="5063" max="5063" width="56.28515625" style="64" customWidth="1"/>
    <col min="5064" max="5064" width="14" style="64" customWidth="1"/>
    <col min="5065" max="5066" width="14.5703125" style="64" customWidth="1"/>
    <col min="5067" max="5067" width="14.140625" style="64" customWidth="1"/>
    <col min="5068" max="5068" width="15.140625" style="64" customWidth="1"/>
    <col min="5069" max="5069" width="13.85546875" style="64" customWidth="1"/>
    <col min="5070" max="5071" width="14.7109375" style="64" customWidth="1"/>
    <col min="5072" max="5072" width="12.85546875" style="64" customWidth="1"/>
    <col min="5073" max="5073" width="13.5703125" style="64" customWidth="1"/>
    <col min="5074" max="5074" width="12.7109375" style="64" customWidth="1"/>
    <col min="5075" max="5075" width="13.42578125" style="64" customWidth="1"/>
    <col min="5076" max="5076" width="13.140625" style="64" customWidth="1"/>
    <col min="5077" max="5077" width="14.7109375" style="64" customWidth="1"/>
    <col min="5078" max="5078" width="14.5703125" style="64" customWidth="1"/>
    <col min="5079" max="5079" width="13" style="64" customWidth="1"/>
    <col min="5080" max="5080" width="15" style="64" customWidth="1"/>
    <col min="5081" max="5082" width="12.140625" style="64" customWidth="1"/>
    <col min="5083" max="5083" width="12" style="64" customWidth="1"/>
    <col min="5084" max="5084" width="13.5703125" style="64" customWidth="1"/>
    <col min="5085" max="5085" width="14" style="64" customWidth="1"/>
    <col min="5086" max="5086" width="12.28515625" style="64" customWidth="1"/>
    <col min="5087" max="5087" width="14.140625" style="64" customWidth="1"/>
    <col min="5088" max="5088" width="13" style="64" customWidth="1"/>
    <col min="5089" max="5089" width="13.5703125" style="64" customWidth="1"/>
    <col min="5090" max="5090" width="12.42578125" style="64" customWidth="1"/>
    <col min="5091" max="5091" width="12.5703125" style="64" customWidth="1"/>
    <col min="5092" max="5092" width="11.7109375" style="64" customWidth="1"/>
    <col min="5093" max="5093" width="13.7109375" style="64" customWidth="1"/>
    <col min="5094" max="5094" width="13.28515625" style="64" customWidth="1"/>
    <col min="5095" max="5095" width="13.140625" style="64" customWidth="1"/>
    <col min="5096" max="5096" width="12" style="64" customWidth="1"/>
    <col min="5097" max="5097" width="12.140625" style="64" customWidth="1"/>
    <col min="5098" max="5098" width="12.28515625" style="64" customWidth="1"/>
    <col min="5099" max="5099" width="12.140625" style="64" customWidth="1"/>
    <col min="5100" max="5100" width="12.5703125" style="64" customWidth="1"/>
    <col min="5101" max="5317" width="9.140625" style="64"/>
    <col min="5318" max="5318" width="25.42578125" style="64" customWidth="1"/>
    <col min="5319" max="5319" width="56.28515625" style="64" customWidth="1"/>
    <col min="5320" max="5320" width="14" style="64" customWidth="1"/>
    <col min="5321" max="5322" width="14.5703125" style="64" customWidth="1"/>
    <col min="5323" max="5323" width="14.140625" style="64" customWidth="1"/>
    <col min="5324" max="5324" width="15.140625" style="64" customWidth="1"/>
    <col min="5325" max="5325" width="13.85546875" style="64" customWidth="1"/>
    <col min="5326" max="5327" width="14.7109375" style="64" customWidth="1"/>
    <col min="5328" max="5328" width="12.85546875" style="64" customWidth="1"/>
    <col min="5329" max="5329" width="13.5703125" style="64" customWidth="1"/>
    <col min="5330" max="5330" width="12.7109375" style="64" customWidth="1"/>
    <col min="5331" max="5331" width="13.42578125" style="64" customWidth="1"/>
    <col min="5332" max="5332" width="13.140625" style="64" customWidth="1"/>
    <col min="5333" max="5333" width="14.7109375" style="64" customWidth="1"/>
    <col min="5334" max="5334" width="14.5703125" style="64" customWidth="1"/>
    <col min="5335" max="5335" width="13" style="64" customWidth="1"/>
    <col min="5336" max="5336" width="15" style="64" customWidth="1"/>
    <col min="5337" max="5338" width="12.140625" style="64" customWidth="1"/>
    <col min="5339" max="5339" width="12" style="64" customWidth="1"/>
    <col min="5340" max="5340" width="13.5703125" style="64" customWidth="1"/>
    <col min="5341" max="5341" width="14" style="64" customWidth="1"/>
    <col min="5342" max="5342" width="12.28515625" style="64" customWidth="1"/>
    <col min="5343" max="5343" width="14.140625" style="64" customWidth="1"/>
    <col min="5344" max="5344" width="13" style="64" customWidth="1"/>
    <col min="5345" max="5345" width="13.5703125" style="64" customWidth="1"/>
    <col min="5346" max="5346" width="12.42578125" style="64" customWidth="1"/>
    <col min="5347" max="5347" width="12.5703125" style="64" customWidth="1"/>
    <col min="5348" max="5348" width="11.7109375" style="64" customWidth="1"/>
    <col min="5349" max="5349" width="13.7109375" style="64" customWidth="1"/>
    <col min="5350" max="5350" width="13.28515625" style="64" customWidth="1"/>
    <col min="5351" max="5351" width="13.140625" style="64" customWidth="1"/>
    <col min="5352" max="5352" width="12" style="64" customWidth="1"/>
    <col min="5353" max="5353" width="12.140625" style="64" customWidth="1"/>
    <col min="5354" max="5354" width="12.28515625" style="64" customWidth="1"/>
    <col min="5355" max="5355" width="12.140625" style="64" customWidth="1"/>
    <col min="5356" max="5356" width="12.5703125" style="64" customWidth="1"/>
    <col min="5357" max="5573" width="9.140625" style="64"/>
    <col min="5574" max="5574" width="25.42578125" style="64" customWidth="1"/>
    <col min="5575" max="5575" width="56.28515625" style="64" customWidth="1"/>
    <col min="5576" max="5576" width="14" style="64" customWidth="1"/>
    <col min="5577" max="5578" width="14.5703125" style="64" customWidth="1"/>
    <col min="5579" max="5579" width="14.140625" style="64" customWidth="1"/>
    <col min="5580" max="5580" width="15.140625" style="64" customWidth="1"/>
    <col min="5581" max="5581" width="13.85546875" style="64" customWidth="1"/>
    <col min="5582" max="5583" width="14.7109375" style="64" customWidth="1"/>
    <col min="5584" max="5584" width="12.85546875" style="64" customWidth="1"/>
    <col min="5585" max="5585" width="13.5703125" style="64" customWidth="1"/>
    <col min="5586" max="5586" width="12.7109375" style="64" customWidth="1"/>
    <col min="5587" max="5587" width="13.42578125" style="64" customWidth="1"/>
    <col min="5588" max="5588" width="13.140625" style="64" customWidth="1"/>
    <col min="5589" max="5589" width="14.7109375" style="64" customWidth="1"/>
    <col min="5590" max="5590" width="14.5703125" style="64" customWidth="1"/>
    <col min="5591" max="5591" width="13" style="64" customWidth="1"/>
    <col min="5592" max="5592" width="15" style="64" customWidth="1"/>
    <col min="5593" max="5594" width="12.140625" style="64" customWidth="1"/>
    <col min="5595" max="5595" width="12" style="64" customWidth="1"/>
    <col min="5596" max="5596" width="13.5703125" style="64" customWidth="1"/>
    <col min="5597" max="5597" width="14" style="64" customWidth="1"/>
    <col min="5598" max="5598" width="12.28515625" style="64" customWidth="1"/>
    <col min="5599" max="5599" width="14.140625" style="64" customWidth="1"/>
    <col min="5600" max="5600" width="13" style="64" customWidth="1"/>
    <col min="5601" max="5601" width="13.5703125" style="64" customWidth="1"/>
    <col min="5602" max="5602" width="12.42578125" style="64" customWidth="1"/>
    <col min="5603" max="5603" width="12.5703125" style="64" customWidth="1"/>
    <col min="5604" max="5604" width="11.7109375" style="64" customWidth="1"/>
    <col min="5605" max="5605" width="13.7109375" style="64" customWidth="1"/>
    <col min="5606" max="5606" width="13.28515625" style="64" customWidth="1"/>
    <col min="5607" max="5607" width="13.140625" style="64" customWidth="1"/>
    <col min="5608" max="5608" width="12" style="64" customWidth="1"/>
    <col min="5609" max="5609" width="12.140625" style="64" customWidth="1"/>
    <col min="5610" max="5610" width="12.28515625" style="64" customWidth="1"/>
    <col min="5611" max="5611" width="12.140625" style="64" customWidth="1"/>
    <col min="5612" max="5612" width="12.5703125" style="64" customWidth="1"/>
    <col min="5613" max="5829" width="9.140625" style="64"/>
    <col min="5830" max="5830" width="25.42578125" style="64" customWidth="1"/>
    <col min="5831" max="5831" width="56.28515625" style="64" customWidth="1"/>
    <col min="5832" max="5832" width="14" style="64" customWidth="1"/>
    <col min="5833" max="5834" width="14.5703125" style="64" customWidth="1"/>
    <col min="5835" max="5835" width="14.140625" style="64" customWidth="1"/>
    <col min="5836" max="5836" width="15.140625" style="64" customWidth="1"/>
    <col min="5837" max="5837" width="13.85546875" style="64" customWidth="1"/>
    <col min="5838" max="5839" width="14.7109375" style="64" customWidth="1"/>
    <col min="5840" max="5840" width="12.85546875" style="64" customWidth="1"/>
    <col min="5841" max="5841" width="13.5703125" style="64" customWidth="1"/>
    <col min="5842" max="5842" width="12.7109375" style="64" customWidth="1"/>
    <col min="5843" max="5843" width="13.42578125" style="64" customWidth="1"/>
    <col min="5844" max="5844" width="13.140625" style="64" customWidth="1"/>
    <col min="5845" max="5845" width="14.7109375" style="64" customWidth="1"/>
    <col min="5846" max="5846" width="14.5703125" style="64" customWidth="1"/>
    <col min="5847" max="5847" width="13" style="64" customWidth="1"/>
    <col min="5848" max="5848" width="15" style="64" customWidth="1"/>
    <col min="5849" max="5850" width="12.140625" style="64" customWidth="1"/>
    <col min="5851" max="5851" width="12" style="64" customWidth="1"/>
    <col min="5852" max="5852" width="13.5703125" style="64" customWidth="1"/>
    <col min="5853" max="5853" width="14" style="64" customWidth="1"/>
    <col min="5854" max="5854" width="12.28515625" style="64" customWidth="1"/>
    <col min="5855" max="5855" width="14.140625" style="64" customWidth="1"/>
    <col min="5856" max="5856" width="13" style="64" customWidth="1"/>
    <col min="5857" max="5857" width="13.5703125" style="64" customWidth="1"/>
    <col min="5858" max="5858" width="12.42578125" style="64" customWidth="1"/>
    <col min="5859" max="5859" width="12.5703125" style="64" customWidth="1"/>
    <col min="5860" max="5860" width="11.7109375" style="64" customWidth="1"/>
    <col min="5861" max="5861" width="13.7109375" style="64" customWidth="1"/>
    <col min="5862" max="5862" width="13.28515625" style="64" customWidth="1"/>
    <col min="5863" max="5863" width="13.140625" style="64" customWidth="1"/>
    <col min="5864" max="5864" width="12" style="64" customWidth="1"/>
    <col min="5865" max="5865" width="12.140625" style="64" customWidth="1"/>
    <col min="5866" max="5866" width="12.28515625" style="64" customWidth="1"/>
    <col min="5867" max="5867" width="12.140625" style="64" customWidth="1"/>
    <col min="5868" max="5868" width="12.5703125" style="64" customWidth="1"/>
    <col min="5869" max="6085" width="9.140625" style="64"/>
    <col min="6086" max="6086" width="25.42578125" style="64" customWidth="1"/>
    <col min="6087" max="6087" width="56.28515625" style="64" customWidth="1"/>
    <col min="6088" max="6088" width="14" style="64" customWidth="1"/>
    <col min="6089" max="6090" width="14.5703125" style="64" customWidth="1"/>
    <col min="6091" max="6091" width="14.140625" style="64" customWidth="1"/>
    <col min="6092" max="6092" width="15.140625" style="64" customWidth="1"/>
    <col min="6093" max="6093" width="13.85546875" style="64" customWidth="1"/>
    <col min="6094" max="6095" width="14.7109375" style="64" customWidth="1"/>
    <col min="6096" max="6096" width="12.85546875" style="64" customWidth="1"/>
    <col min="6097" max="6097" width="13.5703125" style="64" customWidth="1"/>
    <col min="6098" max="6098" width="12.7109375" style="64" customWidth="1"/>
    <col min="6099" max="6099" width="13.42578125" style="64" customWidth="1"/>
    <col min="6100" max="6100" width="13.140625" style="64" customWidth="1"/>
    <col min="6101" max="6101" width="14.7109375" style="64" customWidth="1"/>
    <col min="6102" max="6102" width="14.5703125" style="64" customWidth="1"/>
    <col min="6103" max="6103" width="13" style="64" customWidth="1"/>
    <col min="6104" max="6104" width="15" style="64" customWidth="1"/>
    <col min="6105" max="6106" width="12.140625" style="64" customWidth="1"/>
    <col min="6107" max="6107" width="12" style="64" customWidth="1"/>
    <col min="6108" max="6108" width="13.5703125" style="64" customWidth="1"/>
    <col min="6109" max="6109" width="14" style="64" customWidth="1"/>
    <col min="6110" max="6110" width="12.28515625" style="64" customWidth="1"/>
    <col min="6111" max="6111" width="14.140625" style="64" customWidth="1"/>
    <col min="6112" max="6112" width="13" style="64" customWidth="1"/>
    <col min="6113" max="6113" width="13.5703125" style="64" customWidth="1"/>
    <col min="6114" max="6114" width="12.42578125" style="64" customWidth="1"/>
    <col min="6115" max="6115" width="12.5703125" style="64" customWidth="1"/>
    <col min="6116" max="6116" width="11.7109375" style="64" customWidth="1"/>
    <col min="6117" max="6117" width="13.7109375" style="64" customWidth="1"/>
    <col min="6118" max="6118" width="13.28515625" style="64" customWidth="1"/>
    <col min="6119" max="6119" width="13.140625" style="64" customWidth="1"/>
    <col min="6120" max="6120" width="12" style="64" customWidth="1"/>
    <col min="6121" max="6121" width="12.140625" style="64" customWidth="1"/>
    <col min="6122" max="6122" width="12.28515625" style="64" customWidth="1"/>
    <col min="6123" max="6123" width="12.140625" style="64" customWidth="1"/>
    <col min="6124" max="6124" width="12.5703125" style="64" customWidth="1"/>
    <col min="6125" max="6341" width="9.140625" style="64"/>
    <col min="6342" max="6342" width="25.42578125" style="64" customWidth="1"/>
    <col min="6343" max="6343" width="56.28515625" style="64" customWidth="1"/>
    <col min="6344" max="6344" width="14" style="64" customWidth="1"/>
    <col min="6345" max="6346" width="14.5703125" style="64" customWidth="1"/>
    <col min="6347" max="6347" width="14.140625" style="64" customWidth="1"/>
    <col min="6348" max="6348" width="15.140625" style="64" customWidth="1"/>
    <col min="6349" max="6349" width="13.85546875" style="64" customWidth="1"/>
    <col min="6350" max="6351" width="14.7109375" style="64" customWidth="1"/>
    <col min="6352" max="6352" width="12.85546875" style="64" customWidth="1"/>
    <col min="6353" max="6353" width="13.5703125" style="64" customWidth="1"/>
    <col min="6354" max="6354" width="12.7109375" style="64" customWidth="1"/>
    <col min="6355" max="6355" width="13.42578125" style="64" customWidth="1"/>
    <col min="6356" max="6356" width="13.140625" style="64" customWidth="1"/>
    <col min="6357" max="6357" width="14.7109375" style="64" customWidth="1"/>
    <col min="6358" max="6358" width="14.5703125" style="64" customWidth="1"/>
    <col min="6359" max="6359" width="13" style="64" customWidth="1"/>
    <col min="6360" max="6360" width="15" style="64" customWidth="1"/>
    <col min="6361" max="6362" width="12.140625" style="64" customWidth="1"/>
    <col min="6363" max="6363" width="12" style="64" customWidth="1"/>
    <col min="6364" max="6364" width="13.5703125" style="64" customWidth="1"/>
    <col min="6365" max="6365" width="14" style="64" customWidth="1"/>
    <col min="6366" max="6366" width="12.28515625" style="64" customWidth="1"/>
    <col min="6367" max="6367" width="14.140625" style="64" customWidth="1"/>
    <col min="6368" max="6368" width="13" style="64" customWidth="1"/>
    <col min="6369" max="6369" width="13.5703125" style="64" customWidth="1"/>
    <col min="6370" max="6370" width="12.42578125" style="64" customWidth="1"/>
    <col min="6371" max="6371" width="12.5703125" style="64" customWidth="1"/>
    <col min="6372" max="6372" width="11.7109375" style="64" customWidth="1"/>
    <col min="6373" max="6373" width="13.7109375" style="64" customWidth="1"/>
    <col min="6374" max="6374" width="13.28515625" style="64" customWidth="1"/>
    <col min="6375" max="6375" width="13.140625" style="64" customWidth="1"/>
    <col min="6376" max="6376" width="12" style="64" customWidth="1"/>
    <col min="6377" max="6377" width="12.140625" style="64" customWidth="1"/>
    <col min="6378" max="6378" width="12.28515625" style="64" customWidth="1"/>
    <col min="6379" max="6379" width="12.140625" style="64" customWidth="1"/>
    <col min="6380" max="6380" width="12.5703125" style="64" customWidth="1"/>
    <col min="6381" max="6597" width="9.140625" style="64"/>
    <col min="6598" max="6598" width="25.42578125" style="64" customWidth="1"/>
    <col min="6599" max="6599" width="56.28515625" style="64" customWidth="1"/>
    <col min="6600" max="6600" width="14" style="64" customWidth="1"/>
    <col min="6601" max="6602" width="14.5703125" style="64" customWidth="1"/>
    <col min="6603" max="6603" width="14.140625" style="64" customWidth="1"/>
    <col min="6604" max="6604" width="15.140625" style="64" customWidth="1"/>
    <col min="6605" max="6605" width="13.85546875" style="64" customWidth="1"/>
    <col min="6606" max="6607" width="14.7109375" style="64" customWidth="1"/>
    <col min="6608" max="6608" width="12.85546875" style="64" customWidth="1"/>
    <col min="6609" max="6609" width="13.5703125" style="64" customWidth="1"/>
    <col min="6610" max="6610" width="12.7109375" style="64" customWidth="1"/>
    <col min="6611" max="6611" width="13.42578125" style="64" customWidth="1"/>
    <col min="6612" max="6612" width="13.140625" style="64" customWidth="1"/>
    <col min="6613" max="6613" width="14.7109375" style="64" customWidth="1"/>
    <col min="6614" max="6614" width="14.5703125" style="64" customWidth="1"/>
    <col min="6615" max="6615" width="13" style="64" customWidth="1"/>
    <col min="6616" max="6616" width="15" style="64" customWidth="1"/>
    <col min="6617" max="6618" width="12.140625" style="64" customWidth="1"/>
    <col min="6619" max="6619" width="12" style="64" customWidth="1"/>
    <col min="6620" max="6620" width="13.5703125" style="64" customWidth="1"/>
    <col min="6621" max="6621" width="14" style="64" customWidth="1"/>
    <col min="6622" max="6622" width="12.28515625" style="64" customWidth="1"/>
    <col min="6623" max="6623" width="14.140625" style="64" customWidth="1"/>
    <col min="6624" max="6624" width="13" style="64" customWidth="1"/>
    <col min="6625" max="6625" width="13.5703125" style="64" customWidth="1"/>
    <col min="6626" max="6626" width="12.42578125" style="64" customWidth="1"/>
    <col min="6627" max="6627" width="12.5703125" style="64" customWidth="1"/>
    <col min="6628" max="6628" width="11.7109375" style="64" customWidth="1"/>
    <col min="6629" max="6629" width="13.7109375" style="64" customWidth="1"/>
    <col min="6630" max="6630" width="13.28515625" style="64" customWidth="1"/>
    <col min="6631" max="6631" width="13.140625" style="64" customWidth="1"/>
    <col min="6632" max="6632" width="12" style="64" customWidth="1"/>
    <col min="6633" max="6633" width="12.140625" style="64" customWidth="1"/>
    <col min="6634" max="6634" width="12.28515625" style="64" customWidth="1"/>
    <col min="6635" max="6635" width="12.140625" style="64" customWidth="1"/>
    <col min="6636" max="6636" width="12.5703125" style="64" customWidth="1"/>
    <col min="6637" max="6853" width="9.140625" style="64"/>
    <col min="6854" max="6854" width="25.42578125" style="64" customWidth="1"/>
    <col min="6855" max="6855" width="56.28515625" style="64" customWidth="1"/>
    <col min="6856" max="6856" width="14" style="64" customWidth="1"/>
    <col min="6857" max="6858" width="14.5703125" style="64" customWidth="1"/>
    <col min="6859" max="6859" width="14.140625" style="64" customWidth="1"/>
    <col min="6860" max="6860" width="15.140625" style="64" customWidth="1"/>
    <col min="6861" max="6861" width="13.85546875" style="64" customWidth="1"/>
    <col min="6862" max="6863" width="14.7109375" style="64" customWidth="1"/>
    <col min="6864" max="6864" width="12.85546875" style="64" customWidth="1"/>
    <col min="6865" max="6865" width="13.5703125" style="64" customWidth="1"/>
    <col min="6866" max="6866" width="12.7109375" style="64" customWidth="1"/>
    <col min="6867" max="6867" width="13.42578125" style="64" customWidth="1"/>
    <col min="6868" max="6868" width="13.140625" style="64" customWidth="1"/>
    <col min="6869" max="6869" width="14.7109375" style="64" customWidth="1"/>
    <col min="6870" max="6870" width="14.5703125" style="64" customWidth="1"/>
    <col min="6871" max="6871" width="13" style="64" customWidth="1"/>
    <col min="6872" max="6872" width="15" style="64" customWidth="1"/>
    <col min="6873" max="6874" width="12.140625" style="64" customWidth="1"/>
    <col min="6875" max="6875" width="12" style="64" customWidth="1"/>
    <col min="6876" max="6876" width="13.5703125" style="64" customWidth="1"/>
    <col min="6877" max="6877" width="14" style="64" customWidth="1"/>
    <col min="6878" max="6878" width="12.28515625" style="64" customWidth="1"/>
    <col min="6879" max="6879" width="14.140625" style="64" customWidth="1"/>
    <col min="6880" max="6880" width="13" style="64" customWidth="1"/>
    <col min="6881" max="6881" width="13.5703125" style="64" customWidth="1"/>
    <col min="6882" max="6882" width="12.42578125" style="64" customWidth="1"/>
    <col min="6883" max="6883" width="12.5703125" style="64" customWidth="1"/>
    <col min="6884" max="6884" width="11.7109375" style="64" customWidth="1"/>
    <col min="6885" max="6885" width="13.7109375" style="64" customWidth="1"/>
    <col min="6886" max="6886" width="13.28515625" style="64" customWidth="1"/>
    <col min="6887" max="6887" width="13.140625" style="64" customWidth="1"/>
    <col min="6888" max="6888" width="12" style="64" customWidth="1"/>
    <col min="6889" max="6889" width="12.140625" style="64" customWidth="1"/>
    <col min="6890" max="6890" width="12.28515625" style="64" customWidth="1"/>
    <col min="6891" max="6891" width="12.140625" style="64" customWidth="1"/>
    <col min="6892" max="6892" width="12.5703125" style="64" customWidth="1"/>
    <col min="6893" max="7109" width="9.140625" style="64"/>
    <col min="7110" max="7110" width="25.42578125" style="64" customWidth="1"/>
    <col min="7111" max="7111" width="56.28515625" style="64" customWidth="1"/>
    <col min="7112" max="7112" width="14" style="64" customWidth="1"/>
    <col min="7113" max="7114" width="14.5703125" style="64" customWidth="1"/>
    <col min="7115" max="7115" width="14.140625" style="64" customWidth="1"/>
    <col min="7116" max="7116" width="15.140625" style="64" customWidth="1"/>
    <col min="7117" max="7117" width="13.85546875" style="64" customWidth="1"/>
    <col min="7118" max="7119" width="14.7109375" style="64" customWidth="1"/>
    <col min="7120" max="7120" width="12.85546875" style="64" customWidth="1"/>
    <col min="7121" max="7121" width="13.5703125" style="64" customWidth="1"/>
    <col min="7122" max="7122" width="12.7109375" style="64" customWidth="1"/>
    <col min="7123" max="7123" width="13.42578125" style="64" customWidth="1"/>
    <col min="7124" max="7124" width="13.140625" style="64" customWidth="1"/>
    <col min="7125" max="7125" width="14.7109375" style="64" customWidth="1"/>
    <col min="7126" max="7126" width="14.5703125" style="64" customWidth="1"/>
    <col min="7127" max="7127" width="13" style="64" customWidth="1"/>
    <col min="7128" max="7128" width="15" style="64" customWidth="1"/>
    <col min="7129" max="7130" width="12.140625" style="64" customWidth="1"/>
    <col min="7131" max="7131" width="12" style="64" customWidth="1"/>
    <col min="7132" max="7132" width="13.5703125" style="64" customWidth="1"/>
    <col min="7133" max="7133" width="14" style="64" customWidth="1"/>
    <col min="7134" max="7134" width="12.28515625" style="64" customWidth="1"/>
    <col min="7135" max="7135" width="14.140625" style="64" customWidth="1"/>
    <col min="7136" max="7136" width="13" style="64" customWidth="1"/>
    <col min="7137" max="7137" width="13.5703125" style="64" customWidth="1"/>
    <col min="7138" max="7138" width="12.42578125" style="64" customWidth="1"/>
    <col min="7139" max="7139" width="12.5703125" style="64" customWidth="1"/>
    <col min="7140" max="7140" width="11.7109375" style="64" customWidth="1"/>
    <col min="7141" max="7141" width="13.7109375" style="64" customWidth="1"/>
    <col min="7142" max="7142" width="13.28515625" style="64" customWidth="1"/>
    <col min="7143" max="7143" width="13.140625" style="64" customWidth="1"/>
    <col min="7144" max="7144" width="12" style="64" customWidth="1"/>
    <col min="7145" max="7145" width="12.140625" style="64" customWidth="1"/>
    <col min="7146" max="7146" width="12.28515625" style="64" customWidth="1"/>
    <col min="7147" max="7147" width="12.140625" style="64" customWidth="1"/>
    <col min="7148" max="7148" width="12.5703125" style="64" customWidth="1"/>
    <col min="7149" max="7365" width="9.140625" style="64"/>
    <col min="7366" max="7366" width="25.42578125" style="64" customWidth="1"/>
    <col min="7367" max="7367" width="56.28515625" style="64" customWidth="1"/>
    <col min="7368" max="7368" width="14" style="64" customWidth="1"/>
    <col min="7369" max="7370" width="14.5703125" style="64" customWidth="1"/>
    <col min="7371" max="7371" width="14.140625" style="64" customWidth="1"/>
    <col min="7372" max="7372" width="15.140625" style="64" customWidth="1"/>
    <col min="7373" max="7373" width="13.85546875" style="64" customWidth="1"/>
    <col min="7374" max="7375" width="14.7109375" style="64" customWidth="1"/>
    <col min="7376" max="7376" width="12.85546875" style="64" customWidth="1"/>
    <col min="7377" max="7377" width="13.5703125" style="64" customWidth="1"/>
    <col min="7378" max="7378" width="12.7109375" style="64" customWidth="1"/>
    <col min="7379" max="7379" width="13.42578125" style="64" customWidth="1"/>
    <col min="7380" max="7380" width="13.140625" style="64" customWidth="1"/>
    <col min="7381" max="7381" width="14.7109375" style="64" customWidth="1"/>
    <col min="7382" max="7382" width="14.5703125" style="64" customWidth="1"/>
    <col min="7383" max="7383" width="13" style="64" customWidth="1"/>
    <col min="7384" max="7384" width="15" style="64" customWidth="1"/>
    <col min="7385" max="7386" width="12.140625" style="64" customWidth="1"/>
    <col min="7387" max="7387" width="12" style="64" customWidth="1"/>
    <col min="7388" max="7388" width="13.5703125" style="64" customWidth="1"/>
    <col min="7389" max="7389" width="14" style="64" customWidth="1"/>
    <col min="7390" max="7390" width="12.28515625" style="64" customWidth="1"/>
    <col min="7391" max="7391" width="14.140625" style="64" customWidth="1"/>
    <col min="7392" max="7392" width="13" style="64" customWidth="1"/>
    <col min="7393" max="7393" width="13.5703125" style="64" customWidth="1"/>
    <col min="7394" max="7394" width="12.42578125" style="64" customWidth="1"/>
    <col min="7395" max="7395" width="12.5703125" style="64" customWidth="1"/>
    <col min="7396" max="7396" width="11.7109375" style="64" customWidth="1"/>
    <col min="7397" max="7397" width="13.7109375" style="64" customWidth="1"/>
    <col min="7398" max="7398" width="13.28515625" style="64" customWidth="1"/>
    <col min="7399" max="7399" width="13.140625" style="64" customWidth="1"/>
    <col min="7400" max="7400" width="12" style="64" customWidth="1"/>
    <col min="7401" max="7401" width="12.140625" style="64" customWidth="1"/>
    <col min="7402" max="7402" width="12.28515625" style="64" customWidth="1"/>
    <col min="7403" max="7403" width="12.140625" style="64" customWidth="1"/>
    <col min="7404" max="7404" width="12.5703125" style="64" customWidth="1"/>
    <col min="7405" max="7621" width="9.140625" style="64"/>
    <col min="7622" max="7622" width="25.42578125" style="64" customWidth="1"/>
    <col min="7623" max="7623" width="56.28515625" style="64" customWidth="1"/>
    <col min="7624" max="7624" width="14" style="64" customWidth="1"/>
    <col min="7625" max="7626" width="14.5703125" style="64" customWidth="1"/>
    <col min="7627" max="7627" width="14.140625" style="64" customWidth="1"/>
    <col min="7628" max="7628" width="15.140625" style="64" customWidth="1"/>
    <col min="7629" max="7629" width="13.85546875" style="64" customWidth="1"/>
    <col min="7630" max="7631" width="14.7109375" style="64" customWidth="1"/>
    <col min="7632" max="7632" width="12.85546875" style="64" customWidth="1"/>
    <col min="7633" max="7633" width="13.5703125" style="64" customWidth="1"/>
    <col min="7634" max="7634" width="12.7109375" style="64" customWidth="1"/>
    <col min="7635" max="7635" width="13.42578125" style="64" customWidth="1"/>
    <col min="7636" max="7636" width="13.140625" style="64" customWidth="1"/>
    <col min="7637" max="7637" width="14.7109375" style="64" customWidth="1"/>
    <col min="7638" max="7638" width="14.5703125" style="64" customWidth="1"/>
    <col min="7639" max="7639" width="13" style="64" customWidth="1"/>
    <col min="7640" max="7640" width="15" style="64" customWidth="1"/>
    <col min="7641" max="7642" width="12.140625" style="64" customWidth="1"/>
    <col min="7643" max="7643" width="12" style="64" customWidth="1"/>
    <col min="7644" max="7644" width="13.5703125" style="64" customWidth="1"/>
    <col min="7645" max="7645" width="14" style="64" customWidth="1"/>
    <col min="7646" max="7646" width="12.28515625" style="64" customWidth="1"/>
    <col min="7647" max="7647" width="14.140625" style="64" customWidth="1"/>
    <col min="7648" max="7648" width="13" style="64" customWidth="1"/>
    <col min="7649" max="7649" width="13.5703125" style="64" customWidth="1"/>
    <col min="7650" max="7650" width="12.42578125" style="64" customWidth="1"/>
    <col min="7651" max="7651" width="12.5703125" style="64" customWidth="1"/>
    <col min="7652" max="7652" width="11.7109375" style="64" customWidth="1"/>
    <col min="7653" max="7653" width="13.7109375" style="64" customWidth="1"/>
    <col min="7654" max="7654" width="13.28515625" style="64" customWidth="1"/>
    <col min="7655" max="7655" width="13.140625" style="64" customWidth="1"/>
    <col min="7656" max="7656" width="12" style="64" customWidth="1"/>
    <col min="7657" max="7657" width="12.140625" style="64" customWidth="1"/>
    <col min="7658" max="7658" width="12.28515625" style="64" customWidth="1"/>
    <col min="7659" max="7659" width="12.140625" style="64" customWidth="1"/>
    <col min="7660" max="7660" width="12.5703125" style="64" customWidth="1"/>
    <col min="7661" max="7877" width="9.140625" style="64"/>
    <col min="7878" max="7878" width="25.42578125" style="64" customWidth="1"/>
    <col min="7879" max="7879" width="56.28515625" style="64" customWidth="1"/>
    <col min="7880" max="7880" width="14" style="64" customWidth="1"/>
    <col min="7881" max="7882" width="14.5703125" style="64" customWidth="1"/>
    <col min="7883" max="7883" width="14.140625" style="64" customWidth="1"/>
    <col min="7884" max="7884" width="15.140625" style="64" customWidth="1"/>
    <col min="7885" max="7885" width="13.85546875" style="64" customWidth="1"/>
    <col min="7886" max="7887" width="14.7109375" style="64" customWidth="1"/>
    <col min="7888" max="7888" width="12.85546875" style="64" customWidth="1"/>
    <col min="7889" max="7889" width="13.5703125" style="64" customWidth="1"/>
    <col min="7890" max="7890" width="12.7109375" style="64" customWidth="1"/>
    <col min="7891" max="7891" width="13.42578125" style="64" customWidth="1"/>
    <col min="7892" max="7892" width="13.140625" style="64" customWidth="1"/>
    <col min="7893" max="7893" width="14.7109375" style="64" customWidth="1"/>
    <col min="7894" max="7894" width="14.5703125" style="64" customWidth="1"/>
    <col min="7895" max="7895" width="13" style="64" customWidth="1"/>
    <col min="7896" max="7896" width="15" style="64" customWidth="1"/>
    <col min="7897" max="7898" width="12.140625" style="64" customWidth="1"/>
    <col min="7899" max="7899" width="12" style="64" customWidth="1"/>
    <col min="7900" max="7900" width="13.5703125" style="64" customWidth="1"/>
    <col min="7901" max="7901" width="14" style="64" customWidth="1"/>
    <col min="7902" max="7902" width="12.28515625" style="64" customWidth="1"/>
    <col min="7903" max="7903" width="14.140625" style="64" customWidth="1"/>
    <col min="7904" max="7904" width="13" style="64" customWidth="1"/>
    <col min="7905" max="7905" width="13.5703125" style="64" customWidth="1"/>
    <col min="7906" max="7906" width="12.42578125" style="64" customWidth="1"/>
    <col min="7907" max="7907" width="12.5703125" style="64" customWidth="1"/>
    <col min="7908" max="7908" width="11.7109375" style="64" customWidth="1"/>
    <col min="7909" max="7909" width="13.7109375" style="64" customWidth="1"/>
    <col min="7910" max="7910" width="13.28515625" style="64" customWidth="1"/>
    <col min="7911" max="7911" width="13.140625" style="64" customWidth="1"/>
    <col min="7912" max="7912" width="12" style="64" customWidth="1"/>
    <col min="7913" max="7913" width="12.140625" style="64" customWidth="1"/>
    <col min="7914" max="7914" width="12.28515625" style="64" customWidth="1"/>
    <col min="7915" max="7915" width="12.140625" style="64" customWidth="1"/>
    <col min="7916" max="7916" width="12.5703125" style="64" customWidth="1"/>
    <col min="7917" max="8133" width="9.140625" style="64"/>
    <col min="8134" max="8134" width="25.42578125" style="64" customWidth="1"/>
    <col min="8135" max="8135" width="56.28515625" style="64" customWidth="1"/>
    <col min="8136" max="8136" width="14" style="64" customWidth="1"/>
    <col min="8137" max="8138" width="14.5703125" style="64" customWidth="1"/>
    <col min="8139" max="8139" width="14.140625" style="64" customWidth="1"/>
    <col min="8140" max="8140" width="15.140625" style="64" customWidth="1"/>
    <col min="8141" max="8141" width="13.85546875" style="64" customWidth="1"/>
    <col min="8142" max="8143" width="14.7109375" style="64" customWidth="1"/>
    <col min="8144" max="8144" width="12.85546875" style="64" customWidth="1"/>
    <col min="8145" max="8145" width="13.5703125" style="64" customWidth="1"/>
    <col min="8146" max="8146" width="12.7109375" style="64" customWidth="1"/>
    <col min="8147" max="8147" width="13.42578125" style="64" customWidth="1"/>
    <col min="8148" max="8148" width="13.140625" style="64" customWidth="1"/>
    <col min="8149" max="8149" width="14.7109375" style="64" customWidth="1"/>
    <col min="8150" max="8150" width="14.5703125" style="64" customWidth="1"/>
    <col min="8151" max="8151" width="13" style="64" customWidth="1"/>
    <col min="8152" max="8152" width="15" style="64" customWidth="1"/>
    <col min="8153" max="8154" width="12.140625" style="64" customWidth="1"/>
    <col min="8155" max="8155" width="12" style="64" customWidth="1"/>
    <col min="8156" max="8156" width="13.5703125" style="64" customWidth="1"/>
    <col min="8157" max="8157" width="14" style="64" customWidth="1"/>
    <col min="8158" max="8158" width="12.28515625" style="64" customWidth="1"/>
    <col min="8159" max="8159" width="14.140625" style="64" customWidth="1"/>
    <col min="8160" max="8160" width="13" style="64" customWidth="1"/>
    <col min="8161" max="8161" width="13.5703125" style="64" customWidth="1"/>
    <col min="8162" max="8162" width="12.42578125" style="64" customWidth="1"/>
    <col min="8163" max="8163" width="12.5703125" style="64" customWidth="1"/>
    <col min="8164" max="8164" width="11.7109375" style="64" customWidth="1"/>
    <col min="8165" max="8165" width="13.7109375" style="64" customWidth="1"/>
    <col min="8166" max="8166" width="13.28515625" style="64" customWidth="1"/>
    <col min="8167" max="8167" width="13.140625" style="64" customWidth="1"/>
    <col min="8168" max="8168" width="12" style="64" customWidth="1"/>
    <col min="8169" max="8169" width="12.140625" style="64" customWidth="1"/>
    <col min="8170" max="8170" width="12.28515625" style="64" customWidth="1"/>
    <col min="8171" max="8171" width="12.140625" style="64" customWidth="1"/>
    <col min="8172" max="8172" width="12.5703125" style="64" customWidth="1"/>
    <col min="8173" max="8389" width="9.140625" style="64"/>
    <col min="8390" max="8390" width="25.42578125" style="64" customWidth="1"/>
    <col min="8391" max="8391" width="56.28515625" style="64" customWidth="1"/>
    <col min="8392" max="8392" width="14" style="64" customWidth="1"/>
    <col min="8393" max="8394" width="14.5703125" style="64" customWidth="1"/>
    <col min="8395" max="8395" width="14.140625" style="64" customWidth="1"/>
    <col min="8396" max="8396" width="15.140625" style="64" customWidth="1"/>
    <col min="8397" max="8397" width="13.85546875" style="64" customWidth="1"/>
    <col min="8398" max="8399" width="14.7109375" style="64" customWidth="1"/>
    <col min="8400" max="8400" width="12.85546875" style="64" customWidth="1"/>
    <col min="8401" max="8401" width="13.5703125" style="64" customWidth="1"/>
    <col min="8402" max="8402" width="12.7109375" style="64" customWidth="1"/>
    <col min="8403" max="8403" width="13.42578125" style="64" customWidth="1"/>
    <col min="8404" max="8404" width="13.140625" style="64" customWidth="1"/>
    <col min="8405" max="8405" width="14.7109375" style="64" customWidth="1"/>
    <col min="8406" max="8406" width="14.5703125" style="64" customWidth="1"/>
    <col min="8407" max="8407" width="13" style="64" customWidth="1"/>
    <col min="8408" max="8408" width="15" style="64" customWidth="1"/>
    <col min="8409" max="8410" width="12.140625" style="64" customWidth="1"/>
    <col min="8411" max="8411" width="12" style="64" customWidth="1"/>
    <col min="8412" max="8412" width="13.5703125" style="64" customWidth="1"/>
    <col min="8413" max="8413" width="14" style="64" customWidth="1"/>
    <col min="8414" max="8414" width="12.28515625" style="64" customWidth="1"/>
    <col min="8415" max="8415" width="14.140625" style="64" customWidth="1"/>
    <col min="8416" max="8416" width="13" style="64" customWidth="1"/>
    <col min="8417" max="8417" width="13.5703125" style="64" customWidth="1"/>
    <col min="8418" max="8418" width="12.42578125" style="64" customWidth="1"/>
    <col min="8419" max="8419" width="12.5703125" style="64" customWidth="1"/>
    <col min="8420" max="8420" width="11.7109375" style="64" customWidth="1"/>
    <col min="8421" max="8421" width="13.7109375" style="64" customWidth="1"/>
    <col min="8422" max="8422" width="13.28515625" style="64" customWidth="1"/>
    <col min="8423" max="8423" width="13.140625" style="64" customWidth="1"/>
    <col min="8424" max="8424" width="12" style="64" customWidth="1"/>
    <col min="8425" max="8425" width="12.140625" style="64" customWidth="1"/>
    <col min="8426" max="8426" width="12.28515625" style="64" customWidth="1"/>
    <col min="8427" max="8427" width="12.140625" style="64" customWidth="1"/>
    <col min="8428" max="8428" width="12.5703125" style="64" customWidth="1"/>
    <col min="8429" max="8645" width="9.140625" style="64"/>
    <col min="8646" max="8646" width="25.42578125" style="64" customWidth="1"/>
    <col min="8647" max="8647" width="56.28515625" style="64" customWidth="1"/>
    <col min="8648" max="8648" width="14" style="64" customWidth="1"/>
    <col min="8649" max="8650" width="14.5703125" style="64" customWidth="1"/>
    <col min="8651" max="8651" width="14.140625" style="64" customWidth="1"/>
    <col min="8652" max="8652" width="15.140625" style="64" customWidth="1"/>
    <col min="8653" max="8653" width="13.85546875" style="64" customWidth="1"/>
    <col min="8654" max="8655" width="14.7109375" style="64" customWidth="1"/>
    <col min="8656" max="8656" width="12.85546875" style="64" customWidth="1"/>
    <col min="8657" max="8657" width="13.5703125" style="64" customWidth="1"/>
    <col min="8658" max="8658" width="12.7109375" style="64" customWidth="1"/>
    <col min="8659" max="8659" width="13.42578125" style="64" customWidth="1"/>
    <col min="8660" max="8660" width="13.140625" style="64" customWidth="1"/>
    <col min="8661" max="8661" width="14.7109375" style="64" customWidth="1"/>
    <col min="8662" max="8662" width="14.5703125" style="64" customWidth="1"/>
    <col min="8663" max="8663" width="13" style="64" customWidth="1"/>
    <col min="8664" max="8664" width="15" style="64" customWidth="1"/>
    <col min="8665" max="8666" width="12.140625" style="64" customWidth="1"/>
    <col min="8667" max="8667" width="12" style="64" customWidth="1"/>
    <col min="8668" max="8668" width="13.5703125" style="64" customWidth="1"/>
    <col min="8669" max="8669" width="14" style="64" customWidth="1"/>
    <col min="8670" max="8670" width="12.28515625" style="64" customWidth="1"/>
    <col min="8671" max="8671" width="14.140625" style="64" customWidth="1"/>
    <col min="8672" max="8672" width="13" style="64" customWidth="1"/>
    <col min="8673" max="8673" width="13.5703125" style="64" customWidth="1"/>
    <col min="8674" max="8674" width="12.42578125" style="64" customWidth="1"/>
    <col min="8675" max="8675" width="12.5703125" style="64" customWidth="1"/>
    <col min="8676" max="8676" width="11.7109375" style="64" customWidth="1"/>
    <col min="8677" max="8677" width="13.7109375" style="64" customWidth="1"/>
    <col min="8678" max="8678" width="13.28515625" style="64" customWidth="1"/>
    <col min="8679" max="8679" width="13.140625" style="64" customWidth="1"/>
    <col min="8680" max="8680" width="12" style="64" customWidth="1"/>
    <col min="8681" max="8681" width="12.140625" style="64" customWidth="1"/>
    <col min="8682" max="8682" width="12.28515625" style="64" customWidth="1"/>
    <col min="8683" max="8683" width="12.140625" style="64" customWidth="1"/>
    <col min="8684" max="8684" width="12.5703125" style="64" customWidth="1"/>
    <col min="8685" max="8901" width="9.140625" style="64"/>
    <col min="8902" max="8902" width="25.42578125" style="64" customWidth="1"/>
    <col min="8903" max="8903" width="56.28515625" style="64" customWidth="1"/>
    <col min="8904" max="8904" width="14" style="64" customWidth="1"/>
    <col min="8905" max="8906" width="14.5703125" style="64" customWidth="1"/>
    <col min="8907" max="8907" width="14.140625" style="64" customWidth="1"/>
    <col min="8908" max="8908" width="15.140625" style="64" customWidth="1"/>
    <col min="8909" max="8909" width="13.85546875" style="64" customWidth="1"/>
    <col min="8910" max="8911" width="14.7109375" style="64" customWidth="1"/>
    <col min="8912" max="8912" width="12.85546875" style="64" customWidth="1"/>
    <col min="8913" max="8913" width="13.5703125" style="64" customWidth="1"/>
    <col min="8914" max="8914" width="12.7109375" style="64" customWidth="1"/>
    <col min="8915" max="8915" width="13.42578125" style="64" customWidth="1"/>
    <col min="8916" max="8916" width="13.140625" style="64" customWidth="1"/>
    <col min="8917" max="8917" width="14.7109375" style="64" customWidth="1"/>
    <col min="8918" max="8918" width="14.5703125" style="64" customWidth="1"/>
    <col min="8919" max="8919" width="13" style="64" customWidth="1"/>
    <col min="8920" max="8920" width="15" style="64" customWidth="1"/>
    <col min="8921" max="8922" width="12.140625" style="64" customWidth="1"/>
    <col min="8923" max="8923" width="12" style="64" customWidth="1"/>
    <col min="8924" max="8924" width="13.5703125" style="64" customWidth="1"/>
    <col min="8925" max="8925" width="14" style="64" customWidth="1"/>
    <col min="8926" max="8926" width="12.28515625" style="64" customWidth="1"/>
    <col min="8927" max="8927" width="14.140625" style="64" customWidth="1"/>
    <col min="8928" max="8928" width="13" style="64" customWidth="1"/>
    <col min="8929" max="8929" width="13.5703125" style="64" customWidth="1"/>
    <col min="8930" max="8930" width="12.42578125" style="64" customWidth="1"/>
    <col min="8931" max="8931" width="12.5703125" style="64" customWidth="1"/>
    <col min="8932" max="8932" width="11.7109375" style="64" customWidth="1"/>
    <col min="8933" max="8933" width="13.7109375" style="64" customWidth="1"/>
    <col min="8934" max="8934" width="13.28515625" style="64" customWidth="1"/>
    <col min="8935" max="8935" width="13.140625" style="64" customWidth="1"/>
    <col min="8936" max="8936" width="12" style="64" customWidth="1"/>
    <col min="8937" max="8937" width="12.140625" style="64" customWidth="1"/>
    <col min="8938" max="8938" width="12.28515625" style="64" customWidth="1"/>
    <col min="8939" max="8939" width="12.140625" style="64" customWidth="1"/>
    <col min="8940" max="8940" width="12.5703125" style="64" customWidth="1"/>
    <col min="8941" max="9157" width="9.140625" style="64"/>
    <col min="9158" max="9158" width="25.42578125" style="64" customWidth="1"/>
    <col min="9159" max="9159" width="56.28515625" style="64" customWidth="1"/>
    <col min="9160" max="9160" width="14" style="64" customWidth="1"/>
    <col min="9161" max="9162" width="14.5703125" style="64" customWidth="1"/>
    <col min="9163" max="9163" width="14.140625" style="64" customWidth="1"/>
    <col min="9164" max="9164" width="15.140625" style="64" customWidth="1"/>
    <col min="9165" max="9165" width="13.85546875" style="64" customWidth="1"/>
    <col min="9166" max="9167" width="14.7109375" style="64" customWidth="1"/>
    <col min="9168" max="9168" width="12.85546875" style="64" customWidth="1"/>
    <col min="9169" max="9169" width="13.5703125" style="64" customWidth="1"/>
    <col min="9170" max="9170" width="12.7109375" style="64" customWidth="1"/>
    <col min="9171" max="9171" width="13.42578125" style="64" customWidth="1"/>
    <col min="9172" max="9172" width="13.140625" style="64" customWidth="1"/>
    <col min="9173" max="9173" width="14.7109375" style="64" customWidth="1"/>
    <col min="9174" max="9174" width="14.5703125" style="64" customWidth="1"/>
    <col min="9175" max="9175" width="13" style="64" customWidth="1"/>
    <col min="9176" max="9176" width="15" style="64" customWidth="1"/>
    <col min="9177" max="9178" width="12.140625" style="64" customWidth="1"/>
    <col min="9179" max="9179" width="12" style="64" customWidth="1"/>
    <col min="9180" max="9180" width="13.5703125" style="64" customWidth="1"/>
    <col min="9181" max="9181" width="14" style="64" customWidth="1"/>
    <col min="9182" max="9182" width="12.28515625" style="64" customWidth="1"/>
    <col min="9183" max="9183" width="14.140625" style="64" customWidth="1"/>
    <col min="9184" max="9184" width="13" style="64" customWidth="1"/>
    <col min="9185" max="9185" width="13.5703125" style="64" customWidth="1"/>
    <col min="9186" max="9186" width="12.42578125" style="64" customWidth="1"/>
    <col min="9187" max="9187" width="12.5703125" style="64" customWidth="1"/>
    <col min="9188" max="9188" width="11.7109375" style="64" customWidth="1"/>
    <col min="9189" max="9189" width="13.7109375" style="64" customWidth="1"/>
    <col min="9190" max="9190" width="13.28515625" style="64" customWidth="1"/>
    <col min="9191" max="9191" width="13.140625" style="64" customWidth="1"/>
    <col min="9192" max="9192" width="12" style="64" customWidth="1"/>
    <col min="9193" max="9193" width="12.140625" style="64" customWidth="1"/>
    <col min="9194" max="9194" width="12.28515625" style="64" customWidth="1"/>
    <col min="9195" max="9195" width="12.140625" style="64" customWidth="1"/>
    <col min="9196" max="9196" width="12.5703125" style="64" customWidth="1"/>
    <col min="9197" max="9413" width="9.140625" style="64"/>
    <col min="9414" max="9414" width="25.42578125" style="64" customWidth="1"/>
    <col min="9415" max="9415" width="56.28515625" style="64" customWidth="1"/>
    <col min="9416" max="9416" width="14" style="64" customWidth="1"/>
    <col min="9417" max="9418" width="14.5703125" style="64" customWidth="1"/>
    <col min="9419" max="9419" width="14.140625" style="64" customWidth="1"/>
    <col min="9420" max="9420" width="15.140625" style="64" customWidth="1"/>
    <col min="9421" max="9421" width="13.85546875" style="64" customWidth="1"/>
    <col min="9422" max="9423" width="14.7109375" style="64" customWidth="1"/>
    <col min="9424" max="9424" width="12.85546875" style="64" customWidth="1"/>
    <col min="9425" max="9425" width="13.5703125" style="64" customWidth="1"/>
    <col min="9426" max="9426" width="12.7109375" style="64" customWidth="1"/>
    <col min="9427" max="9427" width="13.42578125" style="64" customWidth="1"/>
    <col min="9428" max="9428" width="13.140625" style="64" customWidth="1"/>
    <col min="9429" max="9429" width="14.7109375" style="64" customWidth="1"/>
    <col min="9430" max="9430" width="14.5703125" style="64" customWidth="1"/>
    <col min="9431" max="9431" width="13" style="64" customWidth="1"/>
    <col min="9432" max="9432" width="15" style="64" customWidth="1"/>
    <col min="9433" max="9434" width="12.140625" style="64" customWidth="1"/>
    <col min="9435" max="9435" width="12" style="64" customWidth="1"/>
    <col min="9436" max="9436" width="13.5703125" style="64" customWidth="1"/>
    <col min="9437" max="9437" width="14" style="64" customWidth="1"/>
    <col min="9438" max="9438" width="12.28515625" style="64" customWidth="1"/>
    <col min="9439" max="9439" width="14.140625" style="64" customWidth="1"/>
    <col min="9440" max="9440" width="13" style="64" customWidth="1"/>
    <col min="9441" max="9441" width="13.5703125" style="64" customWidth="1"/>
    <col min="9442" max="9442" width="12.42578125" style="64" customWidth="1"/>
    <col min="9443" max="9443" width="12.5703125" style="64" customWidth="1"/>
    <col min="9444" max="9444" width="11.7109375" style="64" customWidth="1"/>
    <col min="9445" max="9445" width="13.7109375" style="64" customWidth="1"/>
    <col min="9446" max="9446" width="13.28515625" style="64" customWidth="1"/>
    <col min="9447" max="9447" width="13.140625" style="64" customWidth="1"/>
    <col min="9448" max="9448" width="12" style="64" customWidth="1"/>
    <col min="9449" max="9449" width="12.140625" style="64" customWidth="1"/>
    <col min="9450" max="9450" width="12.28515625" style="64" customWidth="1"/>
    <col min="9451" max="9451" width="12.140625" style="64" customWidth="1"/>
    <col min="9452" max="9452" width="12.5703125" style="64" customWidth="1"/>
    <col min="9453" max="9669" width="9.140625" style="64"/>
    <col min="9670" max="9670" width="25.42578125" style="64" customWidth="1"/>
    <col min="9671" max="9671" width="56.28515625" style="64" customWidth="1"/>
    <col min="9672" max="9672" width="14" style="64" customWidth="1"/>
    <col min="9673" max="9674" width="14.5703125" style="64" customWidth="1"/>
    <col min="9675" max="9675" width="14.140625" style="64" customWidth="1"/>
    <col min="9676" max="9676" width="15.140625" style="64" customWidth="1"/>
    <col min="9677" max="9677" width="13.85546875" style="64" customWidth="1"/>
    <col min="9678" max="9679" width="14.7109375" style="64" customWidth="1"/>
    <col min="9680" max="9680" width="12.85546875" style="64" customWidth="1"/>
    <col min="9681" max="9681" width="13.5703125" style="64" customWidth="1"/>
    <col min="9682" max="9682" width="12.7109375" style="64" customWidth="1"/>
    <col min="9683" max="9683" width="13.42578125" style="64" customWidth="1"/>
    <col min="9684" max="9684" width="13.140625" style="64" customWidth="1"/>
    <col min="9685" max="9685" width="14.7109375" style="64" customWidth="1"/>
    <col min="9686" max="9686" width="14.5703125" style="64" customWidth="1"/>
    <col min="9687" max="9687" width="13" style="64" customWidth="1"/>
    <col min="9688" max="9688" width="15" style="64" customWidth="1"/>
    <col min="9689" max="9690" width="12.140625" style="64" customWidth="1"/>
    <col min="9691" max="9691" width="12" style="64" customWidth="1"/>
    <col min="9692" max="9692" width="13.5703125" style="64" customWidth="1"/>
    <col min="9693" max="9693" width="14" style="64" customWidth="1"/>
    <col min="9694" max="9694" width="12.28515625" style="64" customWidth="1"/>
    <col min="9695" max="9695" width="14.140625" style="64" customWidth="1"/>
    <col min="9696" max="9696" width="13" style="64" customWidth="1"/>
    <col min="9697" max="9697" width="13.5703125" style="64" customWidth="1"/>
    <col min="9698" max="9698" width="12.42578125" style="64" customWidth="1"/>
    <col min="9699" max="9699" width="12.5703125" style="64" customWidth="1"/>
    <col min="9700" max="9700" width="11.7109375" style="64" customWidth="1"/>
    <col min="9701" max="9701" width="13.7109375" style="64" customWidth="1"/>
    <col min="9702" max="9702" width="13.28515625" style="64" customWidth="1"/>
    <col min="9703" max="9703" width="13.140625" style="64" customWidth="1"/>
    <col min="9704" max="9704" width="12" style="64" customWidth="1"/>
    <col min="9705" max="9705" width="12.140625" style="64" customWidth="1"/>
    <col min="9706" max="9706" width="12.28515625" style="64" customWidth="1"/>
    <col min="9707" max="9707" width="12.140625" style="64" customWidth="1"/>
    <col min="9708" max="9708" width="12.5703125" style="64" customWidth="1"/>
    <col min="9709" max="9925" width="9.140625" style="64"/>
    <col min="9926" max="9926" width="25.42578125" style="64" customWidth="1"/>
    <col min="9927" max="9927" width="56.28515625" style="64" customWidth="1"/>
    <col min="9928" max="9928" width="14" style="64" customWidth="1"/>
    <col min="9929" max="9930" width="14.5703125" style="64" customWidth="1"/>
    <col min="9931" max="9931" width="14.140625" style="64" customWidth="1"/>
    <col min="9932" max="9932" width="15.140625" style="64" customWidth="1"/>
    <col min="9933" max="9933" width="13.85546875" style="64" customWidth="1"/>
    <col min="9934" max="9935" width="14.7109375" style="64" customWidth="1"/>
    <col min="9936" max="9936" width="12.85546875" style="64" customWidth="1"/>
    <col min="9937" max="9937" width="13.5703125" style="64" customWidth="1"/>
    <col min="9938" max="9938" width="12.7109375" style="64" customWidth="1"/>
    <col min="9939" max="9939" width="13.42578125" style="64" customWidth="1"/>
    <col min="9940" max="9940" width="13.140625" style="64" customWidth="1"/>
    <col min="9941" max="9941" width="14.7109375" style="64" customWidth="1"/>
    <col min="9942" max="9942" width="14.5703125" style="64" customWidth="1"/>
    <col min="9943" max="9943" width="13" style="64" customWidth="1"/>
    <col min="9944" max="9944" width="15" style="64" customWidth="1"/>
    <col min="9945" max="9946" width="12.140625" style="64" customWidth="1"/>
    <col min="9947" max="9947" width="12" style="64" customWidth="1"/>
    <col min="9948" max="9948" width="13.5703125" style="64" customWidth="1"/>
    <col min="9949" max="9949" width="14" style="64" customWidth="1"/>
    <col min="9950" max="9950" width="12.28515625" style="64" customWidth="1"/>
    <col min="9951" max="9951" width="14.140625" style="64" customWidth="1"/>
    <col min="9952" max="9952" width="13" style="64" customWidth="1"/>
    <col min="9953" max="9953" width="13.5703125" style="64" customWidth="1"/>
    <col min="9954" max="9954" width="12.42578125" style="64" customWidth="1"/>
    <col min="9955" max="9955" width="12.5703125" style="64" customWidth="1"/>
    <col min="9956" max="9956" width="11.7109375" style="64" customWidth="1"/>
    <col min="9957" max="9957" width="13.7109375" style="64" customWidth="1"/>
    <col min="9958" max="9958" width="13.28515625" style="64" customWidth="1"/>
    <col min="9959" max="9959" width="13.140625" style="64" customWidth="1"/>
    <col min="9960" max="9960" width="12" style="64" customWidth="1"/>
    <col min="9961" max="9961" width="12.140625" style="64" customWidth="1"/>
    <col min="9962" max="9962" width="12.28515625" style="64" customWidth="1"/>
    <col min="9963" max="9963" width="12.140625" style="64" customWidth="1"/>
    <col min="9964" max="9964" width="12.5703125" style="64" customWidth="1"/>
    <col min="9965" max="10181" width="9.140625" style="64"/>
    <col min="10182" max="10182" width="25.42578125" style="64" customWidth="1"/>
    <col min="10183" max="10183" width="56.28515625" style="64" customWidth="1"/>
    <col min="10184" max="10184" width="14" style="64" customWidth="1"/>
    <col min="10185" max="10186" width="14.5703125" style="64" customWidth="1"/>
    <col min="10187" max="10187" width="14.140625" style="64" customWidth="1"/>
    <col min="10188" max="10188" width="15.140625" style="64" customWidth="1"/>
    <col min="10189" max="10189" width="13.85546875" style="64" customWidth="1"/>
    <col min="10190" max="10191" width="14.7109375" style="64" customWidth="1"/>
    <col min="10192" max="10192" width="12.85546875" style="64" customWidth="1"/>
    <col min="10193" max="10193" width="13.5703125" style="64" customWidth="1"/>
    <col min="10194" max="10194" width="12.7109375" style="64" customWidth="1"/>
    <col min="10195" max="10195" width="13.42578125" style="64" customWidth="1"/>
    <col min="10196" max="10196" width="13.140625" style="64" customWidth="1"/>
    <col min="10197" max="10197" width="14.7109375" style="64" customWidth="1"/>
    <col min="10198" max="10198" width="14.5703125" style="64" customWidth="1"/>
    <col min="10199" max="10199" width="13" style="64" customWidth="1"/>
    <col min="10200" max="10200" width="15" style="64" customWidth="1"/>
    <col min="10201" max="10202" width="12.140625" style="64" customWidth="1"/>
    <col min="10203" max="10203" width="12" style="64" customWidth="1"/>
    <col min="10204" max="10204" width="13.5703125" style="64" customWidth="1"/>
    <col min="10205" max="10205" width="14" style="64" customWidth="1"/>
    <col min="10206" max="10206" width="12.28515625" style="64" customWidth="1"/>
    <col min="10207" max="10207" width="14.140625" style="64" customWidth="1"/>
    <col min="10208" max="10208" width="13" style="64" customWidth="1"/>
    <col min="10209" max="10209" width="13.5703125" style="64" customWidth="1"/>
    <col min="10210" max="10210" width="12.42578125" style="64" customWidth="1"/>
    <col min="10211" max="10211" width="12.5703125" style="64" customWidth="1"/>
    <col min="10212" max="10212" width="11.7109375" style="64" customWidth="1"/>
    <col min="10213" max="10213" width="13.7109375" style="64" customWidth="1"/>
    <col min="10214" max="10214" width="13.28515625" style="64" customWidth="1"/>
    <col min="10215" max="10215" width="13.140625" style="64" customWidth="1"/>
    <col min="10216" max="10216" width="12" style="64" customWidth="1"/>
    <col min="10217" max="10217" width="12.140625" style="64" customWidth="1"/>
    <col min="10218" max="10218" width="12.28515625" style="64" customWidth="1"/>
    <col min="10219" max="10219" width="12.140625" style="64" customWidth="1"/>
    <col min="10220" max="10220" width="12.5703125" style="64" customWidth="1"/>
    <col min="10221" max="10437" width="9.140625" style="64"/>
    <col min="10438" max="10438" width="25.42578125" style="64" customWidth="1"/>
    <col min="10439" max="10439" width="56.28515625" style="64" customWidth="1"/>
    <col min="10440" max="10440" width="14" style="64" customWidth="1"/>
    <col min="10441" max="10442" width="14.5703125" style="64" customWidth="1"/>
    <col min="10443" max="10443" width="14.140625" style="64" customWidth="1"/>
    <col min="10444" max="10444" width="15.140625" style="64" customWidth="1"/>
    <col min="10445" max="10445" width="13.85546875" style="64" customWidth="1"/>
    <col min="10446" max="10447" width="14.7109375" style="64" customWidth="1"/>
    <col min="10448" max="10448" width="12.85546875" style="64" customWidth="1"/>
    <col min="10449" max="10449" width="13.5703125" style="64" customWidth="1"/>
    <col min="10450" max="10450" width="12.7109375" style="64" customWidth="1"/>
    <col min="10451" max="10451" width="13.42578125" style="64" customWidth="1"/>
    <col min="10452" max="10452" width="13.140625" style="64" customWidth="1"/>
    <col min="10453" max="10453" width="14.7109375" style="64" customWidth="1"/>
    <col min="10454" max="10454" width="14.5703125" style="64" customWidth="1"/>
    <col min="10455" max="10455" width="13" style="64" customWidth="1"/>
    <col min="10456" max="10456" width="15" style="64" customWidth="1"/>
    <col min="10457" max="10458" width="12.140625" style="64" customWidth="1"/>
    <col min="10459" max="10459" width="12" style="64" customWidth="1"/>
    <col min="10460" max="10460" width="13.5703125" style="64" customWidth="1"/>
    <col min="10461" max="10461" width="14" style="64" customWidth="1"/>
    <col min="10462" max="10462" width="12.28515625" style="64" customWidth="1"/>
    <col min="10463" max="10463" width="14.140625" style="64" customWidth="1"/>
    <col min="10464" max="10464" width="13" style="64" customWidth="1"/>
    <col min="10465" max="10465" width="13.5703125" style="64" customWidth="1"/>
    <col min="10466" max="10466" width="12.42578125" style="64" customWidth="1"/>
    <col min="10467" max="10467" width="12.5703125" style="64" customWidth="1"/>
    <col min="10468" max="10468" width="11.7109375" style="64" customWidth="1"/>
    <col min="10469" max="10469" width="13.7109375" style="64" customWidth="1"/>
    <col min="10470" max="10470" width="13.28515625" style="64" customWidth="1"/>
    <col min="10471" max="10471" width="13.140625" style="64" customWidth="1"/>
    <col min="10472" max="10472" width="12" style="64" customWidth="1"/>
    <col min="10473" max="10473" width="12.140625" style="64" customWidth="1"/>
    <col min="10474" max="10474" width="12.28515625" style="64" customWidth="1"/>
    <col min="10475" max="10475" width="12.140625" style="64" customWidth="1"/>
    <col min="10476" max="10476" width="12.5703125" style="64" customWidth="1"/>
    <col min="10477" max="10693" width="9.140625" style="64"/>
    <col min="10694" max="10694" width="25.42578125" style="64" customWidth="1"/>
    <col min="10695" max="10695" width="56.28515625" style="64" customWidth="1"/>
    <col min="10696" max="10696" width="14" style="64" customWidth="1"/>
    <col min="10697" max="10698" width="14.5703125" style="64" customWidth="1"/>
    <col min="10699" max="10699" width="14.140625" style="64" customWidth="1"/>
    <col min="10700" max="10700" width="15.140625" style="64" customWidth="1"/>
    <col min="10701" max="10701" width="13.85546875" style="64" customWidth="1"/>
    <col min="10702" max="10703" width="14.7109375" style="64" customWidth="1"/>
    <col min="10704" max="10704" width="12.85546875" style="64" customWidth="1"/>
    <col min="10705" max="10705" width="13.5703125" style="64" customWidth="1"/>
    <col min="10706" max="10706" width="12.7109375" style="64" customWidth="1"/>
    <col min="10707" max="10707" width="13.42578125" style="64" customWidth="1"/>
    <col min="10708" max="10708" width="13.140625" style="64" customWidth="1"/>
    <col min="10709" max="10709" width="14.7109375" style="64" customWidth="1"/>
    <col min="10710" max="10710" width="14.5703125" style="64" customWidth="1"/>
    <col min="10711" max="10711" width="13" style="64" customWidth="1"/>
    <col min="10712" max="10712" width="15" style="64" customWidth="1"/>
    <col min="10713" max="10714" width="12.140625" style="64" customWidth="1"/>
    <col min="10715" max="10715" width="12" style="64" customWidth="1"/>
    <col min="10716" max="10716" width="13.5703125" style="64" customWidth="1"/>
    <col min="10717" max="10717" width="14" style="64" customWidth="1"/>
    <col min="10718" max="10718" width="12.28515625" style="64" customWidth="1"/>
    <col min="10719" max="10719" width="14.140625" style="64" customWidth="1"/>
    <col min="10720" max="10720" width="13" style="64" customWidth="1"/>
    <col min="10721" max="10721" width="13.5703125" style="64" customWidth="1"/>
    <col min="10722" max="10722" width="12.42578125" style="64" customWidth="1"/>
    <col min="10723" max="10723" width="12.5703125" style="64" customWidth="1"/>
    <col min="10724" max="10724" width="11.7109375" style="64" customWidth="1"/>
    <col min="10725" max="10725" width="13.7109375" style="64" customWidth="1"/>
    <col min="10726" max="10726" width="13.28515625" style="64" customWidth="1"/>
    <col min="10727" max="10727" width="13.140625" style="64" customWidth="1"/>
    <col min="10728" max="10728" width="12" style="64" customWidth="1"/>
    <col min="10729" max="10729" width="12.140625" style="64" customWidth="1"/>
    <col min="10730" max="10730" width="12.28515625" style="64" customWidth="1"/>
    <col min="10731" max="10731" width="12.140625" style="64" customWidth="1"/>
    <col min="10732" max="10732" width="12.5703125" style="64" customWidth="1"/>
    <col min="10733" max="10949" width="9.140625" style="64"/>
    <col min="10950" max="10950" width="25.42578125" style="64" customWidth="1"/>
    <col min="10951" max="10951" width="56.28515625" style="64" customWidth="1"/>
    <col min="10952" max="10952" width="14" style="64" customWidth="1"/>
    <col min="10953" max="10954" width="14.5703125" style="64" customWidth="1"/>
    <col min="10955" max="10955" width="14.140625" style="64" customWidth="1"/>
    <col min="10956" max="10956" width="15.140625" style="64" customWidth="1"/>
    <col min="10957" max="10957" width="13.85546875" style="64" customWidth="1"/>
    <col min="10958" max="10959" width="14.7109375" style="64" customWidth="1"/>
    <col min="10960" max="10960" width="12.85546875" style="64" customWidth="1"/>
    <col min="10961" max="10961" width="13.5703125" style="64" customWidth="1"/>
    <col min="10962" max="10962" width="12.7109375" style="64" customWidth="1"/>
    <col min="10963" max="10963" width="13.42578125" style="64" customWidth="1"/>
    <col min="10964" max="10964" width="13.140625" style="64" customWidth="1"/>
    <col min="10965" max="10965" width="14.7109375" style="64" customWidth="1"/>
    <col min="10966" max="10966" width="14.5703125" style="64" customWidth="1"/>
    <col min="10967" max="10967" width="13" style="64" customWidth="1"/>
    <col min="10968" max="10968" width="15" style="64" customWidth="1"/>
    <col min="10969" max="10970" width="12.140625" style="64" customWidth="1"/>
    <col min="10971" max="10971" width="12" style="64" customWidth="1"/>
    <col min="10972" max="10972" width="13.5703125" style="64" customWidth="1"/>
    <col min="10973" max="10973" width="14" style="64" customWidth="1"/>
    <col min="10974" max="10974" width="12.28515625" style="64" customWidth="1"/>
    <col min="10975" max="10975" width="14.140625" style="64" customWidth="1"/>
    <col min="10976" max="10976" width="13" style="64" customWidth="1"/>
    <col min="10977" max="10977" width="13.5703125" style="64" customWidth="1"/>
    <col min="10978" max="10978" width="12.42578125" style="64" customWidth="1"/>
    <col min="10979" max="10979" width="12.5703125" style="64" customWidth="1"/>
    <col min="10980" max="10980" width="11.7109375" style="64" customWidth="1"/>
    <col min="10981" max="10981" width="13.7109375" style="64" customWidth="1"/>
    <col min="10982" max="10982" width="13.28515625" style="64" customWidth="1"/>
    <col min="10983" max="10983" width="13.140625" style="64" customWidth="1"/>
    <col min="10984" max="10984" width="12" style="64" customWidth="1"/>
    <col min="10985" max="10985" width="12.140625" style="64" customWidth="1"/>
    <col min="10986" max="10986" width="12.28515625" style="64" customWidth="1"/>
    <col min="10987" max="10987" width="12.140625" style="64" customWidth="1"/>
    <col min="10988" max="10988" width="12.5703125" style="64" customWidth="1"/>
    <col min="10989" max="11205" width="9.140625" style="64"/>
    <col min="11206" max="11206" width="25.42578125" style="64" customWidth="1"/>
    <col min="11207" max="11207" width="56.28515625" style="64" customWidth="1"/>
    <col min="11208" max="11208" width="14" style="64" customWidth="1"/>
    <col min="11209" max="11210" width="14.5703125" style="64" customWidth="1"/>
    <col min="11211" max="11211" width="14.140625" style="64" customWidth="1"/>
    <col min="11212" max="11212" width="15.140625" style="64" customWidth="1"/>
    <col min="11213" max="11213" width="13.85546875" style="64" customWidth="1"/>
    <col min="11214" max="11215" width="14.7109375" style="64" customWidth="1"/>
    <col min="11216" max="11216" width="12.85546875" style="64" customWidth="1"/>
    <col min="11217" max="11217" width="13.5703125" style="64" customWidth="1"/>
    <col min="11218" max="11218" width="12.7109375" style="64" customWidth="1"/>
    <col min="11219" max="11219" width="13.42578125" style="64" customWidth="1"/>
    <col min="11220" max="11220" width="13.140625" style="64" customWidth="1"/>
    <col min="11221" max="11221" width="14.7109375" style="64" customWidth="1"/>
    <col min="11222" max="11222" width="14.5703125" style="64" customWidth="1"/>
    <col min="11223" max="11223" width="13" style="64" customWidth="1"/>
    <col min="11224" max="11224" width="15" style="64" customWidth="1"/>
    <col min="11225" max="11226" width="12.140625" style="64" customWidth="1"/>
    <col min="11227" max="11227" width="12" style="64" customWidth="1"/>
    <col min="11228" max="11228" width="13.5703125" style="64" customWidth="1"/>
    <col min="11229" max="11229" width="14" style="64" customWidth="1"/>
    <col min="11230" max="11230" width="12.28515625" style="64" customWidth="1"/>
    <col min="11231" max="11231" width="14.140625" style="64" customWidth="1"/>
    <col min="11232" max="11232" width="13" style="64" customWidth="1"/>
    <col min="11233" max="11233" width="13.5703125" style="64" customWidth="1"/>
    <col min="11234" max="11234" width="12.42578125" style="64" customWidth="1"/>
    <col min="11235" max="11235" width="12.5703125" style="64" customWidth="1"/>
    <col min="11236" max="11236" width="11.7109375" style="64" customWidth="1"/>
    <col min="11237" max="11237" width="13.7109375" style="64" customWidth="1"/>
    <col min="11238" max="11238" width="13.28515625" style="64" customWidth="1"/>
    <col min="11239" max="11239" width="13.140625" style="64" customWidth="1"/>
    <col min="11240" max="11240" width="12" style="64" customWidth="1"/>
    <col min="11241" max="11241" width="12.140625" style="64" customWidth="1"/>
    <col min="11242" max="11242" width="12.28515625" style="64" customWidth="1"/>
    <col min="11243" max="11243" width="12.140625" style="64" customWidth="1"/>
    <col min="11244" max="11244" width="12.5703125" style="64" customWidth="1"/>
    <col min="11245" max="11461" width="9.140625" style="64"/>
    <col min="11462" max="11462" width="25.42578125" style="64" customWidth="1"/>
    <col min="11463" max="11463" width="56.28515625" style="64" customWidth="1"/>
    <col min="11464" max="11464" width="14" style="64" customWidth="1"/>
    <col min="11465" max="11466" width="14.5703125" style="64" customWidth="1"/>
    <col min="11467" max="11467" width="14.140625" style="64" customWidth="1"/>
    <col min="11468" max="11468" width="15.140625" style="64" customWidth="1"/>
    <col min="11469" max="11469" width="13.85546875" style="64" customWidth="1"/>
    <col min="11470" max="11471" width="14.7109375" style="64" customWidth="1"/>
    <col min="11472" max="11472" width="12.85546875" style="64" customWidth="1"/>
    <col min="11473" max="11473" width="13.5703125" style="64" customWidth="1"/>
    <col min="11474" max="11474" width="12.7109375" style="64" customWidth="1"/>
    <col min="11475" max="11475" width="13.42578125" style="64" customWidth="1"/>
    <col min="11476" max="11476" width="13.140625" style="64" customWidth="1"/>
    <col min="11477" max="11477" width="14.7109375" style="64" customWidth="1"/>
    <col min="11478" max="11478" width="14.5703125" style="64" customWidth="1"/>
    <col min="11479" max="11479" width="13" style="64" customWidth="1"/>
    <col min="11480" max="11480" width="15" style="64" customWidth="1"/>
    <col min="11481" max="11482" width="12.140625" style="64" customWidth="1"/>
    <col min="11483" max="11483" width="12" style="64" customWidth="1"/>
    <col min="11484" max="11484" width="13.5703125" style="64" customWidth="1"/>
    <col min="11485" max="11485" width="14" style="64" customWidth="1"/>
    <col min="11486" max="11486" width="12.28515625" style="64" customWidth="1"/>
    <col min="11487" max="11487" width="14.140625" style="64" customWidth="1"/>
    <col min="11488" max="11488" width="13" style="64" customWidth="1"/>
    <col min="11489" max="11489" width="13.5703125" style="64" customWidth="1"/>
    <col min="11490" max="11490" width="12.42578125" style="64" customWidth="1"/>
    <col min="11491" max="11491" width="12.5703125" style="64" customWidth="1"/>
    <col min="11492" max="11492" width="11.7109375" style="64" customWidth="1"/>
    <col min="11493" max="11493" width="13.7109375" style="64" customWidth="1"/>
    <col min="11494" max="11494" width="13.28515625" style="64" customWidth="1"/>
    <col min="11495" max="11495" width="13.140625" style="64" customWidth="1"/>
    <col min="11496" max="11496" width="12" style="64" customWidth="1"/>
    <col min="11497" max="11497" width="12.140625" style="64" customWidth="1"/>
    <col min="11498" max="11498" width="12.28515625" style="64" customWidth="1"/>
    <col min="11499" max="11499" width="12.140625" style="64" customWidth="1"/>
    <col min="11500" max="11500" width="12.5703125" style="64" customWidth="1"/>
    <col min="11501" max="11717" width="9.140625" style="64"/>
    <col min="11718" max="11718" width="25.42578125" style="64" customWidth="1"/>
    <col min="11719" max="11719" width="56.28515625" style="64" customWidth="1"/>
    <col min="11720" max="11720" width="14" style="64" customWidth="1"/>
    <col min="11721" max="11722" width="14.5703125" style="64" customWidth="1"/>
    <col min="11723" max="11723" width="14.140625" style="64" customWidth="1"/>
    <col min="11724" max="11724" width="15.140625" style="64" customWidth="1"/>
    <col min="11725" max="11725" width="13.85546875" style="64" customWidth="1"/>
    <col min="11726" max="11727" width="14.7109375" style="64" customWidth="1"/>
    <col min="11728" max="11728" width="12.85546875" style="64" customWidth="1"/>
    <col min="11729" max="11729" width="13.5703125" style="64" customWidth="1"/>
    <col min="11730" max="11730" width="12.7109375" style="64" customWidth="1"/>
    <col min="11731" max="11731" width="13.42578125" style="64" customWidth="1"/>
    <col min="11732" max="11732" width="13.140625" style="64" customWidth="1"/>
    <col min="11733" max="11733" width="14.7109375" style="64" customWidth="1"/>
    <col min="11734" max="11734" width="14.5703125" style="64" customWidth="1"/>
    <col min="11735" max="11735" width="13" style="64" customWidth="1"/>
    <col min="11736" max="11736" width="15" style="64" customWidth="1"/>
    <col min="11737" max="11738" width="12.140625" style="64" customWidth="1"/>
    <col min="11739" max="11739" width="12" style="64" customWidth="1"/>
    <col min="11740" max="11740" width="13.5703125" style="64" customWidth="1"/>
    <col min="11741" max="11741" width="14" style="64" customWidth="1"/>
    <col min="11742" max="11742" width="12.28515625" style="64" customWidth="1"/>
    <col min="11743" max="11743" width="14.140625" style="64" customWidth="1"/>
    <col min="11744" max="11744" width="13" style="64" customWidth="1"/>
    <col min="11745" max="11745" width="13.5703125" style="64" customWidth="1"/>
    <col min="11746" max="11746" width="12.42578125" style="64" customWidth="1"/>
    <col min="11747" max="11747" width="12.5703125" style="64" customWidth="1"/>
    <col min="11748" max="11748" width="11.7109375" style="64" customWidth="1"/>
    <col min="11749" max="11749" width="13.7109375" style="64" customWidth="1"/>
    <col min="11750" max="11750" width="13.28515625" style="64" customWidth="1"/>
    <col min="11751" max="11751" width="13.140625" style="64" customWidth="1"/>
    <col min="11752" max="11752" width="12" style="64" customWidth="1"/>
    <col min="11753" max="11753" width="12.140625" style="64" customWidth="1"/>
    <col min="11754" max="11754" width="12.28515625" style="64" customWidth="1"/>
    <col min="11755" max="11755" width="12.140625" style="64" customWidth="1"/>
    <col min="11756" max="11756" width="12.5703125" style="64" customWidth="1"/>
    <col min="11757" max="11973" width="9.140625" style="64"/>
    <col min="11974" max="11974" width="25.42578125" style="64" customWidth="1"/>
    <col min="11975" max="11975" width="56.28515625" style="64" customWidth="1"/>
    <col min="11976" max="11976" width="14" style="64" customWidth="1"/>
    <col min="11977" max="11978" width="14.5703125" style="64" customWidth="1"/>
    <col min="11979" max="11979" width="14.140625" style="64" customWidth="1"/>
    <col min="11980" max="11980" width="15.140625" style="64" customWidth="1"/>
    <col min="11981" max="11981" width="13.85546875" style="64" customWidth="1"/>
    <col min="11982" max="11983" width="14.7109375" style="64" customWidth="1"/>
    <col min="11984" max="11984" width="12.85546875" style="64" customWidth="1"/>
    <col min="11985" max="11985" width="13.5703125" style="64" customWidth="1"/>
    <col min="11986" max="11986" width="12.7109375" style="64" customWidth="1"/>
    <col min="11987" max="11987" width="13.42578125" style="64" customWidth="1"/>
    <col min="11988" max="11988" width="13.140625" style="64" customWidth="1"/>
    <col min="11989" max="11989" width="14.7109375" style="64" customWidth="1"/>
    <col min="11990" max="11990" width="14.5703125" style="64" customWidth="1"/>
    <col min="11991" max="11991" width="13" style="64" customWidth="1"/>
    <col min="11992" max="11992" width="15" style="64" customWidth="1"/>
    <col min="11993" max="11994" width="12.140625" style="64" customWidth="1"/>
    <col min="11995" max="11995" width="12" style="64" customWidth="1"/>
    <col min="11996" max="11996" width="13.5703125" style="64" customWidth="1"/>
    <col min="11997" max="11997" width="14" style="64" customWidth="1"/>
    <col min="11998" max="11998" width="12.28515625" style="64" customWidth="1"/>
    <col min="11999" max="11999" width="14.140625" style="64" customWidth="1"/>
    <col min="12000" max="12000" width="13" style="64" customWidth="1"/>
    <col min="12001" max="12001" width="13.5703125" style="64" customWidth="1"/>
    <col min="12002" max="12002" width="12.42578125" style="64" customWidth="1"/>
    <col min="12003" max="12003" width="12.5703125" style="64" customWidth="1"/>
    <col min="12004" max="12004" width="11.7109375" style="64" customWidth="1"/>
    <col min="12005" max="12005" width="13.7109375" style="64" customWidth="1"/>
    <col min="12006" max="12006" width="13.28515625" style="64" customWidth="1"/>
    <col min="12007" max="12007" width="13.140625" style="64" customWidth="1"/>
    <col min="12008" max="12008" width="12" style="64" customWidth="1"/>
    <col min="12009" max="12009" width="12.140625" style="64" customWidth="1"/>
    <col min="12010" max="12010" width="12.28515625" style="64" customWidth="1"/>
    <col min="12011" max="12011" width="12.140625" style="64" customWidth="1"/>
    <col min="12012" max="12012" width="12.5703125" style="64" customWidth="1"/>
    <col min="12013" max="12229" width="9.140625" style="64"/>
    <col min="12230" max="12230" width="25.42578125" style="64" customWidth="1"/>
    <col min="12231" max="12231" width="56.28515625" style="64" customWidth="1"/>
    <col min="12232" max="12232" width="14" style="64" customWidth="1"/>
    <col min="12233" max="12234" width="14.5703125" style="64" customWidth="1"/>
    <col min="12235" max="12235" width="14.140625" style="64" customWidth="1"/>
    <col min="12236" max="12236" width="15.140625" style="64" customWidth="1"/>
    <col min="12237" max="12237" width="13.85546875" style="64" customWidth="1"/>
    <col min="12238" max="12239" width="14.7109375" style="64" customWidth="1"/>
    <col min="12240" max="12240" width="12.85546875" style="64" customWidth="1"/>
    <col min="12241" max="12241" width="13.5703125" style="64" customWidth="1"/>
    <col min="12242" max="12242" width="12.7109375" style="64" customWidth="1"/>
    <col min="12243" max="12243" width="13.42578125" style="64" customWidth="1"/>
    <col min="12244" max="12244" width="13.140625" style="64" customWidth="1"/>
    <col min="12245" max="12245" width="14.7109375" style="64" customWidth="1"/>
    <col min="12246" max="12246" width="14.5703125" style="64" customWidth="1"/>
    <col min="12247" max="12247" width="13" style="64" customWidth="1"/>
    <col min="12248" max="12248" width="15" style="64" customWidth="1"/>
    <col min="12249" max="12250" width="12.140625" style="64" customWidth="1"/>
    <col min="12251" max="12251" width="12" style="64" customWidth="1"/>
    <col min="12252" max="12252" width="13.5703125" style="64" customWidth="1"/>
    <col min="12253" max="12253" width="14" style="64" customWidth="1"/>
    <col min="12254" max="12254" width="12.28515625" style="64" customWidth="1"/>
    <col min="12255" max="12255" width="14.140625" style="64" customWidth="1"/>
    <col min="12256" max="12256" width="13" style="64" customWidth="1"/>
    <col min="12257" max="12257" width="13.5703125" style="64" customWidth="1"/>
    <col min="12258" max="12258" width="12.42578125" style="64" customWidth="1"/>
    <col min="12259" max="12259" width="12.5703125" style="64" customWidth="1"/>
    <col min="12260" max="12260" width="11.7109375" style="64" customWidth="1"/>
    <col min="12261" max="12261" width="13.7109375" style="64" customWidth="1"/>
    <col min="12262" max="12262" width="13.28515625" style="64" customWidth="1"/>
    <col min="12263" max="12263" width="13.140625" style="64" customWidth="1"/>
    <col min="12264" max="12264" width="12" style="64" customWidth="1"/>
    <col min="12265" max="12265" width="12.140625" style="64" customWidth="1"/>
    <col min="12266" max="12266" width="12.28515625" style="64" customWidth="1"/>
    <col min="12267" max="12267" width="12.140625" style="64" customWidth="1"/>
    <col min="12268" max="12268" width="12.5703125" style="64" customWidth="1"/>
    <col min="12269" max="12485" width="9.140625" style="64"/>
    <col min="12486" max="12486" width="25.42578125" style="64" customWidth="1"/>
    <col min="12487" max="12487" width="56.28515625" style="64" customWidth="1"/>
    <col min="12488" max="12488" width="14" style="64" customWidth="1"/>
    <col min="12489" max="12490" width="14.5703125" style="64" customWidth="1"/>
    <col min="12491" max="12491" width="14.140625" style="64" customWidth="1"/>
    <col min="12492" max="12492" width="15.140625" style="64" customWidth="1"/>
    <col min="12493" max="12493" width="13.85546875" style="64" customWidth="1"/>
    <col min="12494" max="12495" width="14.7109375" style="64" customWidth="1"/>
    <col min="12496" max="12496" width="12.85546875" style="64" customWidth="1"/>
    <col min="12497" max="12497" width="13.5703125" style="64" customWidth="1"/>
    <col min="12498" max="12498" width="12.7109375" style="64" customWidth="1"/>
    <col min="12499" max="12499" width="13.42578125" style="64" customWidth="1"/>
    <col min="12500" max="12500" width="13.140625" style="64" customWidth="1"/>
    <col min="12501" max="12501" width="14.7109375" style="64" customWidth="1"/>
    <col min="12502" max="12502" width="14.5703125" style="64" customWidth="1"/>
    <col min="12503" max="12503" width="13" style="64" customWidth="1"/>
    <col min="12504" max="12504" width="15" style="64" customWidth="1"/>
    <col min="12505" max="12506" width="12.140625" style="64" customWidth="1"/>
    <col min="12507" max="12507" width="12" style="64" customWidth="1"/>
    <col min="12508" max="12508" width="13.5703125" style="64" customWidth="1"/>
    <col min="12509" max="12509" width="14" style="64" customWidth="1"/>
    <col min="12510" max="12510" width="12.28515625" style="64" customWidth="1"/>
    <col min="12511" max="12511" width="14.140625" style="64" customWidth="1"/>
    <col min="12512" max="12512" width="13" style="64" customWidth="1"/>
    <col min="12513" max="12513" width="13.5703125" style="64" customWidth="1"/>
    <col min="12514" max="12514" width="12.42578125" style="64" customWidth="1"/>
    <col min="12515" max="12515" width="12.5703125" style="64" customWidth="1"/>
    <col min="12516" max="12516" width="11.7109375" style="64" customWidth="1"/>
    <col min="12517" max="12517" width="13.7109375" style="64" customWidth="1"/>
    <col min="12518" max="12518" width="13.28515625" style="64" customWidth="1"/>
    <col min="12519" max="12519" width="13.140625" style="64" customWidth="1"/>
    <col min="12520" max="12520" width="12" style="64" customWidth="1"/>
    <col min="12521" max="12521" width="12.140625" style="64" customWidth="1"/>
    <col min="12522" max="12522" width="12.28515625" style="64" customWidth="1"/>
    <col min="12523" max="12523" width="12.140625" style="64" customWidth="1"/>
    <col min="12524" max="12524" width="12.5703125" style="64" customWidth="1"/>
    <col min="12525" max="12741" width="9.140625" style="64"/>
    <col min="12742" max="12742" width="25.42578125" style="64" customWidth="1"/>
    <col min="12743" max="12743" width="56.28515625" style="64" customWidth="1"/>
    <col min="12744" max="12744" width="14" style="64" customWidth="1"/>
    <col min="12745" max="12746" width="14.5703125" style="64" customWidth="1"/>
    <col min="12747" max="12747" width="14.140625" style="64" customWidth="1"/>
    <col min="12748" max="12748" width="15.140625" style="64" customWidth="1"/>
    <col min="12749" max="12749" width="13.85546875" style="64" customWidth="1"/>
    <col min="12750" max="12751" width="14.7109375" style="64" customWidth="1"/>
    <col min="12752" max="12752" width="12.85546875" style="64" customWidth="1"/>
    <col min="12753" max="12753" width="13.5703125" style="64" customWidth="1"/>
    <col min="12754" max="12754" width="12.7109375" style="64" customWidth="1"/>
    <col min="12755" max="12755" width="13.42578125" style="64" customWidth="1"/>
    <col min="12756" max="12756" width="13.140625" style="64" customWidth="1"/>
    <col min="12757" max="12757" width="14.7109375" style="64" customWidth="1"/>
    <col min="12758" max="12758" width="14.5703125" style="64" customWidth="1"/>
    <col min="12759" max="12759" width="13" style="64" customWidth="1"/>
    <col min="12760" max="12760" width="15" style="64" customWidth="1"/>
    <col min="12761" max="12762" width="12.140625" style="64" customWidth="1"/>
    <col min="12763" max="12763" width="12" style="64" customWidth="1"/>
    <col min="12764" max="12764" width="13.5703125" style="64" customWidth="1"/>
    <col min="12765" max="12765" width="14" style="64" customWidth="1"/>
    <col min="12766" max="12766" width="12.28515625" style="64" customWidth="1"/>
    <col min="12767" max="12767" width="14.140625" style="64" customWidth="1"/>
    <col min="12768" max="12768" width="13" style="64" customWidth="1"/>
    <col min="12769" max="12769" width="13.5703125" style="64" customWidth="1"/>
    <col min="12770" max="12770" width="12.42578125" style="64" customWidth="1"/>
    <col min="12771" max="12771" width="12.5703125" style="64" customWidth="1"/>
    <col min="12772" max="12772" width="11.7109375" style="64" customWidth="1"/>
    <col min="12773" max="12773" width="13.7109375" style="64" customWidth="1"/>
    <col min="12774" max="12774" width="13.28515625" style="64" customWidth="1"/>
    <col min="12775" max="12775" width="13.140625" style="64" customWidth="1"/>
    <col min="12776" max="12776" width="12" style="64" customWidth="1"/>
    <col min="12777" max="12777" width="12.140625" style="64" customWidth="1"/>
    <col min="12778" max="12778" width="12.28515625" style="64" customWidth="1"/>
    <col min="12779" max="12779" width="12.140625" style="64" customWidth="1"/>
    <col min="12780" max="12780" width="12.5703125" style="64" customWidth="1"/>
    <col min="12781" max="12997" width="9.140625" style="64"/>
    <col min="12998" max="12998" width="25.42578125" style="64" customWidth="1"/>
    <col min="12999" max="12999" width="56.28515625" style="64" customWidth="1"/>
    <col min="13000" max="13000" width="14" style="64" customWidth="1"/>
    <col min="13001" max="13002" width="14.5703125" style="64" customWidth="1"/>
    <col min="13003" max="13003" width="14.140625" style="64" customWidth="1"/>
    <col min="13004" max="13004" width="15.140625" style="64" customWidth="1"/>
    <col min="13005" max="13005" width="13.85546875" style="64" customWidth="1"/>
    <col min="13006" max="13007" width="14.7109375" style="64" customWidth="1"/>
    <col min="13008" max="13008" width="12.85546875" style="64" customWidth="1"/>
    <col min="13009" max="13009" width="13.5703125" style="64" customWidth="1"/>
    <col min="13010" max="13010" width="12.7109375" style="64" customWidth="1"/>
    <col min="13011" max="13011" width="13.42578125" style="64" customWidth="1"/>
    <col min="13012" max="13012" width="13.140625" style="64" customWidth="1"/>
    <col min="13013" max="13013" width="14.7109375" style="64" customWidth="1"/>
    <col min="13014" max="13014" width="14.5703125" style="64" customWidth="1"/>
    <col min="13015" max="13015" width="13" style="64" customWidth="1"/>
    <col min="13016" max="13016" width="15" style="64" customWidth="1"/>
    <col min="13017" max="13018" width="12.140625" style="64" customWidth="1"/>
    <col min="13019" max="13019" width="12" style="64" customWidth="1"/>
    <col min="13020" max="13020" width="13.5703125" style="64" customWidth="1"/>
    <col min="13021" max="13021" width="14" style="64" customWidth="1"/>
    <col min="13022" max="13022" width="12.28515625" style="64" customWidth="1"/>
    <col min="13023" max="13023" width="14.140625" style="64" customWidth="1"/>
    <col min="13024" max="13024" width="13" style="64" customWidth="1"/>
    <col min="13025" max="13025" width="13.5703125" style="64" customWidth="1"/>
    <col min="13026" max="13026" width="12.42578125" style="64" customWidth="1"/>
    <col min="13027" max="13027" width="12.5703125" style="64" customWidth="1"/>
    <col min="13028" max="13028" width="11.7109375" style="64" customWidth="1"/>
    <col min="13029" max="13029" width="13.7109375" style="64" customWidth="1"/>
    <col min="13030" max="13030" width="13.28515625" style="64" customWidth="1"/>
    <col min="13031" max="13031" width="13.140625" style="64" customWidth="1"/>
    <col min="13032" max="13032" width="12" style="64" customWidth="1"/>
    <col min="13033" max="13033" width="12.140625" style="64" customWidth="1"/>
    <col min="13034" max="13034" width="12.28515625" style="64" customWidth="1"/>
    <col min="13035" max="13035" width="12.140625" style="64" customWidth="1"/>
    <col min="13036" max="13036" width="12.5703125" style="64" customWidth="1"/>
    <col min="13037" max="13253" width="9.140625" style="64"/>
    <col min="13254" max="13254" width="25.42578125" style="64" customWidth="1"/>
    <col min="13255" max="13255" width="56.28515625" style="64" customWidth="1"/>
    <col min="13256" max="13256" width="14" style="64" customWidth="1"/>
    <col min="13257" max="13258" width="14.5703125" style="64" customWidth="1"/>
    <col min="13259" max="13259" width="14.140625" style="64" customWidth="1"/>
    <col min="13260" max="13260" width="15.140625" style="64" customWidth="1"/>
    <col min="13261" max="13261" width="13.85546875" style="64" customWidth="1"/>
    <col min="13262" max="13263" width="14.7109375" style="64" customWidth="1"/>
    <col min="13264" max="13264" width="12.85546875" style="64" customWidth="1"/>
    <col min="13265" max="13265" width="13.5703125" style="64" customWidth="1"/>
    <col min="13266" max="13266" width="12.7109375" style="64" customWidth="1"/>
    <col min="13267" max="13267" width="13.42578125" style="64" customWidth="1"/>
    <col min="13268" max="13268" width="13.140625" style="64" customWidth="1"/>
    <col min="13269" max="13269" width="14.7109375" style="64" customWidth="1"/>
    <col min="13270" max="13270" width="14.5703125" style="64" customWidth="1"/>
    <col min="13271" max="13271" width="13" style="64" customWidth="1"/>
    <col min="13272" max="13272" width="15" style="64" customWidth="1"/>
    <col min="13273" max="13274" width="12.140625" style="64" customWidth="1"/>
    <col min="13275" max="13275" width="12" style="64" customWidth="1"/>
    <col min="13276" max="13276" width="13.5703125" style="64" customWidth="1"/>
    <col min="13277" max="13277" width="14" style="64" customWidth="1"/>
    <col min="13278" max="13278" width="12.28515625" style="64" customWidth="1"/>
    <col min="13279" max="13279" width="14.140625" style="64" customWidth="1"/>
    <col min="13280" max="13280" width="13" style="64" customWidth="1"/>
    <col min="13281" max="13281" width="13.5703125" style="64" customWidth="1"/>
    <col min="13282" max="13282" width="12.42578125" style="64" customWidth="1"/>
    <col min="13283" max="13283" width="12.5703125" style="64" customWidth="1"/>
    <col min="13284" max="13284" width="11.7109375" style="64" customWidth="1"/>
    <col min="13285" max="13285" width="13.7109375" style="64" customWidth="1"/>
    <col min="13286" max="13286" width="13.28515625" style="64" customWidth="1"/>
    <col min="13287" max="13287" width="13.140625" style="64" customWidth="1"/>
    <col min="13288" max="13288" width="12" style="64" customWidth="1"/>
    <col min="13289" max="13289" width="12.140625" style="64" customWidth="1"/>
    <col min="13290" max="13290" width="12.28515625" style="64" customWidth="1"/>
    <col min="13291" max="13291" width="12.140625" style="64" customWidth="1"/>
    <col min="13292" max="13292" width="12.5703125" style="64" customWidth="1"/>
    <col min="13293" max="13509" width="9.140625" style="64"/>
    <col min="13510" max="13510" width="25.42578125" style="64" customWidth="1"/>
    <col min="13511" max="13511" width="56.28515625" style="64" customWidth="1"/>
    <col min="13512" max="13512" width="14" style="64" customWidth="1"/>
    <col min="13513" max="13514" width="14.5703125" style="64" customWidth="1"/>
    <col min="13515" max="13515" width="14.140625" style="64" customWidth="1"/>
    <col min="13516" max="13516" width="15.140625" style="64" customWidth="1"/>
    <col min="13517" max="13517" width="13.85546875" style="64" customWidth="1"/>
    <col min="13518" max="13519" width="14.7109375" style="64" customWidth="1"/>
    <col min="13520" max="13520" width="12.85546875" style="64" customWidth="1"/>
    <col min="13521" max="13521" width="13.5703125" style="64" customWidth="1"/>
    <col min="13522" max="13522" width="12.7109375" style="64" customWidth="1"/>
    <col min="13523" max="13523" width="13.42578125" style="64" customWidth="1"/>
    <col min="13524" max="13524" width="13.140625" style="64" customWidth="1"/>
    <col min="13525" max="13525" width="14.7109375" style="64" customWidth="1"/>
    <col min="13526" max="13526" width="14.5703125" style="64" customWidth="1"/>
    <col min="13527" max="13527" width="13" style="64" customWidth="1"/>
    <col min="13528" max="13528" width="15" style="64" customWidth="1"/>
    <col min="13529" max="13530" width="12.140625" style="64" customWidth="1"/>
    <col min="13531" max="13531" width="12" style="64" customWidth="1"/>
    <col min="13532" max="13532" width="13.5703125" style="64" customWidth="1"/>
    <col min="13533" max="13533" width="14" style="64" customWidth="1"/>
    <col min="13534" max="13534" width="12.28515625" style="64" customWidth="1"/>
    <col min="13535" max="13535" width="14.140625" style="64" customWidth="1"/>
    <col min="13536" max="13536" width="13" style="64" customWidth="1"/>
    <col min="13537" max="13537" width="13.5703125" style="64" customWidth="1"/>
    <col min="13538" max="13538" width="12.42578125" style="64" customWidth="1"/>
    <col min="13539" max="13539" width="12.5703125" style="64" customWidth="1"/>
    <col min="13540" max="13540" width="11.7109375" style="64" customWidth="1"/>
    <col min="13541" max="13541" width="13.7109375" style="64" customWidth="1"/>
    <col min="13542" max="13542" width="13.28515625" style="64" customWidth="1"/>
    <col min="13543" max="13543" width="13.140625" style="64" customWidth="1"/>
    <col min="13544" max="13544" width="12" style="64" customWidth="1"/>
    <col min="13545" max="13545" width="12.140625" style="64" customWidth="1"/>
    <col min="13546" max="13546" width="12.28515625" style="64" customWidth="1"/>
    <col min="13547" max="13547" width="12.140625" style="64" customWidth="1"/>
    <col min="13548" max="13548" width="12.5703125" style="64" customWidth="1"/>
    <col min="13549" max="13765" width="9.140625" style="64"/>
    <col min="13766" max="13766" width="25.42578125" style="64" customWidth="1"/>
    <col min="13767" max="13767" width="56.28515625" style="64" customWidth="1"/>
    <col min="13768" max="13768" width="14" style="64" customWidth="1"/>
    <col min="13769" max="13770" width="14.5703125" style="64" customWidth="1"/>
    <col min="13771" max="13771" width="14.140625" style="64" customWidth="1"/>
    <col min="13772" max="13772" width="15.140625" style="64" customWidth="1"/>
    <col min="13773" max="13773" width="13.85546875" style="64" customWidth="1"/>
    <col min="13774" max="13775" width="14.7109375" style="64" customWidth="1"/>
    <col min="13776" max="13776" width="12.85546875" style="64" customWidth="1"/>
    <col min="13777" max="13777" width="13.5703125" style="64" customWidth="1"/>
    <col min="13778" max="13778" width="12.7109375" style="64" customWidth="1"/>
    <col min="13779" max="13779" width="13.42578125" style="64" customWidth="1"/>
    <col min="13780" max="13780" width="13.140625" style="64" customWidth="1"/>
    <col min="13781" max="13781" width="14.7109375" style="64" customWidth="1"/>
    <col min="13782" max="13782" width="14.5703125" style="64" customWidth="1"/>
    <col min="13783" max="13783" width="13" style="64" customWidth="1"/>
    <col min="13784" max="13784" width="15" style="64" customWidth="1"/>
    <col min="13785" max="13786" width="12.140625" style="64" customWidth="1"/>
    <col min="13787" max="13787" width="12" style="64" customWidth="1"/>
    <col min="13788" max="13788" width="13.5703125" style="64" customWidth="1"/>
    <col min="13789" max="13789" width="14" style="64" customWidth="1"/>
    <col min="13790" max="13790" width="12.28515625" style="64" customWidth="1"/>
    <col min="13791" max="13791" width="14.140625" style="64" customWidth="1"/>
    <col min="13792" max="13792" width="13" style="64" customWidth="1"/>
    <col min="13793" max="13793" width="13.5703125" style="64" customWidth="1"/>
    <col min="13794" max="13794" width="12.42578125" style="64" customWidth="1"/>
    <col min="13795" max="13795" width="12.5703125" style="64" customWidth="1"/>
    <col min="13796" max="13796" width="11.7109375" style="64" customWidth="1"/>
    <col min="13797" max="13797" width="13.7109375" style="64" customWidth="1"/>
    <col min="13798" max="13798" width="13.28515625" style="64" customWidth="1"/>
    <col min="13799" max="13799" width="13.140625" style="64" customWidth="1"/>
    <col min="13800" max="13800" width="12" style="64" customWidth="1"/>
    <col min="13801" max="13801" width="12.140625" style="64" customWidth="1"/>
    <col min="13802" max="13802" width="12.28515625" style="64" customWidth="1"/>
    <col min="13803" max="13803" width="12.140625" style="64" customWidth="1"/>
    <col min="13804" max="13804" width="12.5703125" style="64" customWidth="1"/>
    <col min="13805" max="14021" width="9.140625" style="64"/>
    <col min="14022" max="14022" width="25.42578125" style="64" customWidth="1"/>
    <col min="14023" max="14023" width="56.28515625" style="64" customWidth="1"/>
    <col min="14024" max="14024" width="14" style="64" customWidth="1"/>
    <col min="14025" max="14026" width="14.5703125" style="64" customWidth="1"/>
    <col min="14027" max="14027" width="14.140625" style="64" customWidth="1"/>
    <col min="14028" max="14028" width="15.140625" style="64" customWidth="1"/>
    <col min="14029" max="14029" width="13.85546875" style="64" customWidth="1"/>
    <col min="14030" max="14031" width="14.7109375" style="64" customWidth="1"/>
    <col min="14032" max="14032" width="12.85546875" style="64" customWidth="1"/>
    <col min="14033" max="14033" width="13.5703125" style="64" customWidth="1"/>
    <col min="14034" max="14034" width="12.7109375" style="64" customWidth="1"/>
    <col min="14035" max="14035" width="13.42578125" style="64" customWidth="1"/>
    <col min="14036" max="14036" width="13.140625" style="64" customWidth="1"/>
    <col min="14037" max="14037" width="14.7109375" style="64" customWidth="1"/>
    <col min="14038" max="14038" width="14.5703125" style="64" customWidth="1"/>
    <col min="14039" max="14039" width="13" style="64" customWidth="1"/>
    <col min="14040" max="14040" width="15" style="64" customWidth="1"/>
    <col min="14041" max="14042" width="12.140625" style="64" customWidth="1"/>
    <col min="14043" max="14043" width="12" style="64" customWidth="1"/>
    <col min="14044" max="14044" width="13.5703125" style="64" customWidth="1"/>
    <col min="14045" max="14045" width="14" style="64" customWidth="1"/>
    <col min="14046" max="14046" width="12.28515625" style="64" customWidth="1"/>
    <col min="14047" max="14047" width="14.140625" style="64" customWidth="1"/>
    <col min="14048" max="14048" width="13" style="64" customWidth="1"/>
    <col min="14049" max="14049" width="13.5703125" style="64" customWidth="1"/>
    <col min="14050" max="14050" width="12.42578125" style="64" customWidth="1"/>
    <col min="14051" max="14051" width="12.5703125" style="64" customWidth="1"/>
    <col min="14052" max="14052" width="11.7109375" style="64" customWidth="1"/>
    <col min="14053" max="14053" width="13.7109375" style="64" customWidth="1"/>
    <col min="14054" max="14054" width="13.28515625" style="64" customWidth="1"/>
    <col min="14055" max="14055" width="13.140625" style="64" customWidth="1"/>
    <col min="14056" max="14056" width="12" style="64" customWidth="1"/>
    <col min="14057" max="14057" width="12.140625" style="64" customWidth="1"/>
    <col min="14058" max="14058" width="12.28515625" style="64" customWidth="1"/>
    <col min="14059" max="14059" width="12.140625" style="64" customWidth="1"/>
    <col min="14060" max="14060" width="12.5703125" style="64" customWidth="1"/>
    <col min="14061" max="14277" width="9.140625" style="64"/>
    <col min="14278" max="14278" width="25.42578125" style="64" customWidth="1"/>
    <col min="14279" max="14279" width="56.28515625" style="64" customWidth="1"/>
    <col min="14280" max="14280" width="14" style="64" customWidth="1"/>
    <col min="14281" max="14282" width="14.5703125" style="64" customWidth="1"/>
    <col min="14283" max="14283" width="14.140625" style="64" customWidth="1"/>
    <col min="14284" max="14284" width="15.140625" style="64" customWidth="1"/>
    <col min="14285" max="14285" width="13.85546875" style="64" customWidth="1"/>
    <col min="14286" max="14287" width="14.7109375" style="64" customWidth="1"/>
    <col min="14288" max="14288" width="12.85546875" style="64" customWidth="1"/>
    <col min="14289" max="14289" width="13.5703125" style="64" customWidth="1"/>
    <col min="14290" max="14290" width="12.7109375" style="64" customWidth="1"/>
    <col min="14291" max="14291" width="13.42578125" style="64" customWidth="1"/>
    <col min="14292" max="14292" width="13.140625" style="64" customWidth="1"/>
    <col min="14293" max="14293" width="14.7109375" style="64" customWidth="1"/>
    <col min="14294" max="14294" width="14.5703125" style="64" customWidth="1"/>
    <col min="14295" max="14295" width="13" style="64" customWidth="1"/>
    <col min="14296" max="14296" width="15" style="64" customWidth="1"/>
    <col min="14297" max="14298" width="12.140625" style="64" customWidth="1"/>
    <col min="14299" max="14299" width="12" style="64" customWidth="1"/>
    <col min="14300" max="14300" width="13.5703125" style="64" customWidth="1"/>
    <col min="14301" max="14301" width="14" style="64" customWidth="1"/>
    <col min="14302" max="14302" width="12.28515625" style="64" customWidth="1"/>
    <col min="14303" max="14303" width="14.140625" style="64" customWidth="1"/>
    <col min="14304" max="14304" width="13" style="64" customWidth="1"/>
    <col min="14305" max="14305" width="13.5703125" style="64" customWidth="1"/>
    <col min="14306" max="14306" width="12.42578125" style="64" customWidth="1"/>
    <col min="14307" max="14307" width="12.5703125" style="64" customWidth="1"/>
    <col min="14308" max="14308" width="11.7109375" style="64" customWidth="1"/>
    <col min="14309" max="14309" width="13.7109375" style="64" customWidth="1"/>
    <col min="14310" max="14310" width="13.28515625" style="64" customWidth="1"/>
    <col min="14311" max="14311" width="13.140625" style="64" customWidth="1"/>
    <col min="14312" max="14312" width="12" style="64" customWidth="1"/>
    <col min="14313" max="14313" width="12.140625" style="64" customWidth="1"/>
    <col min="14314" max="14314" width="12.28515625" style="64" customWidth="1"/>
    <col min="14315" max="14315" width="12.140625" style="64" customWidth="1"/>
    <col min="14316" max="14316" width="12.5703125" style="64" customWidth="1"/>
    <col min="14317" max="14533" width="9.140625" style="64"/>
    <col min="14534" max="14534" width="25.42578125" style="64" customWidth="1"/>
    <col min="14535" max="14535" width="56.28515625" style="64" customWidth="1"/>
    <col min="14536" max="14536" width="14" style="64" customWidth="1"/>
    <col min="14537" max="14538" width="14.5703125" style="64" customWidth="1"/>
    <col min="14539" max="14539" width="14.140625" style="64" customWidth="1"/>
    <col min="14540" max="14540" width="15.140625" style="64" customWidth="1"/>
    <col min="14541" max="14541" width="13.85546875" style="64" customWidth="1"/>
    <col min="14542" max="14543" width="14.7109375" style="64" customWidth="1"/>
    <col min="14544" max="14544" width="12.85546875" style="64" customWidth="1"/>
    <col min="14545" max="14545" width="13.5703125" style="64" customWidth="1"/>
    <col min="14546" max="14546" width="12.7109375" style="64" customWidth="1"/>
    <col min="14547" max="14547" width="13.42578125" style="64" customWidth="1"/>
    <col min="14548" max="14548" width="13.140625" style="64" customWidth="1"/>
    <col min="14549" max="14549" width="14.7109375" style="64" customWidth="1"/>
    <col min="14550" max="14550" width="14.5703125" style="64" customWidth="1"/>
    <col min="14551" max="14551" width="13" style="64" customWidth="1"/>
    <col min="14552" max="14552" width="15" style="64" customWidth="1"/>
    <col min="14553" max="14554" width="12.140625" style="64" customWidth="1"/>
    <col min="14555" max="14555" width="12" style="64" customWidth="1"/>
    <col min="14556" max="14556" width="13.5703125" style="64" customWidth="1"/>
    <col min="14557" max="14557" width="14" style="64" customWidth="1"/>
    <col min="14558" max="14558" width="12.28515625" style="64" customWidth="1"/>
    <col min="14559" max="14559" width="14.140625" style="64" customWidth="1"/>
    <col min="14560" max="14560" width="13" style="64" customWidth="1"/>
    <col min="14561" max="14561" width="13.5703125" style="64" customWidth="1"/>
    <col min="14562" max="14562" width="12.42578125" style="64" customWidth="1"/>
    <col min="14563" max="14563" width="12.5703125" style="64" customWidth="1"/>
    <col min="14564" max="14564" width="11.7109375" style="64" customWidth="1"/>
    <col min="14565" max="14565" width="13.7109375" style="64" customWidth="1"/>
    <col min="14566" max="14566" width="13.28515625" style="64" customWidth="1"/>
    <col min="14567" max="14567" width="13.140625" style="64" customWidth="1"/>
    <col min="14568" max="14568" width="12" style="64" customWidth="1"/>
    <col min="14569" max="14569" width="12.140625" style="64" customWidth="1"/>
    <col min="14570" max="14570" width="12.28515625" style="64" customWidth="1"/>
    <col min="14571" max="14571" width="12.140625" style="64" customWidth="1"/>
    <col min="14572" max="14572" width="12.5703125" style="64" customWidth="1"/>
    <col min="14573" max="14789" width="9.140625" style="64"/>
    <col min="14790" max="14790" width="25.42578125" style="64" customWidth="1"/>
    <col min="14791" max="14791" width="56.28515625" style="64" customWidth="1"/>
    <col min="14792" max="14792" width="14" style="64" customWidth="1"/>
    <col min="14793" max="14794" width="14.5703125" style="64" customWidth="1"/>
    <col min="14795" max="14795" width="14.140625" style="64" customWidth="1"/>
    <col min="14796" max="14796" width="15.140625" style="64" customWidth="1"/>
    <col min="14797" max="14797" width="13.85546875" style="64" customWidth="1"/>
    <col min="14798" max="14799" width="14.7109375" style="64" customWidth="1"/>
    <col min="14800" max="14800" width="12.85546875" style="64" customWidth="1"/>
    <col min="14801" max="14801" width="13.5703125" style="64" customWidth="1"/>
    <col min="14802" max="14802" width="12.7109375" style="64" customWidth="1"/>
    <col min="14803" max="14803" width="13.42578125" style="64" customWidth="1"/>
    <col min="14804" max="14804" width="13.140625" style="64" customWidth="1"/>
    <col min="14805" max="14805" width="14.7109375" style="64" customWidth="1"/>
    <col min="14806" max="14806" width="14.5703125" style="64" customWidth="1"/>
    <col min="14807" max="14807" width="13" style="64" customWidth="1"/>
    <col min="14808" max="14808" width="15" style="64" customWidth="1"/>
    <col min="14809" max="14810" width="12.140625" style="64" customWidth="1"/>
    <col min="14811" max="14811" width="12" style="64" customWidth="1"/>
    <col min="14812" max="14812" width="13.5703125" style="64" customWidth="1"/>
    <col min="14813" max="14813" width="14" style="64" customWidth="1"/>
    <col min="14814" max="14814" width="12.28515625" style="64" customWidth="1"/>
    <col min="14815" max="14815" width="14.140625" style="64" customWidth="1"/>
    <col min="14816" max="14816" width="13" style="64" customWidth="1"/>
    <col min="14817" max="14817" width="13.5703125" style="64" customWidth="1"/>
    <col min="14818" max="14818" width="12.42578125" style="64" customWidth="1"/>
    <col min="14819" max="14819" width="12.5703125" style="64" customWidth="1"/>
    <col min="14820" max="14820" width="11.7109375" style="64" customWidth="1"/>
    <col min="14821" max="14821" width="13.7109375" style="64" customWidth="1"/>
    <col min="14822" max="14822" width="13.28515625" style="64" customWidth="1"/>
    <col min="14823" max="14823" width="13.140625" style="64" customWidth="1"/>
    <col min="14824" max="14824" width="12" style="64" customWidth="1"/>
    <col min="14825" max="14825" width="12.140625" style="64" customWidth="1"/>
    <col min="14826" max="14826" width="12.28515625" style="64" customWidth="1"/>
    <col min="14827" max="14827" width="12.140625" style="64" customWidth="1"/>
    <col min="14828" max="14828" width="12.5703125" style="64" customWidth="1"/>
    <col min="14829" max="15045" width="9.140625" style="64"/>
    <col min="15046" max="15046" width="25.42578125" style="64" customWidth="1"/>
    <col min="15047" max="15047" width="56.28515625" style="64" customWidth="1"/>
    <col min="15048" max="15048" width="14" style="64" customWidth="1"/>
    <col min="15049" max="15050" width="14.5703125" style="64" customWidth="1"/>
    <col min="15051" max="15051" width="14.140625" style="64" customWidth="1"/>
    <col min="15052" max="15052" width="15.140625" style="64" customWidth="1"/>
    <col min="15053" max="15053" width="13.85546875" style="64" customWidth="1"/>
    <col min="15054" max="15055" width="14.7109375" style="64" customWidth="1"/>
    <col min="15056" max="15056" width="12.85546875" style="64" customWidth="1"/>
    <col min="15057" max="15057" width="13.5703125" style="64" customWidth="1"/>
    <col min="15058" max="15058" width="12.7109375" style="64" customWidth="1"/>
    <col min="15059" max="15059" width="13.42578125" style="64" customWidth="1"/>
    <col min="15060" max="15060" width="13.140625" style="64" customWidth="1"/>
    <col min="15061" max="15061" width="14.7109375" style="64" customWidth="1"/>
    <col min="15062" max="15062" width="14.5703125" style="64" customWidth="1"/>
    <col min="15063" max="15063" width="13" style="64" customWidth="1"/>
    <col min="15064" max="15064" width="15" style="64" customWidth="1"/>
    <col min="15065" max="15066" width="12.140625" style="64" customWidth="1"/>
    <col min="15067" max="15067" width="12" style="64" customWidth="1"/>
    <col min="15068" max="15068" width="13.5703125" style="64" customWidth="1"/>
    <col min="15069" max="15069" width="14" style="64" customWidth="1"/>
    <col min="15070" max="15070" width="12.28515625" style="64" customWidth="1"/>
    <col min="15071" max="15071" width="14.140625" style="64" customWidth="1"/>
    <col min="15072" max="15072" width="13" style="64" customWidth="1"/>
    <col min="15073" max="15073" width="13.5703125" style="64" customWidth="1"/>
    <col min="15074" max="15074" width="12.42578125" style="64" customWidth="1"/>
    <col min="15075" max="15075" width="12.5703125" style="64" customWidth="1"/>
    <col min="15076" max="15076" width="11.7109375" style="64" customWidth="1"/>
    <col min="15077" max="15077" width="13.7109375" style="64" customWidth="1"/>
    <col min="15078" max="15078" width="13.28515625" style="64" customWidth="1"/>
    <col min="15079" max="15079" width="13.140625" style="64" customWidth="1"/>
    <col min="15080" max="15080" width="12" style="64" customWidth="1"/>
    <col min="15081" max="15081" width="12.140625" style="64" customWidth="1"/>
    <col min="15082" max="15082" width="12.28515625" style="64" customWidth="1"/>
    <col min="15083" max="15083" width="12.140625" style="64" customWidth="1"/>
    <col min="15084" max="15084" width="12.5703125" style="64" customWidth="1"/>
    <col min="15085" max="15301" width="9.140625" style="64"/>
    <col min="15302" max="15302" width="25.42578125" style="64" customWidth="1"/>
    <col min="15303" max="15303" width="56.28515625" style="64" customWidth="1"/>
    <col min="15304" max="15304" width="14" style="64" customWidth="1"/>
    <col min="15305" max="15306" width="14.5703125" style="64" customWidth="1"/>
    <col min="15307" max="15307" width="14.140625" style="64" customWidth="1"/>
    <col min="15308" max="15308" width="15.140625" style="64" customWidth="1"/>
    <col min="15309" max="15309" width="13.85546875" style="64" customWidth="1"/>
    <col min="15310" max="15311" width="14.7109375" style="64" customWidth="1"/>
    <col min="15312" max="15312" width="12.85546875" style="64" customWidth="1"/>
    <col min="15313" max="15313" width="13.5703125" style="64" customWidth="1"/>
    <col min="15314" max="15314" width="12.7109375" style="64" customWidth="1"/>
    <col min="15315" max="15315" width="13.42578125" style="64" customWidth="1"/>
    <col min="15316" max="15316" width="13.140625" style="64" customWidth="1"/>
    <col min="15317" max="15317" width="14.7109375" style="64" customWidth="1"/>
    <col min="15318" max="15318" width="14.5703125" style="64" customWidth="1"/>
    <col min="15319" max="15319" width="13" style="64" customWidth="1"/>
    <col min="15320" max="15320" width="15" style="64" customWidth="1"/>
    <col min="15321" max="15322" width="12.140625" style="64" customWidth="1"/>
    <col min="15323" max="15323" width="12" style="64" customWidth="1"/>
    <col min="15324" max="15324" width="13.5703125" style="64" customWidth="1"/>
    <col min="15325" max="15325" width="14" style="64" customWidth="1"/>
    <col min="15326" max="15326" width="12.28515625" style="64" customWidth="1"/>
    <col min="15327" max="15327" width="14.140625" style="64" customWidth="1"/>
    <col min="15328" max="15328" width="13" style="64" customWidth="1"/>
    <col min="15329" max="15329" width="13.5703125" style="64" customWidth="1"/>
    <col min="15330" max="15330" width="12.42578125" style="64" customWidth="1"/>
    <col min="15331" max="15331" width="12.5703125" style="64" customWidth="1"/>
    <col min="15332" max="15332" width="11.7109375" style="64" customWidth="1"/>
    <col min="15333" max="15333" width="13.7109375" style="64" customWidth="1"/>
    <col min="15334" max="15334" width="13.28515625" style="64" customWidth="1"/>
    <col min="15335" max="15335" width="13.140625" style="64" customWidth="1"/>
    <col min="15336" max="15336" width="12" style="64" customWidth="1"/>
    <col min="15337" max="15337" width="12.140625" style="64" customWidth="1"/>
    <col min="15338" max="15338" width="12.28515625" style="64" customWidth="1"/>
    <col min="15339" max="15339" width="12.140625" style="64" customWidth="1"/>
    <col min="15340" max="15340" width="12.5703125" style="64" customWidth="1"/>
    <col min="15341" max="15557" width="9.140625" style="64"/>
    <col min="15558" max="15558" width="25.42578125" style="64" customWidth="1"/>
    <col min="15559" max="15559" width="56.28515625" style="64" customWidth="1"/>
    <col min="15560" max="15560" width="14" style="64" customWidth="1"/>
    <col min="15561" max="15562" width="14.5703125" style="64" customWidth="1"/>
    <col min="15563" max="15563" width="14.140625" style="64" customWidth="1"/>
    <col min="15564" max="15564" width="15.140625" style="64" customWidth="1"/>
    <col min="15565" max="15565" width="13.85546875" style="64" customWidth="1"/>
    <col min="15566" max="15567" width="14.7109375" style="64" customWidth="1"/>
    <col min="15568" max="15568" width="12.85546875" style="64" customWidth="1"/>
    <col min="15569" max="15569" width="13.5703125" style="64" customWidth="1"/>
    <col min="15570" max="15570" width="12.7109375" style="64" customWidth="1"/>
    <col min="15571" max="15571" width="13.42578125" style="64" customWidth="1"/>
    <col min="15572" max="15572" width="13.140625" style="64" customWidth="1"/>
    <col min="15573" max="15573" width="14.7109375" style="64" customWidth="1"/>
    <col min="15574" max="15574" width="14.5703125" style="64" customWidth="1"/>
    <col min="15575" max="15575" width="13" style="64" customWidth="1"/>
    <col min="15576" max="15576" width="15" style="64" customWidth="1"/>
    <col min="15577" max="15578" width="12.140625" style="64" customWidth="1"/>
    <col min="15579" max="15579" width="12" style="64" customWidth="1"/>
    <col min="15580" max="15580" width="13.5703125" style="64" customWidth="1"/>
    <col min="15581" max="15581" width="14" style="64" customWidth="1"/>
    <col min="15582" max="15582" width="12.28515625" style="64" customWidth="1"/>
    <col min="15583" max="15583" width="14.140625" style="64" customWidth="1"/>
    <col min="15584" max="15584" width="13" style="64" customWidth="1"/>
    <col min="15585" max="15585" width="13.5703125" style="64" customWidth="1"/>
    <col min="15586" max="15586" width="12.42578125" style="64" customWidth="1"/>
    <col min="15587" max="15587" width="12.5703125" style="64" customWidth="1"/>
    <col min="15588" max="15588" width="11.7109375" style="64" customWidth="1"/>
    <col min="15589" max="15589" width="13.7109375" style="64" customWidth="1"/>
    <col min="15590" max="15590" width="13.28515625" style="64" customWidth="1"/>
    <col min="15591" max="15591" width="13.140625" style="64" customWidth="1"/>
    <col min="15592" max="15592" width="12" style="64" customWidth="1"/>
    <col min="15593" max="15593" width="12.140625" style="64" customWidth="1"/>
    <col min="15594" max="15594" width="12.28515625" style="64" customWidth="1"/>
    <col min="15595" max="15595" width="12.140625" style="64" customWidth="1"/>
    <col min="15596" max="15596" width="12.5703125" style="64" customWidth="1"/>
    <col min="15597" max="15813" width="9.140625" style="64"/>
    <col min="15814" max="15814" width="25.42578125" style="64" customWidth="1"/>
    <col min="15815" max="15815" width="56.28515625" style="64" customWidth="1"/>
    <col min="15816" max="15816" width="14" style="64" customWidth="1"/>
    <col min="15817" max="15818" width="14.5703125" style="64" customWidth="1"/>
    <col min="15819" max="15819" width="14.140625" style="64" customWidth="1"/>
    <col min="15820" max="15820" width="15.140625" style="64" customWidth="1"/>
    <col min="15821" max="15821" width="13.85546875" style="64" customWidth="1"/>
    <col min="15822" max="15823" width="14.7109375" style="64" customWidth="1"/>
    <col min="15824" max="15824" width="12.85546875" style="64" customWidth="1"/>
    <col min="15825" max="15825" width="13.5703125" style="64" customWidth="1"/>
    <col min="15826" max="15826" width="12.7109375" style="64" customWidth="1"/>
    <col min="15827" max="15827" width="13.42578125" style="64" customWidth="1"/>
    <col min="15828" max="15828" width="13.140625" style="64" customWidth="1"/>
    <col min="15829" max="15829" width="14.7109375" style="64" customWidth="1"/>
    <col min="15830" max="15830" width="14.5703125" style="64" customWidth="1"/>
    <col min="15831" max="15831" width="13" style="64" customWidth="1"/>
    <col min="15832" max="15832" width="15" style="64" customWidth="1"/>
    <col min="15833" max="15834" width="12.140625" style="64" customWidth="1"/>
    <col min="15835" max="15835" width="12" style="64" customWidth="1"/>
    <col min="15836" max="15836" width="13.5703125" style="64" customWidth="1"/>
    <col min="15837" max="15837" width="14" style="64" customWidth="1"/>
    <col min="15838" max="15838" width="12.28515625" style="64" customWidth="1"/>
    <col min="15839" max="15839" width="14.140625" style="64" customWidth="1"/>
    <col min="15840" max="15840" width="13" style="64" customWidth="1"/>
    <col min="15841" max="15841" width="13.5703125" style="64" customWidth="1"/>
    <col min="15842" max="15842" width="12.42578125" style="64" customWidth="1"/>
    <col min="15843" max="15843" width="12.5703125" style="64" customWidth="1"/>
    <col min="15844" max="15844" width="11.7109375" style="64" customWidth="1"/>
    <col min="15845" max="15845" width="13.7109375" style="64" customWidth="1"/>
    <col min="15846" max="15846" width="13.28515625" style="64" customWidth="1"/>
    <col min="15847" max="15847" width="13.140625" style="64" customWidth="1"/>
    <col min="15848" max="15848" width="12" style="64" customWidth="1"/>
    <col min="15849" max="15849" width="12.140625" style="64" customWidth="1"/>
    <col min="15850" max="15850" width="12.28515625" style="64" customWidth="1"/>
    <col min="15851" max="15851" width="12.140625" style="64" customWidth="1"/>
    <col min="15852" max="15852" width="12.5703125" style="64" customWidth="1"/>
    <col min="15853" max="16069" width="9.140625" style="64"/>
    <col min="16070" max="16070" width="25.42578125" style="64" customWidth="1"/>
    <col min="16071" max="16071" width="56.28515625" style="64" customWidth="1"/>
    <col min="16072" max="16072" width="14" style="64" customWidth="1"/>
    <col min="16073" max="16074" width="14.5703125" style="64" customWidth="1"/>
    <col min="16075" max="16075" width="14.140625" style="64" customWidth="1"/>
    <col min="16076" max="16076" width="15.140625" style="64" customWidth="1"/>
    <col min="16077" max="16077" width="13.85546875" style="64" customWidth="1"/>
    <col min="16078" max="16079" width="14.7109375" style="64" customWidth="1"/>
    <col min="16080" max="16080" width="12.85546875" style="64" customWidth="1"/>
    <col min="16081" max="16081" width="13.5703125" style="64" customWidth="1"/>
    <col min="16082" max="16082" width="12.7109375" style="64" customWidth="1"/>
    <col min="16083" max="16083" width="13.42578125" style="64" customWidth="1"/>
    <col min="16084" max="16084" width="13.140625" style="64" customWidth="1"/>
    <col min="16085" max="16085" width="14.7109375" style="64" customWidth="1"/>
    <col min="16086" max="16086" width="14.5703125" style="64" customWidth="1"/>
    <col min="16087" max="16087" width="13" style="64" customWidth="1"/>
    <col min="16088" max="16088" width="15" style="64" customWidth="1"/>
    <col min="16089" max="16090" width="12.140625" style="64" customWidth="1"/>
    <col min="16091" max="16091" width="12" style="64" customWidth="1"/>
    <col min="16092" max="16092" width="13.5703125" style="64" customWidth="1"/>
    <col min="16093" max="16093" width="14" style="64" customWidth="1"/>
    <col min="16094" max="16094" width="12.28515625" style="64" customWidth="1"/>
    <col min="16095" max="16095" width="14.140625" style="64" customWidth="1"/>
    <col min="16096" max="16096" width="13" style="64" customWidth="1"/>
    <col min="16097" max="16097" width="13.5703125" style="64" customWidth="1"/>
    <col min="16098" max="16098" width="12.42578125" style="64" customWidth="1"/>
    <col min="16099" max="16099" width="12.5703125" style="64" customWidth="1"/>
    <col min="16100" max="16100" width="11.7109375" style="64" customWidth="1"/>
    <col min="16101" max="16101" width="13.7109375" style="64" customWidth="1"/>
    <col min="16102" max="16102" width="13.28515625" style="64" customWidth="1"/>
    <col min="16103" max="16103" width="13.140625" style="64" customWidth="1"/>
    <col min="16104" max="16104" width="12" style="64" customWidth="1"/>
    <col min="16105" max="16105" width="12.140625" style="64" customWidth="1"/>
    <col min="16106" max="16106" width="12.28515625" style="64" customWidth="1"/>
    <col min="16107" max="16107" width="12.140625" style="64" customWidth="1"/>
    <col min="16108" max="16108" width="12.5703125" style="64" customWidth="1"/>
    <col min="16109" max="16384" width="9.140625" style="64"/>
  </cols>
  <sheetData>
    <row r="1" spans="1:25" s="5" customFormat="1" ht="16.5" customHeight="1" x14ac:dyDescent="0.25">
      <c r="A1" s="63"/>
      <c r="B1" s="179"/>
      <c r="M1" s="322" t="s">
        <v>409</v>
      </c>
      <c r="N1" s="322"/>
      <c r="O1" s="322"/>
    </row>
    <row r="2" spans="1:25" s="5" customFormat="1" ht="64.5" customHeight="1" x14ac:dyDescent="0.25">
      <c r="A2" s="63"/>
      <c r="D2" s="237"/>
      <c r="E2" s="237"/>
      <c r="F2" s="237"/>
      <c r="G2" s="237"/>
      <c r="H2" s="237"/>
      <c r="I2" s="237"/>
      <c r="J2" s="237"/>
      <c r="M2" s="321" t="s">
        <v>506</v>
      </c>
      <c r="N2" s="321"/>
      <c r="O2" s="321"/>
    </row>
    <row r="3" spans="1:25" s="5" customFormat="1" ht="43.5" customHeight="1" x14ac:dyDescent="0.2">
      <c r="A3" s="320" t="s">
        <v>591</v>
      </c>
      <c r="B3" s="320"/>
      <c r="C3" s="320"/>
      <c r="D3" s="320"/>
      <c r="E3" s="320"/>
      <c r="F3" s="320"/>
      <c r="G3" s="320"/>
      <c r="H3" s="320"/>
      <c r="I3" s="320"/>
      <c r="J3" s="320"/>
      <c r="K3" s="320"/>
      <c r="L3" s="320"/>
      <c r="M3" s="320"/>
      <c r="N3" s="320"/>
      <c r="O3" s="320"/>
      <c r="P3" s="194"/>
      <c r="Q3" s="194"/>
      <c r="R3" s="194"/>
      <c r="S3" s="194"/>
      <c r="T3" s="194"/>
      <c r="U3" s="194"/>
      <c r="V3" s="194"/>
    </row>
    <row r="4" spans="1:25" s="98" customFormat="1" ht="10.5" hidden="1" customHeight="1" x14ac:dyDescent="0.2">
      <c r="A4" s="230" t="s">
        <v>690</v>
      </c>
      <c r="B4" s="230"/>
      <c r="C4" s="231">
        <f>C9+C15+C21+C29</f>
        <v>53108700</v>
      </c>
      <c r="D4" s="231">
        <f t="shared" ref="D4:M4" si="0">D9+D15+D21+D29</f>
        <v>0</v>
      </c>
      <c r="E4" s="231">
        <f t="shared" si="0"/>
        <v>0</v>
      </c>
      <c r="F4" s="231">
        <f t="shared" si="0"/>
        <v>0</v>
      </c>
      <c r="G4" s="231">
        <f t="shared" si="0"/>
        <v>53108700</v>
      </c>
      <c r="H4" s="231">
        <f t="shared" si="0"/>
        <v>0</v>
      </c>
      <c r="I4" s="231">
        <f t="shared" si="0"/>
        <v>53108700</v>
      </c>
      <c r="J4" s="231">
        <f t="shared" si="0"/>
        <v>0</v>
      </c>
      <c r="K4" s="231">
        <f t="shared" si="0"/>
        <v>53108700</v>
      </c>
      <c r="L4" s="231">
        <f t="shared" si="0"/>
        <v>0</v>
      </c>
      <c r="M4" s="231">
        <f t="shared" si="0"/>
        <v>53108700</v>
      </c>
      <c r="N4" s="230"/>
      <c r="O4" s="230"/>
      <c r="P4" s="232"/>
      <c r="Q4" s="232"/>
      <c r="R4" s="232"/>
      <c r="S4" s="232"/>
      <c r="T4" s="232"/>
      <c r="U4" s="232"/>
      <c r="V4" s="232"/>
    </row>
    <row r="5" spans="1:25" s="98" customFormat="1" ht="10.5" hidden="1" customHeight="1" x14ac:dyDescent="0.2">
      <c r="A5" s="230" t="s">
        <v>691</v>
      </c>
      <c r="B5" s="230"/>
      <c r="C5" s="231">
        <f>C32+C43+C49+C53+C59</f>
        <v>2666000</v>
      </c>
      <c r="D5" s="231">
        <f t="shared" ref="D5:M5" si="1">D32+D43+D49+D53+D59</f>
        <v>0</v>
      </c>
      <c r="E5" s="231">
        <f t="shared" si="1"/>
        <v>0</v>
      </c>
      <c r="F5" s="231">
        <f t="shared" si="1"/>
        <v>0</v>
      </c>
      <c r="G5" s="231">
        <f t="shared" si="1"/>
        <v>2666000</v>
      </c>
      <c r="H5" s="231">
        <f t="shared" si="1"/>
        <v>0</v>
      </c>
      <c r="I5" s="231">
        <f t="shared" si="1"/>
        <v>2666000</v>
      </c>
      <c r="J5" s="231">
        <f t="shared" si="1"/>
        <v>0</v>
      </c>
      <c r="K5" s="231">
        <f t="shared" si="1"/>
        <v>2666000</v>
      </c>
      <c r="L5" s="231">
        <f t="shared" si="1"/>
        <v>0</v>
      </c>
      <c r="M5" s="231">
        <f t="shared" si="1"/>
        <v>2666000</v>
      </c>
      <c r="N5" s="230"/>
      <c r="O5" s="230"/>
      <c r="P5" s="232"/>
      <c r="Q5" s="232"/>
      <c r="R5" s="232"/>
      <c r="S5" s="232"/>
      <c r="T5" s="232"/>
      <c r="U5" s="232"/>
      <c r="V5" s="232"/>
    </row>
    <row r="6" spans="1:25" ht="6.75" customHeight="1" x14ac:dyDescent="0.25">
      <c r="A6" s="64" t="s">
        <v>178</v>
      </c>
      <c r="B6" s="65" t="s">
        <v>178</v>
      </c>
      <c r="C6" s="65"/>
      <c r="D6" s="65"/>
      <c r="E6" s="65"/>
    </row>
    <row r="7" spans="1:25" ht="36.75" customHeight="1" x14ac:dyDescent="0.25">
      <c r="A7" s="183" t="s">
        <v>308</v>
      </c>
      <c r="B7" s="183" t="s">
        <v>309</v>
      </c>
      <c r="C7" s="183" t="s">
        <v>394</v>
      </c>
      <c r="D7" s="183"/>
      <c r="E7" s="183"/>
      <c r="F7" s="184" t="s">
        <v>562</v>
      </c>
      <c r="G7" s="173" t="s">
        <v>561</v>
      </c>
      <c r="H7" s="184" t="s">
        <v>600</v>
      </c>
      <c r="I7" s="173" t="s">
        <v>613</v>
      </c>
      <c r="J7" s="184" t="s">
        <v>647</v>
      </c>
      <c r="K7" s="173" t="s">
        <v>700</v>
      </c>
      <c r="L7" s="184" t="s">
        <v>701</v>
      </c>
      <c r="M7" s="173" t="s">
        <v>695</v>
      </c>
      <c r="N7" s="184" t="s">
        <v>702</v>
      </c>
      <c r="O7" s="173" t="s">
        <v>703</v>
      </c>
      <c r="R7" s="198" t="s">
        <v>395</v>
      </c>
      <c r="S7" s="199" t="s">
        <v>602</v>
      </c>
      <c r="T7" s="199" t="s">
        <v>601</v>
      </c>
      <c r="U7" s="200" t="s">
        <v>511</v>
      </c>
      <c r="V7" s="201" t="s">
        <v>602</v>
      </c>
      <c r="W7" s="201" t="s">
        <v>603</v>
      </c>
    </row>
    <row r="8" spans="1:25" ht="12" customHeight="1" x14ac:dyDescent="0.25">
      <c r="A8" s="41" t="s">
        <v>178</v>
      </c>
      <c r="B8" s="41"/>
      <c r="C8" s="41"/>
      <c r="D8" s="41"/>
      <c r="E8" s="41"/>
      <c r="F8" s="105">
        <v>48920000</v>
      </c>
      <c r="G8" s="143">
        <v>53867200</v>
      </c>
      <c r="H8" s="105">
        <v>48920000</v>
      </c>
      <c r="I8" s="143">
        <v>53867200</v>
      </c>
      <c r="J8" s="105">
        <v>48920000</v>
      </c>
      <c r="K8" s="143">
        <v>53867200</v>
      </c>
      <c r="L8" s="105">
        <v>48920000</v>
      </c>
      <c r="M8" s="143">
        <v>53867200</v>
      </c>
      <c r="N8" s="105">
        <v>48920000</v>
      </c>
      <c r="O8" s="143">
        <v>53867200</v>
      </c>
      <c r="R8" s="141"/>
      <c r="S8" s="141"/>
      <c r="T8" s="141"/>
      <c r="U8" s="141"/>
      <c r="V8" s="141"/>
      <c r="W8" s="141"/>
    </row>
    <row r="9" spans="1:25" s="187" customFormat="1" x14ac:dyDescent="0.25">
      <c r="A9" s="155" t="s">
        <v>179</v>
      </c>
      <c r="B9" s="185" t="s">
        <v>455</v>
      </c>
      <c r="C9" s="186">
        <f>C10+C16+C22+C30+C37+C48+C58+C67+C54</f>
        <v>52770600</v>
      </c>
      <c r="D9" s="186"/>
      <c r="E9" s="186"/>
      <c r="F9" s="186">
        <f t="shared" ref="F9:L9" si="2">F10+F16+F22+F30+F37+F48+F58+F67+F54</f>
        <v>0</v>
      </c>
      <c r="G9" s="186">
        <f t="shared" si="2"/>
        <v>52770600</v>
      </c>
      <c r="H9" s="186">
        <f t="shared" si="2"/>
        <v>0</v>
      </c>
      <c r="I9" s="11">
        <f t="shared" si="2"/>
        <v>52770600</v>
      </c>
      <c r="J9" s="186">
        <f t="shared" si="2"/>
        <v>0</v>
      </c>
      <c r="K9" s="11">
        <f t="shared" si="2"/>
        <v>52770600</v>
      </c>
      <c r="L9" s="186">
        <f t="shared" si="2"/>
        <v>0</v>
      </c>
      <c r="M9" s="11">
        <f>M10+M16+M22+M30+M33+M37+M48+M58+M67+M54</f>
        <v>52770600</v>
      </c>
      <c r="N9" s="11">
        <f>N10+N16+N22+N30+N33+N37+N48+N58+N67+N54</f>
        <v>0</v>
      </c>
      <c r="O9" s="11">
        <f>O10+O16+O22+O30+O33+O37+O48+O58+O67+O54</f>
        <v>52770600</v>
      </c>
      <c r="Q9" s="252"/>
      <c r="R9" s="252">
        <f t="shared" ref="R9:W9" si="3">SUM(R11:R83)</f>
        <v>130210800</v>
      </c>
      <c r="S9" s="252">
        <f t="shared" si="3"/>
        <v>0</v>
      </c>
      <c r="T9" s="252">
        <f t="shared" si="3"/>
        <v>130210800</v>
      </c>
      <c r="U9" s="252">
        <f t="shared" si="3"/>
        <v>135840200</v>
      </c>
      <c r="V9" s="252">
        <f t="shared" si="3"/>
        <v>0</v>
      </c>
      <c r="W9" s="252">
        <f t="shared" si="3"/>
        <v>135840200</v>
      </c>
      <c r="X9" s="252"/>
      <c r="Y9" s="252"/>
    </row>
    <row r="10" spans="1:25" s="187" customFormat="1" ht="16.5" customHeight="1" x14ac:dyDescent="0.25">
      <c r="A10" s="155" t="s">
        <v>180</v>
      </c>
      <c r="B10" s="67" t="s">
        <v>355</v>
      </c>
      <c r="C10" s="186">
        <f t="shared" ref="C10:O10" si="4">C11</f>
        <v>40140000</v>
      </c>
      <c r="D10" s="186"/>
      <c r="E10" s="186"/>
      <c r="F10" s="186">
        <f t="shared" si="4"/>
        <v>0</v>
      </c>
      <c r="G10" s="186">
        <f t="shared" si="4"/>
        <v>40140000</v>
      </c>
      <c r="H10" s="186">
        <f t="shared" si="4"/>
        <v>0</v>
      </c>
      <c r="I10" s="11">
        <f t="shared" si="4"/>
        <v>40140000</v>
      </c>
      <c r="J10" s="186">
        <f t="shared" si="4"/>
        <v>0</v>
      </c>
      <c r="K10" s="11">
        <f t="shared" si="4"/>
        <v>40140000</v>
      </c>
      <c r="L10" s="186">
        <f t="shared" si="4"/>
        <v>0</v>
      </c>
      <c r="M10" s="11">
        <f t="shared" si="4"/>
        <v>40140000</v>
      </c>
      <c r="N10" s="186">
        <f t="shared" si="4"/>
        <v>-2523800</v>
      </c>
      <c r="O10" s="11">
        <f t="shared" si="4"/>
        <v>37616200</v>
      </c>
      <c r="Q10" s="252"/>
      <c r="R10" s="253">
        <f t="shared" ref="R10:W10" si="5">R11</f>
        <v>43242000</v>
      </c>
      <c r="S10" s="253">
        <f t="shared" si="5"/>
        <v>0</v>
      </c>
      <c r="T10" s="253">
        <f t="shared" si="5"/>
        <v>43242000</v>
      </c>
      <c r="U10" s="253">
        <f t="shared" si="5"/>
        <v>46664000</v>
      </c>
      <c r="V10" s="253">
        <f t="shared" si="5"/>
        <v>0</v>
      </c>
      <c r="W10" s="253">
        <f t="shared" si="5"/>
        <v>46664000</v>
      </c>
      <c r="X10" s="252"/>
      <c r="Y10" s="252"/>
    </row>
    <row r="11" spans="1:25" s="5" customFormat="1" x14ac:dyDescent="0.25">
      <c r="A11" s="153" t="s">
        <v>181</v>
      </c>
      <c r="B11" s="14" t="s">
        <v>182</v>
      </c>
      <c r="C11" s="2">
        <f t="shared" ref="C11:O11" si="6">C12+C13+C14+C15</f>
        <v>40140000</v>
      </c>
      <c r="D11" s="2"/>
      <c r="E11" s="2"/>
      <c r="F11" s="2">
        <f t="shared" si="6"/>
        <v>0</v>
      </c>
      <c r="G11" s="2">
        <f t="shared" si="6"/>
        <v>40140000</v>
      </c>
      <c r="H11" s="2">
        <f t="shared" si="6"/>
        <v>0</v>
      </c>
      <c r="I11" s="2">
        <f t="shared" si="6"/>
        <v>40140000</v>
      </c>
      <c r="J11" s="2">
        <f t="shared" si="6"/>
        <v>0</v>
      </c>
      <c r="K11" s="2">
        <f t="shared" si="6"/>
        <v>40140000</v>
      </c>
      <c r="L11" s="2">
        <f t="shared" si="6"/>
        <v>0</v>
      </c>
      <c r="M11" s="2">
        <f t="shared" si="6"/>
        <v>40140000</v>
      </c>
      <c r="N11" s="2">
        <f t="shared" si="6"/>
        <v>-2523800</v>
      </c>
      <c r="O11" s="2">
        <f t="shared" si="6"/>
        <v>37616200</v>
      </c>
      <c r="Q11" s="254"/>
      <c r="R11" s="255">
        <f t="shared" ref="R11:S11" si="7">R12+R13+R14+R15</f>
        <v>43242000</v>
      </c>
      <c r="S11" s="255">
        <f t="shared" si="7"/>
        <v>0</v>
      </c>
      <c r="T11" s="256">
        <f t="shared" ref="T11:T65" si="8">R11+S11</f>
        <v>43242000</v>
      </c>
      <c r="U11" s="255">
        <f t="shared" ref="U11:W11" si="9">U12+U13+U14+U15</f>
        <v>46664000</v>
      </c>
      <c r="V11" s="255">
        <f t="shared" si="9"/>
        <v>0</v>
      </c>
      <c r="W11" s="255">
        <f t="shared" si="9"/>
        <v>46664000</v>
      </c>
      <c r="X11" s="254"/>
      <c r="Y11" s="252"/>
    </row>
    <row r="12" spans="1:25" s="187" customFormat="1" ht="49.5" customHeight="1" x14ac:dyDescent="0.25">
      <c r="A12" s="154" t="s">
        <v>183</v>
      </c>
      <c r="B12" s="61" t="s">
        <v>184</v>
      </c>
      <c r="C12" s="188">
        <v>39610000</v>
      </c>
      <c r="D12" s="188"/>
      <c r="E12" s="188"/>
      <c r="F12" s="188"/>
      <c r="G12" s="20">
        <f t="shared" ref="G12:G109" si="10">C12+F12</f>
        <v>39610000</v>
      </c>
      <c r="H12" s="188"/>
      <c r="I12" s="20">
        <f>G12+H12</f>
        <v>39610000</v>
      </c>
      <c r="J12" s="188"/>
      <c r="K12" s="20">
        <f>I12+J12</f>
        <v>39610000</v>
      </c>
      <c r="L12" s="188"/>
      <c r="M12" s="20">
        <f>K12+L12</f>
        <v>39610000</v>
      </c>
      <c r="N12" s="188">
        <f>-2361800-110000+14000</f>
        <v>-2457800</v>
      </c>
      <c r="O12" s="20">
        <f>M12+N12</f>
        <v>37152200</v>
      </c>
      <c r="Q12" s="252"/>
      <c r="R12" s="257">
        <v>42562000</v>
      </c>
      <c r="S12" s="257"/>
      <c r="T12" s="256">
        <f t="shared" si="8"/>
        <v>42562000</v>
      </c>
      <c r="U12" s="257">
        <v>45984000</v>
      </c>
      <c r="V12" s="257"/>
      <c r="W12" s="256">
        <f t="shared" ref="W12:W89" si="11">U12+V12</f>
        <v>45984000</v>
      </c>
      <c r="X12" s="252"/>
      <c r="Y12" s="252"/>
    </row>
    <row r="13" spans="1:25" s="187" customFormat="1" ht="67.5" customHeight="1" x14ac:dyDescent="0.25">
      <c r="A13" s="154" t="s">
        <v>185</v>
      </c>
      <c r="B13" s="60" t="s">
        <v>186</v>
      </c>
      <c r="C13" s="188">
        <v>80000</v>
      </c>
      <c r="D13" s="188"/>
      <c r="E13" s="188"/>
      <c r="F13" s="188"/>
      <c r="G13" s="20">
        <f t="shared" si="10"/>
        <v>80000</v>
      </c>
      <c r="H13" s="188"/>
      <c r="I13" s="20">
        <f t="shared" ref="I13:I90" si="12">G13+H13</f>
        <v>80000</v>
      </c>
      <c r="J13" s="188"/>
      <c r="K13" s="20">
        <f t="shared" ref="K13:K15" si="13">I13+J13</f>
        <v>80000</v>
      </c>
      <c r="L13" s="188"/>
      <c r="M13" s="20">
        <f t="shared" ref="M13:M15" si="14">K13+L13</f>
        <v>80000</v>
      </c>
      <c r="N13" s="188">
        <v>-6000</v>
      </c>
      <c r="O13" s="20">
        <f t="shared" ref="O13:O15" si="15">M13+N13</f>
        <v>74000</v>
      </c>
      <c r="Q13" s="252"/>
      <c r="R13" s="257">
        <v>80000</v>
      </c>
      <c r="S13" s="257"/>
      <c r="T13" s="256">
        <f t="shared" si="8"/>
        <v>80000</v>
      </c>
      <c r="U13" s="257">
        <v>80000</v>
      </c>
      <c r="V13" s="257"/>
      <c r="W13" s="256">
        <f t="shared" si="11"/>
        <v>80000</v>
      </c>
      <c r="X13" s="252"/>
      <c r="Y13" s="252"/>
    </row>
    <row r="14" spans="1:25" s="187" customFormat="1" ht="30.75" customHeight="1" x14ac:dyDescent="0.25">
      <c r="A14" s="154" t="s">
        <v>187</v>
      </c>
      <c r="B14" s="61" t="s">
        <v>188</v>
      </c>
      <c r="C14" s="188">
        <v>300000</v>
      </c>
      <c r="D14" s="188"/>
      <c r="E14" s="188"/>
      <c r="F14" s="188"/>
      <c r="G14" s="20">
        <f t="shared" si="10"/>
        <v>300000</v>
      </c>
      <c r="H14" s="188"/>
      <c r="I14" s="20">
        <f t="shared" si="12"/>
        <v>300000</v>
      </c>
      <c r="J14" s="188"/>
      <c r="K14" s="20">
        <f t="shared" si="13"/>
        <v>300000</v>
      </c>
      <c r="L14" s="188"/>
      <c r="M14" s="20">
        <f t="shared" si="14"/>
        <v>300000</v>
      </c>
      <c r="N14" s="188"/>
      <c r="O14" s="20">
        <f t="shared" si="15"/>
        <v>300000</v>
      </c>
      <c r="Q14" s="252"/>
      <c r="R14" s="257">
        <v>400000</v>
      </c>
      <c r="S14" s="257"/>
      <c r="T14" s="256">
        <f t="shared" si="8"/>
        <v>400000</v>
      </c>
      <c r="U14" s="257">
        <v>400000</v>
      </c>
      <c r="V14" s="257"/>
      <c r="W14" s="256">
        <f t="shared" si="11"/>
        <v>400000</v>
      </c>
      <c r="X14" s="252"/>
      <c r="Y14" s="252"/>
    </row>
    <row r="15" spans="1:25" s="187" customFormat="1" ht="62.25" customHeight="1" x14ac:dyDescent="0.25">
      <c r="A15" s="154" t="s">
        <v>189</v>
      </c>
      <c r="B15" s="60" t="s">
        <v>190</v>
      </c>
      <c r="C15" s="188">
        <v>150000</v>
      </c>
      <c r="D15" s="188"/>
      <c r="E15" s="188"/>
      <c r="F15" s="188"/>
      <c r="G15" s="20">
        <f t="shared" si="10"/>
        <v>150000</v>
      </c>
      <c r="H15" s="188"/>
      <c r="I15" s="20">
        <f t="shared" si="12"/>
        <v>150000</v>
      </c>
      <c r="J15" s="188"/>
      <c r="K15" s="20">
        <f t="shared" si="13"/>
        <v>150000</v>
      </c>
      <c r="L15" s="188"/>
      <c r="M15" s="20">
        <f t="shared" si="14"/>
        <v>150000</v>
      </c>
      <c r="N15" s="188">
        <v>-60000</v>
      </c>
      <c r="O15" s="20">
        <f t="shared" si="15"/>
        <v>90000</v>
      </c>
      <c r="Q15" s="252"/>
      <c r="R15" s="257">
        <v>200000</v>
      </c>
      <c r="S15" s="257"/>
      <c r="T15" s="256">
        <f t="shared" si="8"/>
        <v>200000</v>
      </c>
      <c r="U15" s="257">
        <v>200000</v>
      </c>
      <c r="V15" s="257"/>
      <c r="W15" s="256">
        <f t="shared" si="11"/>
        <v>200000</v>
      </c>
      <c r="X15" s="252"/>
      <c r="Y15" s="252"/>
    </row>
    <row r="16" spans="1:25" s="187" customFormat="1" ht="23.25" customHeight="1" x14ac:dyDescent="0.25">
      <c r="A16" s="155" t="s">
        <v>456</v>
      </c>
      <c r="B16" s="67" t="s">
        <v>457</v>
      </c>
      <c r="C16" s="186">
        <f t="shared" ref="C16:O16" si="16">C17</f>
        <v>2558000</v>
      </c>
      <c r="D16" s="186"/>
      <c r="E16" s="186"/>
      <c r="F16" s="186">
        <f t="shared" si="16"/>
        <v>0</v>
      </c>
      <c r="G16" s="186">
        <f t="shared" si="16"/>
        <v>2558000</v>
      </c>
      <c r="H16" s="186">
        <f t="shared" si="16"/>
        <v>0</v>
      </c>
      <c r="I16" s="11">
        <f t="shared" si="16"/>
        <v>2558000</v>
      </c>
      <c r="J16" s="186">
        <f t="shared" si="16"/>
        <v>0</v>
      </c>
      <c r="K16" s="11">
        <f t="shared" si="16"/>
        <v>2558000</v>
      </c>
      <c r="L16" s="186">
        <f t="shared" si="16"/>
        <v>0</v>
      </c>
      <c r="M16" s="11">
        <f t="shared" si="16"/>
        <v>2558000</v>
      </c>
      <c r="N16" s="186">
        <f t="shared" si="16"/>
        <v>1039000</v>
      </c>
      <c r="O16" s="11">
        <f t="shared" si="16"/>
        <v>3597000</v>
      </c>
      <c r="Q16" s="252"/>
      <c r="R16" s="253">
        <f t="shared" ref="R16:W16" si="17">R17</f>
        <v>3185000</v>
      </c>
      <c r="S16" s="253">
        <f t="shared" si="17"/>
        <v>0</v>
      </c>
      <c r="T16" s="253">
        <f t="shared" si="17"/>
        <v>3185000</v>
      </c>
      <c r="U16" s="253">
        <f t="shared" si="17"/>
        <v>2546000</v>
      </c>
      <c r="V16" s="253">
        <f t="shared" si="17"/>
        <v>0</v>
      </c>
      <c r="W16" s="253">
        <f t="shared" si="17"/>
        <v>2546000</v>
      </c>
      <c r="X16" s="252"/>
      <c r="Y16" s="252"/>
    </row>
    <row r="17" spans="1:25" s="187" customFormat="1" ht="23.25" customHeight="1" x14ac:dyDescent="0.25">
      <c r="A17" s="154" t="s">
        <v>458</v>
      </c>
      <c r="B17" s="60" t="s">
        <v>459</v>
      </c>
      <c r="C17" s="189">
        <f t="shared" ref="C17:O17" si="18">C18+C19+C20+C21</f>
        <v>2558000</v>
      </c>
      <c r="D17" s="189"/>
      <c r="E17" s="189"/>
      <c r="F17" s="189">
        <f t="shared" si="18"/>
        <v>0</v>
      </c>
      <c r="G17" s="189">
        <f t="shared" si="18"/>
        <v>2558000</v>
      </c>
      <c r="H17" s="189">
        <f t="shared" si="18"/>
        <v>0</v>
      </c>
      <c r="I17" s="2">
        <f t="shared" si="18"/>
        <v>2558000</v>
      </c>
      <c r="J17" s="189">
        <f t="shared" si="18"/>
        <v>0</v>
      </c>
      <c r="K17" s="2">
        <f t="shared" si="18"/>
        <v>2558000</v>
      </c>
      <c r="L17" s="189">
        <f t="shared" si="18"/>
        <v>0</v>
      </c>
      <c r="M17" s="2">
        <f t="shared" si="18"/>
        <v>2558000</v>
      </c>
      <c r="N17" s="189">
        <f t="shared" si="18"/>
        <v>1039000</v>
      </c>
      <c r="O17" s="2">
        <f t="shared" si="18"/>
        <v>3597000</v>
      </c>
      <c r="Q17" s="252"/>
      <c r="R17" s="258">
        <f t="shared" ref="R17:S17" si="19">R18+R19+R20+R21</f>
        <v>3185000</v>
      </c>
      <c r="S17" s="258">
        <f t="shared" si="19"/>
        <v>0</v>
      </c>
      <c r="T17" s="256">
        <f t="shared" si="8"/>
        <v>3185000</v>
      </c>
      <c r="U17" s="258">
        <f t="shared" ref="U17:V17" si="20">U18+U19+U20+U21</f>
        <v>2546000</v>
      </c>
      <c r="V17" s="258">
        <f t="shared" si="20"/>
        <v>0</v>
      </c>
      <c r="W17" s="256">
        <f t="shared" si="11"/>
        <v>2546000</v>
      </c>
      <c r="X17" s="252"/>
      <c r="Y17" s="252"/>
    </row>
    <row r="18" spans="1:25" s="187" customFormat="1" ht="50.25" customHeight="1" x14ac:dyDescent="0.25">
      <c r="A18" s="154" t="s">
        <v>460</v>
      </c>
      <c r="B18" s="60" t="s">
        <v>461</v>
      </c>
      <c r="C18" s="188">
        <v>822450</v>
      </c>
      <c r="D18" s="188"/>
      <c r="E18" s="188"/>
      <c r="F18" s="188"/>
      <c r="G18" s="20">
        <f t="shared" si="10"/>
        <v>822450</v>
      </c>
      <c r="H18" s="188"/>
      <c r="I18" s="20">
        <f t="shared" si="12"/>
        <v>822450</v>
      </c>
      <c r="J18" s="188"/>
      <c r="K18" s="20">
        <f t="shared" ref="K18:K21" si="21">I18+J18</f>
        <v>822450</v>
      </c>
      <c r="L18" s="188"/>
      <c r="M18" s="20">
        <f t="shared" ref="M18:M21" si="22">K18+L18</f>
        <v>822450</v>
      </c>
      <c r="N18" s="188">
        <v>377550</v>
      </c>
      <c r="O18" s="20">
        <f t="shared" ref="O18:O21" si="23">M18+N18</f>
        <v>1200000</v>
      </c>
      <c r="Q18" s="252"/>
      <c r="R18" s="257">
        <v>1019250</v>
      </c>
      <c r="S18" s="257"/>
      <c r="T18" s="256">
        <f t="shared" si="8"/>
        <v>1019250</v>
      </c>
      <c r="U18" s="257">
        <v>953000</v>
      </c>
      <c r="V18" s="257"/>
      <c r="W18" s="256">
        <f t="shared" si="11"/>
        <v>953000</v>
      </c>
      <c r="X18" s="252"/>
      <c r="Y18" s="252"/>
    </row>
    <row r="19" spans="1:25" s="187" customFormat="1" ht="63" customHeight="1" x14ac:dyDescent="0.25">
      <c r="A19" s="154" t="s">
        <v>462</v>
      </c>
      <c r="B19" s="60" t="s">
        <v>463</v>
      </c>
      <c r="C19" s="188">
        <v>28800</v>
      </c>
      <c r="D19" s="188"/>
      <c r="E19" s="188"/>
      <c r="F19" s="188"/>
      <c r="G19" s="20">
        <f t="shared" si="10"/>
        <v>28800</v>
      </c>
      <c r="H19" s="188"/>
      <c r="I19" s="20">
        <f t="shared" si="12"/>
        <v>28800</v>
      </c>
      <c r="J19" s="188"/>
      <c r="K19" s="20">
        <f t="shared" si="21"/>
        <v>28800</v>
      </c>
      <c r="L19" s="188"/>
      <c r="M19" s="20">
        <f t="shared" si="22"/>
        <v>28800</v>
      </c>
      <c r="N19" s="188">
        <v>3200</v>
      </c>
      <c r="O19" s="20">
        <f t="shared" si="23"/>
        <v>32000</v>
      </c>
      <c r="Q19" s="252"/>
      <c r="R19" s="257">
        <v>31850</v>
      </c>
      <c r="S19" s="257"/>
      <c r="T19" s="256">
        <f t="shared" si="8"/>
        <v>31850</v>
      </c>
      <c r="U19" s="257">
        <v>29600</v>
      </c>
      <c r="V19" s="257"/>
      <c r="W19" s="256">
        <f t="shared" si="11"/>
        <v>29600</v>
      </c>
      <c r="X19" s="252"/>
      <c r="Y19" s="252"/>
    </row>
    <row r="20" spans="1:25" s="187" customFormat="1" ht="48" customHeight="1" x14ac:dyDescent="0.25">
      <c r="A20" s="154" t="s">
        <v>464</v>
      </c>
      <c r="B20" s="60" t="s">
        <v>465</v>
      </c>
      <c r="C20" s="188">
        <v>1671650</v>
      </c>
      <c r="D20" s="188"/>
      <c r="E20" s="188"/>
      <c r="F20" s="188"/>
      <c r="G20" s="20">
        <f t="shared" si="10"/>
        <v>1671650</v>
      </c>
      <c r="H20" s="188"/>
      <c r="I20" s="20">
        <f t="shared" si="12"/>
        <v>1671650</v>
      </c>
      <c r="J20" s="188"/>
      <c r="K20" s="20">
        <f t="shared" si="21"/>
        <v>1671650</v>
      </c>
      <c r="L20" s="188"/>
      <c r="M20" s="20">
        <f t="shared" si="22"/>
        <v>1671650</v>
      </c>
      <c r="N20" s="188">
        <v>828350</v>
      </c>
      <c r="O20" s="20">
        <f t="shared" si="23"/>
        <v>2500000</v>
      </c>
      <c r="Q20" s="252"/>
      <c r="R20" s="257">
        <v>2102200</v>
      </c>
      <c r="S20" s="257"/>
      <c r="T20" s="256">
        <f t="shared" si="8"/>
        <v>2102200</v>
      </c>
      <c r="U20" s="257">
        <v>1534600</v>
      </c>
      <c r="V20" s="257"/>
      <c r="W20" s="256">
        <f t="shared" si="11"/>
        <v>1534600</v>
      </c>
      <c r="X20" s="252"/>
      <c r="Y20" s="252"/>
    </row>
    <row r="21" spans="1:25" s="187" customFormat="1" ht="52.5" customHeight="1" x14ac:dyDescent="0.25">
      <c r="A21" s="154" t="s">
        <v>466</v>
      </c>
      <c r="B21" s="60" t="s">
        <v>467</v>
      </c>
      <c r="C21" s="188">
        <v>35100</v>
      </c>
      <c r="D21" s="188"/>
      <c r="E21" s="188"/>
      <c r="F21" s="188"/>
      <c r="G21" s="20">
        <f t="shared" si="10"/>
        <v>35100</v>
      </c>
      <c r="H21" s="188"/>
      <c r="I21" s="20">
        <f t="shared" si="12"/>
        <v>35100</v>
      </c>
      <c r="J21" s="188"/>
      <c r="K21" s="20">
        <f t="shared" si="21"/>
        <v>35100</v>
      </c>
      <c r="L21" s="188"/>
      <c r="M21" s="20">
        <f t="shared" si="22"/>
        <v>35100</v>
      </c>
      <c r="N21" s="188">
        <v>-170100</v>
      </c>
      <c r="O21" s="20">
        <f t="shared" si="23"/>
        <v>-135000</v>
      </c>
      <c r="Q21" s="252"/>
      <c r="R21" s="257">
        <v>31700</v>
      </c>
      <c r="S21" s="257"/>
      <c r="T21" s="256">
        <f t="shared" si="8"/>
        <v>31700</v>
      </c>
      <c r="U21" s="257">
        <v>28800</v>
      </c>
      <c r="V21" s="257"/>
      <c r="W21" s="256">
        <f t="shared" si="11"/>
        <v>28800</v>
      </c>
      <c r="X21" s="252"/>
      <c r="Y21" s="252"/>
    </row>
    <row r="22" spans="1:25" s="187" customFormat="1" ht="14.25" customHeight="1" x14ac:dyDescent="0.25">
      <c r="A22" s="155" t="s">
        <v>191</v>
      </c>
      <c r="B22" s="67" t="s">
        <v>192</v>
      </c>
      <c r="C22" s="186">
        <f xml:space="preserve"> C23+C26+C28</f>
        <v>5933800</v>
      </c>
      <c r="D22" s="186"/>
      <c r="E22" s="186"/>
      <c r="F22" s="186">
        <f xml:space="preserve"> F23+F26+F28</f>
        <v>0</v>
      </c>
      <c r="G22" s="186">
        <f xml:space="preserve"> G23+G26+G28</f>
        <v>5933800</v>
      </c>
      <c r="H22" s="186">
        <f t="shared" ref="H22:O22" si="24" xml:space="preserve"> H23+H26+H28</f>
        <v>0</v>
      </c>
      <c r="I22" s="11">
        <f t="shared" si="24"/>
        <v>5933800</v>
      </c>
      <c r="J22" s="186">
        <f t="shared" si="24"/>
        <v>0</v>
      </c>
      <c r="K22" s="11">
        <f t="shared" si="24"/>
        <v>5933800</v>
      </c>
      <c r="L22" s="186">
        <f t="shared" si="24"/>
        <v>0</v>
      </c>
      <c r="M22" s="11">
        <f t="shared" si="24"/>
        <v>5933800</v>
      </c>
      <c r="N22" s="186">
        <f t="shared" si="24"/>
        <v>62200</v>
      </c>
      <c r="O22" s="11">
        <f t="shared" si="24"/>
        <v>5996000</v>
      </c>
      <c r="Q22" s="252"/>
      <c r="R22" s="253">
        <f xml:space="preserve"> R23+R26+R28</f>
        <v>6201600</v>
      </c>
      <c r="S22" s="253">
        <f xml:space="preserve"> S23+S26+S28</f>
        <v>0</v>
      </c>
      <c r="T22" s="253">
        <f t="shared" ref="T22:W22" si="25" xml:space="preserve"> T23+T26+T28</f>
        <v>6201600</v>
      </c>
      <c r="U22" s="253">
        <f t="shared" si="25"/>
        <v>6469400</v>
      </c>
      <c r="V22" s="253">
        <f t="shared" si="25"/>
        <v>0</v>
      </c>
      <c r="W22" s="253">
        <f t="shared" si="25"/>
        <v>6469400</v>
      </c>
      <c r="X22" s="252"/>
      <c r="Y22" s="252"/>
    </row>
    <row r="23" spans="1:25" s="187" customFormat="1" ht="18" customHeight="1" x14ac:dyDescent="0.25">
      <c r="A23" s="154" t="s">
        <v>193</v>
      </c>
      <c r="B23" s="61" t="s">
        <v>194</v>
      </c>
      <c r="C23" s="2">
        <f t="shared" ref="C23:O23" si="26">C24+C25</f>
        <v>5778000</v>
      </c>
      <c r="D23" s="2"/>
      <c r="E23" s="2"/>
      <c r="F23" s="2">
        <f t="shared" si="26"/>
        <v>0</v>
      </c>
      <c r="G23" s="2">
        <f t="shared" si="26"/>
        <v>5778000</v>
      </c>
      <c r="H23" s="2">
        <f t="shared" si="26"/>
        <v>0</v>
      </c>
      <c r="I23" s="2">
        <f t="shared" si="26"/>
        <v>5778000</v>
      </c>
      <c r="J23" s="2">
        <f t="shared" si="26"/>
        <v>0</v>
      </c>
      <c r="K23" s="2">
        <f t="shared" si="26"/>
        <v>5778000</v>
      </c>
      <c r="L23" s="2">
        <f t="shared" si="26"/>
        <v>0</v>
      </c>
      <c r="M23" s="2">
        <f t="shared" si="26"/>
        <v>5778000</v>
      </c>
      <c r="N23" s="2">
        <f t="shared" si="26"/>
        <v>109000</v>
      </c>
      <c r="O23" s="2">
        <f t="shared" si="26"/>
        <v>5887000</v>
      </c>
      <c r="Q23" s="252"/>
      <c r="R23" s="255">
        <f t="shared" ref="R23:S23" si="27">R24+R25</f>
        <v>6038000</v>
      </c>
      <c r="S23" s="255">
        <f t="shared" si="27"/>
        <v>0</v>
      </c>
      <c r="T23" s="256">
        <f t="shared" si="8"/>
        <v>6038000</v>
      </c>
      <c r="U23" s="255">
        <f t="shared" ref="U23:V23" si="28">U24+U25</f>
        <v>6298000</v>
      </c>
      <c r="V23" s="255">
        <f t="shared" si="28"/>
        <v>0</v>
      </c>
      <c r="W23" s="256">
        <f t="shared" si="11"/>
        <v>6298000</v>
      </c>
      <c r="X23" s="252"/>
      <c r="Y23" s="252"/>
    </row>
    <row r="24" spans="1:25" s="187" customFormat="1" ht="18" customHeight="1" x14ac:dyDescent="0.25">
      <c r="A24" s="154" t="s">
        <v>195</v>
      </c>
      <c r="B24" s="61" t="s">
        <v>194</v>
      </c>
      <c r="C24" s="188">
        <v>5777000</v>
      </c>
      <c r="D24" s="188"/>
      <c r="E24" s="188"/>
      <c r="F24" s="188"/>
      <c r="G24" s="20">
        <f t="shared" si="10"/>
        <v>5777000</v>
      </c>
      <c r="H24" s="188"/>
      <c r="I24" s="20">
        <f t="shared" si="12"/>
        <v>5777000</v>
      </c>
      <c r="J24" s="188"/>
      <c r="K24" s="20">
        <f t="shared" ref="K24:K25" si="29">I24+J24</f>
        <v>5777000</v>
      </c>
      <c r="L24" s="188"/>
      <c r="M24" s="20">
        <f t="shared" ref="M24:M25" si="30">K24+L24</f>
        <v>5777000</v>
      </c>
      <c r="N24" s="188">
        <v>110000</v>
      </c>
      <c r="O24" s="20">
        <f t="shared" ref="O24:O25" si="31">M24+N24</f>
        <v>5887000</v>
      </c>
      <c r="Q24" s="252"/>
      <c r="R24" s="257">
        <v>6037000</v>
      </c>
      <c r="S24" s="257"/>
      <c r="T24" s="256">
        <f t="shared" si="8"/>
        <v>6037000</v>
      </c>
      <c r="U24" s="257">
        <v>6297000</v>
      </c>
      <c r="V24" s="257"/>
      <c r="W24" s="256">
        <f t="shared" si="11"/>
        <v>6297000</v>
      </c>
      <c r="X24" s="252"/>
      <c r="Y24" s="252"/>
    </row>
    <row r="25" spans="1:25" s="187" customFormat="1" ht="28.5" customHeight="1" x14ac:dyDescent="0.25">
      <c r="A25" s="154" t="s">
        <v>196</v>
      </c>
      <c r="B25" s="61" t="s">
        <v>197</v>
      </c>
      <c r="C25" s="188">
        <v>1000</v>
      </c>
      <c r="D25" s="188"/>
      <c r="E25" s="188"/>
      <c r="F25" s="188"/>
      <c r="G25" s="20">
        <f t="shared" si="10"/>
        <v>1000</v>
      </c>
      <c r="H25" s="188"/>
      <c r="I25" s="20">
        <f t="shared" si="12"/>
        <v>1000</v>
      </c>
      <c r="J25" s="188"/>
      <c r="K25" s="20">
        <f t="shared" si="29"/>
        <v>1000</v>
      </c>
      <c r="L25" s="188"/>
      <c r="M25" s="20">
        <f t="shared" si="30"/>
        <v>1000</v>
      </c>
      <c r="N25" s="188">
        <v>-1000</v>
      </c>
      <c r="O25" s="20">
        <f t="shared" si="31"/>
        <v>0</v>
      </c>
      <c r="Q25" s="252"/>
      <c r="R25" s="257">
        <v>1000</v>
      </c>
      <c r="S25" s="257"/>
      <c r="T25" s="256">
        <f t="shared" si="8"/>
        <v>1000</v>
      </c>
      <c r="U25" s="257">
        <v>1000</v>
      </c>
      <c r="V25" s="257"/>
      <c r="W25" s="256">
        <f t="shared" si="11"/>
        <v>1000</v>
      </c>
      <c r="X25" s="252"/>
      <c r="Y25" s="252"/>
    </row>
    <row r="26" spans="1:25" s="187" customFormat="1" ht="13.5" customHeight="1" x14ac:dyDescent="0.25">
      <c r="A26" s="154" t="s">
        <v>198</v>
      </c>
      <c r="B26" s="61" t="s">
        <v>199</v>
      </c>
      <c r="C26" s="188">
        <f>C27</f>
        <v>2800</v>
      </c>
      <c r="D26" s="188"/>
      <c r="E26" s="188"/>
      <c r="F26" s="188">
        <f t="shared" ref="F26:O26" si="32">F27</f>
        <v>0</v>
      </c>
      <c r="G26" s="188">
        <f t="shared" si="32"/>
        <v>2800</v>
      </c>
      <c r="H26" s="188">
        <f t="shared" si="32"/>
        <v>0</v>
      </c>
      <c r="I26" s="2">
        <f t="shared" si="32"/>
        <v>2800</v>
      </c>
      <c r="J26" s="188">
        <f t="shared" si="32"/>
        <v>0</v>
      </c>
      <c r="K26" s="2">
        <f t="shared" si="32"/>
        <v>2800</v>
      </c>
      <c r="L26" s="188">
        <f t="shared" si="32"/>
        <v>0</v>
      </c>
      <c r="M26" s="2">
        <f t="shared" si="32"/>
        <v>2800</v>
      </c>
      <c r="N26" s="188">
        <f t="shared" si="32"/>
        <v>13200</v>
      </c>
      <c r="O26" s="2">
        <f t="shared" si="32"/>
        <v>16000</v>
      </c>
      <c r="Q26" s="252"/>
      <c r="R26" s="257">
        <f>R27</f>
        <v>3600</v>
      </c>
      <c r="S26" s="257">
        <f t="shared" ref="S26" si="33">S27</f>
        <v>0</v>
      </c>
      <c r="T26" s="256">
        <f t="shared" si="8"/>
        <v>3600</v>
      </c>
      <c r="U26" s="257">
        <f>U27</f>
        <v>4400</v>
      </c>
      <c r="V26" s="257">
        <f t="shared" ref="V26" si="34">V27</f>
        <v>0</v>
      </c>
      <c r="W26" s="256">
        <f t="shared" si="11"/>
        <v>4400</v>
      </c>
      <c r="X26" s="252"/>
      <c r="Y26" s="252"/>
    </row>
    <row r="27" spans="1:25" s="187" customFormat="1" ht="12.75" customHeight="1" x14ac:dyDescent="0.25">
      <c r="A27" s="153" t="s">
        <v>200</v>
      </c>
      <c r="B27" s="246" t="s">
        <v>199</v>
      </c>
      <c r="C27" s="2">
        <v>2800</v>
      </c>
      <c r="D27" s="2"/>
      <c r="E27" s="2"/>
      <c r="F27" s="2"/>
      <c r="G27" s="20">
        <f t="shared" si="10"/>
        <v>2800</v>
      </c>
      <c r="H27" s="2"/>
      <c r="I27" s="20">
        <f t="shared" si="12"/>
        <v>2800</v>
      </c>
      <c r="J27" s="2"/>
      <c r="K27" s="20">
        <f t="shared" ref="K27" si="35">I27+J27</f>
        <v>2800</v>
      </c>
      <c r="L27" s="2"/>
      <c r="M27" s="20">
        <f t="shared" ref="M27" si="36">K27+L27</f>
        <v>2800</v>
      </c>
      <c r="N27" s="2">
        <v>13200</v>
      </c>
      <c r="O27" s="20">
        <f t="shared" ref="O27" si="37">M27+N27</f>
        <v>16000</v>
      </c>
      <c r="Q27" s="252"/>
      <c r="R27" s="255">
        <v>3600</v>
      </c>
      <c r="S27" s="255"/>
      <c r="T27" s="256">
        <f t="shared" si="8"/>
        <v>3600</v>
      </c>
      <c r="U27" s="255">
        <v>4400</v>
      </c>
      <c r="V27" s="255"/>
      <c r="W27" s="256">
        <f t="shared" si="11"/>
        <v>4400</v>
      </c>
      <c r="X27" s="252"/>
      <c r="Y27" s="252"/>
    </row>
    <row r="28" spans="1:25" s="187" customFormat="1" ht="24.75" customHeight="1" x14ac:dyDescent="0.25">
      <c r="A28" s="153" t="s">
        <v>201</v>
      </c>
      <c r="B28" s="246" t="s">
        <v>202</v>
      </c>
      <c r="C28" s="2">
        <f t="shared" ref="C28:O28" si="38">C29</f>
        <v>153000</v>
      </c>
      <c r="D28" s="2"/>
      <c r="E28" s="2"/>
      <c r="F28" s="2">
        <f t="shared" si="38"/>
        <v>0</v>
      </c>
      <c r="G28" s="2">
        <f t="shared" si="38"/>
        <v>153000</v>
      </c>
      <c r="H28" s="2">
        <f t="shared" si="38"/>
        <v>0</v>
      </c>
      <c r="I28" s="2">
        <f t="shared" si="38"/>
        <v>153000</v>
      </c>
      <c r="J28" s="2">
        <f t="shared" si="38"/>
        <v>0</v>
      </c>
      <c r="K28" s="2">
        <f t="shared" si="38"/>
        <v>153000</v>
      </c>
      <c r="L28" s="2">
        <f t="shared" si="38"/>
        <v>0</v>
      </c>
      <c r="M28" s="2">
        <f t="shared" si="38"/>
        <v>153000</v>
      </c>
      <c r="N28" s="2">
        <f t="shared" si="38"/>
        <v>-60000</v>
      </c>
      <c r="O28" s="2">
        <f t="shared" si="38"/>
        <v>93000</v>
      </c>
      <c r="Q28" s="252"/>
      <c r="R28" s="255">
        <f t="shared" ref="R28:S28" si="39">R29</f>
        <v>160000</v>
      </c>
      <c r="S28" s="255">
        <f t="shared" si="39"/>
        <v>0</v>
      </c>
      <c r="T28" s="256">
        <f t="shared" si="8"/>
        <v>160000</v>
      </c>
      <c r="U28" s="255">
        <f t="shared" ref="U28:V28" si="40">U29</f>
        <v>167000</v>
      </c>
      <c r="V28" s="255">
        <f t="shared" si="40"/>
        <v>0</v>
      </c>
      <c r="W28" s="256">
        <f t="shared" si="11"/>
        <v>167000</v>
      </c>
      <c r="X28" s="252"/>
      <c r="Y28" s="252"/>
    </row>
    <row r="29" spans="1:25" s="187" customFormat="1" ht="25.5" customHeight="1" x14ac:dyDescent="0.25">
      <c r="A29" s="153" t="s">
        <v>203</v>
      </c>
      <c r="B29" s="246" t="s">
        <v>204</v>
      </c>
      <c r="C29" s="188">
        <v>153000</v>
      </c>
      <c r="D29" s="188"/>
      <c r="E29" s="188"/>
      <c r="F29" s="188"/>
      <c r="G29" s="20">
        <f t="shared" si="10"/>
        <v>153000</v>
      </c>
      <c r="H29" s="188"/>
      <c r="I29" s="20">
        <f t="shared" si="12"/>
        <v>153000</v>
      </c>
      <c r="J29" s="188"/>
      <c r="K29" s="20">
        <f t="shared" ref="K29" si="41">I29+J29</f>
        <v>153000</v>
      </c>
      <c r="L29" s="188"/>
      <c r="M29" s="20">
        <f t="shared" ref="M29" si="42">K29+L29</f>
        <v>153000</v>
      </c>
      <c r="N29" s="188">
        <v>-60000</v>
      </c>
      <c r="O29" s="20">
        <f t="shared" ref="O29" si="43">M29+N29</f>
        <v>93000</v>
      </c>
      <c r="Q29" s="252"/>
      <c r="R29" s="257">
        <v>160000</v>
      </c>
      <c r="S29" s="257"/>
      <c r="T29" s="256">
        <f t="shared" si="8"/>
        <v>160000</v>
      </c>
      <c r="U29" s="257">
        <v>167000</v>
      </c>
      <c r="V29" s="257"/>
      <c r="W29" s="256">
        <f t="shared" si="11"/>
        <v>167000</v>
      </c>
      <c r="X29" s="252"/>
      <c r="Y29" s="252"/>
    </row>
    <row r="30" spans="1:25" s="187" customFormat="1" ht="14.25" customHeight="1" x14ac:dyDescent="0.25">
      <c r="A30" s="155" t="s">
        <v>205</v>
      </c>
      <c r="B30" s="67" t="s">
        <v>206</v>
      </c>
      <c r="C30" s="11">
        <f>C31</f>
        <v>600000</v>
      </c>
      <c r="D30" s="11"/>
      <c r="E30" s="11"/>
      <c r="F30" s="11">
        <f t="shared" ref="F30:O30" si="44">F31</f>
        <v>0</v>
      </c>
      <c r="G30" s="11">
        <f t="shared" si="44"/>
        <v>600000</v>
      </c>
      <c r="H30" s="11">
        <f t="shared" si="44"/>
        <v>0</v>
      </c>
      <c r="I30" s="11">
        <f t="shared" si="44"/>
        <v>600000</v>
      </c>
      <c r="J30" s="11">
        <f t="shared" si="44"/>
        <v>0</v>
      </c>
      <c r="K30" s="11">
        <f t="shared" si="44"/>
        <v>600000</v>
      </c>
      <c r="L30" s="11">
        <f t="shared" si="44"/>
        <v>0</v>
      </c>
      <c r="M30" s="11">
        <f t="shared" si="44"/>
        <v>600000</v>
      </c>
      <c r="N30" s="11">
        <f t="shared" si="44"/>
        <v>550000</v>
      </c>
      <c r="O30" s="11">
        <f t="shared" si="44"/>
        <v>1150000</v>
      </c>
      <c r="Q30" s="252"/>
      <c r="R30" s="259">
        <f>R31</f>
        <v>650000</v>
      </c>
      <c r="S30" s="259">
        <f t="shared" ref="S30:W31" si="45">S31</f>
        <v>0</v>
      </c>
      <c r="T30" s="259">
        <f t="shared" si="45"/>
        <v>650000</v>
      </c>
      <c r="U30" s="259">
        <f t="shared" si="45"/>
        <v>700000</v>
      </c>
      <c r="V30" s="259">
        <f t="shared" si="45"/>
        <v>0</v>
      </c>
      <c r="W30" s="259">
        <f t="shared" si="45"/>
        <v>700000</v>
      </c>
      <c r="X30" s="252"/>
      <c r="Y30" s="252"/>
    </row>
    <row r="31" spans="1:25" s="187" customFormat="1" ht="26.25" customHeight="1" x14ac:dyDescent="0.25">
      <c r="A31" s="154" t="s">
        <v>468</v>
      </c>
      <c r="B31" s="61" t="s">
        <v>207</v>
      </c>
      <c r="C31" s="2">
        <f t="shared" ref="C31:O31" si="46">C32</f>
        <v>600000</v>
      </c>
      <c r="D31" s="2"/>
      <c r="E31" s="2"/>
      <c r="F31" s="2">
        <f t="shared" si="46"/>
        <v>0</v>
      </c>
      <c r="G31" s="2">
        <f t="shared" si="46"/>
        <v>600000</v>
      </c>
      <c r="H31" s="2">
        <f t="shared" si="46"/>
        <v>0</v>
      </c>
      <c r="I31" s="2">
        <f t="shared" si="46"/>
        <v>600000</v>
      </c>
      <c r="J31" s="2">
        <f t="shared" si="46"/>
        <v>0</v>
      </c>
      <c r="K31" s="2">
        <f t="shared" si="46"/>
        <v>600000</v>
      </c>
      <c r="L31" s="2">
        <f t="shared" si="46"/>
        <v>0</v>
      </c>
      <c r="M31" s="2">
        <f t="shared" si="46"/>
        <v>600000</v>
      </c>
      <c r="N31" s="2">
        <f t="shared" si="46"/>
        <v>550000</v>
      </c>
      <c r="O31" s="2">
        <f t="shared" si="46"/>
        <v>1150000</v>
      </c>
      <c r="Q31" s="252"/>
      <c r="R31" s="255">
        <f t="shared" ref="R31" si="47">R32</f>
        <v>650000</v>
      </c>
      <c r="S31" s="255">
        <f t="shared" si="45"/>
        <v>0</v>
      </c>
      <c r="T31" s="256">
        <f t="shared" si="8"/>
        <v>650000</v>
      </c>
      <c r="U31" s="255">
        <f t="shared" si="45"/>
        <v>700000</v>
      </c>
      <c r="V31" s="255">
        <f t="shared" si="45"/>
        <v>0</v>
      </c>
      <c r="W31" s="256">
        <f t="shared" si="11"/>
        <v>700000</v>
      </c>
      <c r="X31" s="252"/>
      <c r="Y31" s="252"/>
    </row>
    <row r="32" spans="1:25" s="187" customFormat="1" ht="36.75" customHeight="1" x14ac:dyDescent="0.25">
      <c r="A32" s="154" t="s">
        <v>208</v>
      </c>
      <c r="B32" s="61" t="s">
        <v>542</v>
      </c>
      <c r="C32" s="188">
        <v>600000</v>
      </c>
      <c r="D32" s="188"/>
      <c r="E32" s="188"/>
      <c r="F32" s="188"/>
      <c r="G32" s="20">
        <f t="shared" si="10"/>
        <v>600000</v>
      </c>
      <c r="H32" s="188"/>
      <c r="I32" s="20">
        <f t="shared" si="12"/>
        <v>600000</v>
      </c>
      <c r="J32" s="188"/>
      <c r="K32" s="20">
        <f t="shared" ref="K32" si="48">I32+J32</f>
        <v>600000</v>
      </c>
      <c r="L32" s="188"/>
      <c r="M32" s="20">
        <f t="shared" ref="M32" si="49">K32+L32</f>
        <v>600000</v>
      </c>
      <c r="N32" s="188">
        <v>550000</v>
      </c>
      <c r="O32" s="20">
        <f t="shared" ref="O32" si="50">M32+N32</f>
        <v>1150000</v>
      </c>
      <c r="Q32" s="252"/>
      <c r="R32" s="257">
        <v>650000</v>
      </c>
      <c r="S32" s="257"/>
      <c r="T32" s="256">
        <f t="shared" si="8"/>
        <v>650000</v>
      </c>
      <c r="U32" s="257">
        <v>700000</v>
      </c>
      <c r="V32" s="257"/>
      <c r="W32" s="256">
        <f t="shared" si="11"/>
        <v>700000</v>
      </c>
      <c r="X32" s="252"/>
      <c r="Y32" s="252"/>
    </row>
    <row r="33" spans="1:25" s="261" customFormat="1" ht="25.5" customHeight="1" x14ac:dyDescent="0.25">
      <c r="A33" s="155" t="s">
        <v>704</v>
      </c>
      <c r="B33" s="67" t="s">
        <v>705</v>
      </c>
      <c r="C33" s="260"/>
      <c r="D33" s="260"/>
      <c r="E33" s="260"/>
      <c r="F33" s="260"/>
      <c r="G33" s="70"/>
      <c r="H33" s="260"/>
      <c r="I33" s="70"/>
      <c r="J33" s="260"/>
      <c r="K33" s="70"/>
      <c r="L33" s="260"/>
      <c r="M33" s="70">
        <f>M34</f>
        <v>0</v>
      </c>
      <c r="N33" s="70">
        <f t="shared" ref="N33:O35" si="51">N34</f>
        <v>500</v>
      </c>
      <c r="O33" s="70">
        <f t="shared" si="51"/>
        <v>500</v>
      </c>
      <c r="Q33" s="262"/>
      <c r="R33" s="263"/>
      <c r="S33" s="263"/>
      <c r="T33" s="264"/>
      <c r="U33" s="263"/>
      <c r="V33" s="263"/>
      <c r="W33" s="264"/>
      <c r="X33" s="262"/>
      <c r="Y33" s="262"/>
    </row>
    <row r="34" spans="1:25" s="187" customFormat="1" ht="15.75" customHeight="1" x14ac:dyDescent="0.25">
      <c r="A34" s="154" t="s">
        <v>706</v>
      </c>
      <c r="B34" s="265" t="s">
        <v>707</v>
      </c>
      <c r="C34" s="188"/>
      <c r="D34" s="188"/>
      <c r="E34" s="188"/>
      <c r="F34" s="188"/>
      <c r="G34" s="20"/>
      <c r="H34" s="188"/>
      <c r="I34" s="20"/>
      <c r="J34" s="188"/>
      <c r="K34" s="20"/>
      <c r="L34" s="188"/>
      <c r="M34" s="20">
        <f>M35</f>
        <v>0</v>
      </c>
      <c r="N34" s="20">
        <f t="shared" si="51"/>
        <v>500</v>
      </c>
      <c r="O34" s="20">
        <f t="shared" si="51"/>
        <v>500</v>
      </c>
      <c r="Q34" s="252"/>
      <c r="R34" s="257"/>
      <c r="S34" s="257"/>
      <c r="T34" s="256"/>
      <c r="U34" s="257"/>
      <c r="V34" s="257"/>
      <c r="W34" s="256"/>
      <c r="X34" s="252"/>
      <c r="Y34" s="252"/>
    </row>
    <row r="35" spans="1:25" s="187" customFormat="1" ht="36.75" customHeight="1" x14ac:dyDescent="0.25">
      <c r="A35" s="154" t="s">
        <v>708</v>
      </c>
      <c r="B35" s="265" t="s">
        <v>709</v>
      </c>
      <c r="C35" s="188"/>
      <c r="D35" s="188"/>
      <c r="E35" s="188"/>
      <c r="F35" s="188"/>
      <c r="G35" s="20"/>
      <c r="H35" s="188"/>
      <c r="I35" s="20"/>
      <c r="J35" s="188"/>
      <c r="K35" s="20"/>
      <c r="L35" s="188"/>
      <c r="M35" s="20">
        <f>M36</f>
        <v>0</v>
      </c>
      <c r="N35" s="20">
        <f t="shared" si="51"/>
        <v>500</v>
      </c>
      <c r="O35" s="20">
        <f t="shared" si="51"/>
        <v>500</v>
      </c>
      <c r="Q35" s="252"/>
      <c r="R35" s="257"/>
      <c r="S35" s="257"/>
      <c r="T35" s="256"/>
      <c r="U35" s="257"/>
      <c r="V35" s="257"/>
      <c r="W35" s="256"/>
      <c r="X35" s="252"/>
      <c r="Y35" s="252"/>
    </row>
    <row r="36" spans="1:25" s="187" customFormat="1" ht="49.5" customHeight="1" x14ac:dyDescent="0.25">
      <c r="A36" s="154" t="s">
        <v>710</v>
      </c>
      <c r="B36" s="61" t="s">
        <v>711</v>
      </c>
      <c r="C36" s="188"/>
      <c r="D36" s="188"/>
      <c r="E36" s="188"/>
      <c r="F36" s="188"/>
      <c r="G36" s="20"/>
      <c r="H36" s="188"/>
      <c r="I36" s="20"/>
      <c r="J36" s="188"/>
      <c r="K36" s="20"/>
      <c r="L36" s="188"/>
      <c r="M36" s="20"/>
      <c r="N36" s="188">
        <v>500</v>
      </c>
      <c r="O36" s="20">
        <f>M36+N36</f>
        <v>500</v>
      </c>
      <c r="Q36" s="252"/>
      <c r="R36" s="257"/>
      <c r="S36" s="257"/>
      <c r="T36" s="256"/>
      <c r="U36" s="257"/>
      <c r="V36" s="257"/>
      <c r="W36" s="256"/>
      <c r="X36" s="252"/>
      <c r="Y36" s="252"/>
    </row>
    <row r="37" spans="1:25" s="187" customFormat="1" ht="25.5" customHeight="1" x14ac:dyDescent="0.25">
      <c r="A37" s="155" t="s">
        <v>209</v>
      </c>
      <c r="B37" s="67" t="s">
        <v>210</v>
      </c>
      <c r="C37" s="190">
        <f>C38+C45</f>
        <v>2209800</v>
      </c>
      <c r="D37" s="190"/>
      <c r="E37" s="190"/>
      <c r="F37" s="190">
        <f>F38+F45</f>
        <v>-10000</v>
      </c>
      <c r="G37" s="190">
        <f>G38+G45</f>
        <v>2199800</v>
      </c>
      <c r="H37" s="190">
        <f t="shared" ref="H37:O37" si="52">H38+H45</f>
        <v>0</v>
      </c>
      <c r="I37" s="70">
        <f t="shared" si="52"/>
        <v>2199800</v>
      </c>
      <c r="J37" s="190">
        <f t="shared" si="52"/>
        <v>0</v>
      </c>
      <c r="K37" s="70">
        <f t="shared" si="52"/>
        <v>2199800</v>
      </c>
      <c r="L37" s="190">
        <f t="shared" si="52"/>
        <v>0</v>
      </c>
      <c r="M37" s="70">
        <f t="shared" si="52"/>
        <v>2199800</v>
      </c>
      <c r="N37" s="190">
        <f t="shared" si="52"/>
        <v>10000</v>
      </c>
      <c r="O37" s="70">
        <f t="shared" si="52"/>
        <v>2209800</v>
      </c>
      <c r="Q37" s="252"/>
      <c r="R37" s="266">
        <f>R38+R45</f>
        <v>2250000</v>
      </c>
      <c r="S37" s="266">
        <f>S38+S45</f>
        <v>-10000</v>
      </c>
      <c r="T37" s="266">
        <f t="shared" ref="T37:W37" si="53">T38+T45</f>
        <v>2240000</v>
      </c>
      <c r="U37" s="266">
        <f t="shared" si="53"/>
        <v>2147000</v>
      </c>
      <c r="V37" s="266">
        <f t="shared" si="53"/>
        <v>-10000</v>
      </c>
      <c r="W37" s="266">
        <f t="shared" si="53"/>
        <v>2137000</v>
      </c>
      <c r="X37" s="252"/>
      <c r="Y37" s="252"/>
    </row>
    <row r="38" spans="1:25" s="187" customFormat="1" ht="48.75" customHeight="1" x14ac:dyDescent="0.25">
      <c r="A38" s="154" t="s">
        <v>211</v>
      </c>
      <c r="B38" s="60" t="s">
        <v>469</v>
      </c>
      <c r="C38" s="191">
        <f>C39+C43</f>
        <v>2089800</v>
      </c>
      <c r="D38" s="191"/>
      <c r="E38" s="191"/>
      <c r="F38" s="191">
        <f>F39+F43</f>
        <v>-10000</v>
      </c>
      <c r="G38" s="191">
        <f>G39+G43</f>
        <v>2079800</v>
      </c>
      <c r="H38" s="191">
        <f t="shared" ref="H38:O38" si="54">H39+H43</f>
        <v>0</v>
      </c>
      <c r="I38" s="20">
        <f t="shared" si="54"/>
        <v>2079800</v>
      </c>
      <c r="J38" s="191">
        <f t="shared" si="54"/>
        <v>0</v>
      </c>
      <c r="K38" s="20">
        <f t="shared" si="54"/>
        <v>2079800</v>
      </c>
      <c r="L38" s="191">
        <f t="shared" si="54"/>
        <v>0</v>
      </c>
      <c r="M38" s="20">
        <f t="shared" si="54"/>
        <v>2079800</v>
      </c>
      <c r="N38" s="191">
        <f t="shared" si="54"/>
        <v>40000</v>
      </c>
      <c r="O38" s="20">
        <f t="shared" si="54"/>
        <v>2119800</v>
      </c>
      <c r="Q38" s="252"/>
      <c r="R38" s="267">
        <f>R39+R43</f>
        <v>2140000</v>
      </c>
      <c r="S38" s="267">
        <f>S39+S43</f>
        <v>-10000</v>
      </c>
      <c r="T38" s="256">
        <f t="shared" si="8"/>
        <v>2130000</v>
      </c>
      <c r="U38" s="267">
        <f>U39+U43</f>
        <v>2147000</v>
      </c>
      <c r="V38" s="267">
        <f>V39+V43</f>
        <v>-10000</v>
      </c>
      <c r="W38" s="256">
        <f t="shared" si="11"/>
        <v>2137000</v>
      </c>
      <c r="X38" s="252"/>
      <c r="Y38" s="252"/>
    </row>
    <row r="39" spans="1:25" s="187" customFormat="1" ht="39" customHeight="1" x14ac:dyDescent="0.25">
      <c r="A39" s="154" t="s">
        <v>212</v>
      </c>
      <c r="B39" s="61" t="s">
        <v>213</v>
      </c>
      <c r="C39" s="2">
        <f>C40+C41+C42</f>
        <v>952800</v>
      </c>
      <c r="D39" s="2">
        <f t="shared" ref="D39:O39" si="55">D40+D41+D42</f>
        <v>0</v>
      </c>
      <c r="E39" s="2">
        <f t="shared" si="55"/>
        <v>0</v>
      </c>
      <c r="F39" s="2">
        <f t="shared" si="55"/>
        <v>-10000</v>
      </c>
      <c r="G39" s="2">
        <f t="shared" si="55"/>
        <v>942800</v>
      </c>
      <c r="H39" s="2">
        <f t="shared" si="55"/>
        <v>0</v>
      </c>
      <c r="I39" s="2">
        <f t="shared" si="55"/>
        <v>942800</v>
      </c>
      <c r="J39" s="2">
        <f t="shared" si="55"/>
        <v>0</v>
      </c>
      <c r="K39" s="2">
        <f t="shared" si="55"/>
        <v>942800</v>
      </c>
      <c r="L39" s="2">
        <f t="shared" si="55"/>
        <v>0</v>
      </c>
      <c r="M39" s="2">
        <f t="shared" si="55"/>
        <v>942800</v>
      </c>
      <c r="N39" s="2">
        <f t="shared" si="55"/>
        <v>110000</v>
      </c>
      <c r="O39" s="2">
        <f t="shared" si="55"/>
        <v>1052800</v>
      </c>
      <c r="Q39" s="252"/>
      <c r="R39" s="255">
        <f>R40+R41+R42</f>
        <v>996000</v>
      </c>
      <c r="S39" s="255">
        <f t="shared" ref="S39" si="56">S40+S41+S42</f>
        <v>-10000</v>
      </c>
      <c r="T39" s="256">
        <f t="shared" si="8"/>
        <v>986000</v>
      </c>
      <c r="U39" s="255">
        <f>U40+U41+U42</f>
        <v>996000</v>
      </c>
      <c r="V39" s="255">
        <f t="shared" ref="V39" si="57">V40+V41+V42</f>
        <v>-10000</v>
      </c>
      <c r="W39" s="256">
        <f t="shared" si="11"/>
        <v>986000</v>
      </c>
      <c r="X39" s="252"/>
      <c r="Y39" s="252"/>
    </row>
    <row r="40" spans="1:25" s="187" customFormat="1" ht="48" customHeight="1" x14ac:dyDescent="0.25">
      <c r="A40" s="154" t="s">
        <v>214</v>
      </c>
      <c r="B40" s="60" t="s">
        <v>551</v>
      </c>
      <c r="C40" s="2">
        <v>952800</v>
      </c>
      <c r="D40" s="2"/>
      <c r="E40" s="2"/>
      <c r="F40" s="188">
        <v>-952800</v>
      </c>
      <c r="G40" s="20">
        <f t="shared" si="10"/>
        <v>0</v>
      </c>
      <c r="H40" s="188"/>
      <c r="I40" s="20">
        <f t="shared" si="12"/>
        <v>0</v>
      </c>
      <c r="J40" s="188"/>
      <c r="K40" s="20">
        <f t="shared" ref="K40:K42" si="58">I40+J40</f>
        <v>0</v>
      </c>
      <c r="L40" s="188"/>
      <c r="M40" s="20">
        <f t="shared" ref="M40:M42" si="59">K40+L40</f>
        <v>0</v>
      </c>
      <c r="N40" s="188"/>
      <c r="O40" s="20">
        <f t="shared" ref="O40:O42" si="60">M40+N40</f>
        <v>0</v>
      </c>
      <c r="Q40" s="252"/>
      <c r="R40" s="255">
        <v>996000</v>
      </c>
      <c r="S40" s="257">
        <v>-996000</v>
      </c>
      <c r="T40" s="256">
        <f t="shared" si="8"/>
        <v>0</v>
      </c>
      <c r="U40" s="255">
        <v>996000</v>
      </c>
      <c r="V40" s="257">
        <v>-996000</v>
      </c>
      <c r="W40" s="256">
        <f t="shared" si="11"/>
        <v>0</v>
      </c>
      <c r="X40" s="252"/>
      <c r="Y40" s="252"/>
    </row>
    <row r="41" spans="1:25" s="187" customFormat="1" ht="60" customHeight="1" x14ac:dyDescent="0.25">
      <c r="A41" s="154" t="s">
        <v>214</v>
      </c>
      <c r="B41" s="60" t="s">
        <v>550</v>
      </c>
      <c r="C41" s="2">
        <v>0</v>
      </c>
      <c r="D41" s="2"/>
      <c r="E41" s="2"/>
      <c r="F41" s="188">
        <v>442800</v>
      </c>
      <c r="G41" s="20">
        <f t="shared" si="10"/>
        <v>442800</v>
      </c>
      <c r="H41" s="188"/>
      <c r="I41" s="20">
        <f t="shared" si="12"/>
        <v>442800</v>
      </c>
      <c r="J41" s="188"/>
      <c r="K41" s="20">
        <f t="shared" si="58"/>
        <v>442800</v>
      </c>
      <c r="L41" s="188"/>
      <c r="M41" s="20">
        <f t="shared" si="59"/>
        <v>442800</v>
      </c>
      <c r="N41" s="188">
        <v>105000</v>
      </c>
      <c r="O41" s="20">
        <f t="shared" si="60"/>
        <v>547800</v>
      </c>
      <c r="Q41" s="252"/>
      <c r="R41" s="255">
        <v>0</v>
      </c>
      <c r="S41" s="257">
        <v>486000</v>
      </c>
      <c r="T41" s="256">
        <f t="shared" si="8"/>
        <v>486000</v>
      </c>
      <c r="U41" s="255">
        <v>0</v>
      </c>
      <c r="V41" s="257">
        <v>486000</v>
      </c>
      <c r="W41" s="256">
        <f t="shared" si="11"/>
        <v>486000</v>
      </c>
      <c r="X41" s="252"/>
      <c r="Y41" s="252"/>
    </row>
    <row r="42" spans="1:25" s="187" customFormat="1" ht="48" customHeight="1" x14ac:dyDescent="0.25">
      <c r="A42" s="154" t="s">
        <v>552</v>
      </c>
      <c r="B42" s="60" t="s">
        <v>553</v>
      </c>
      <c r="C42" s="2"/>
      <c r="D42" s="2"/>
      <c r="E42" s="2"/>
      <c r="F42" s="188">
        <v>500000</v>
      </c>
      <c r="G42" s="20">
        <f t="shared" si="10"/>
        <v>500000</v>
      </c>
      <c r="H42" s="188"/>
      <c r="I42" s="20">
        <f t="shared" si="12"/>
        <v>500000</v>
      </c>
      <c r="J42" s="188"/>
      <c r="K42" s="20">
        <f t="shared" si="58"/>
        <v>500000</v>
      </c>
      <c r="L42" s="188"/>
      <c r="M42" s="20">
        <f t="shared" si="59"/>
        <v>500000</v>
      </c>
      <c r="N42" s="188">
        <v>5000</v>
      </c>
      <c r="O42" s="20">
        <f t="shared" si="60"/>
        <v>505000</v>
      </c>
      <c r="Q42" s="252"/>
      <c r="R42" s="255"/>
      <c r="S42" s="257">
        <v>500000</v>
      </c>
      <c r="T42" s="256">
        <f t="shared" si="8"/>
        <v>500000</v>
      </c>
      <c r="U42" s="255"/>
      <c r="V42" s="257">
        <v>500000</v>
      </c>
      <c r="W42" s="256">
        <f t="shared" si="11"/>
        <v>500000</v>
      </c>
      <c r="X42" s="252"/>
      <c r="Y42" s="252"/>
    </row>
    <row r="43" spans="1:25" s="187" customFormat="1" ht="50.25" customHeight="1" x14ac:dyDescent="0.25">
      <c r="A43" s="154" t="s">
        <v>215</v>
      </c>
      <c r="B43" s="60" t="s">
        <v>515</v>
      </c>
      <c r="C43" s="20">
        <f>C44</f>
        <v>1137000</v>
      </c>
      <c r="D43" s="20"/>
      <c r="E43" s="20"/>
      <c r="F43" s="20">
        <f t="shared" ref="F43:O43" si="61">F44</f>
        <v>0</v>
      </c>
      <c r="G43" s="20">
        <f t="shared" si="61"/>
        <v>1137000</v>
      </c>
      <c r="H43" s="20">
        <f t="shared" si="61"/>
        <v>0</v>
      </c>
      <c r="I43" s="20">
        <f t="shared" si="61"/>
        <v>1137000</v>
      </c>
      <c r="J43" s="20">
        <f t="shared" si="61"/>
        <v>0</v>
      </c>
      <c r="K43" s="20">
        <f t="shared" si="61"/>
        <v>1137000</v>
      </c>
      <c r="L43" s="20">
        <f t="shared" si="61"/>
        <v>0</v>
      </c>
      <c r="M43" s="20">
        <f t="shared" si="61"/>
        <v>1137000</v>
      </c>
      <c r="N43" s="20">
        <f t="shared" si="61"/>
        <v>-70000</v>
      </c>
      <c r="O43" s="20">
        <f t="shared" si="61"/>
        <v>1067000</v>
      </c>
      <c r="Q43" s="252"/>
      <c r="R43" s="256">
        <f>R44</f>
        <v>1144000</v>
      </c>
      <c r="S43" s="256">
        <f t="shared" ref="S43" si="62">S44</f>
        <v>0</v>
      </c>
      <c r="T43" s="256">
        <f t="shared" si="8"/>
        <v>1144000</v>
      </c>
      <c r="U43" s="256">
        <f>U44</f>
        <v>1151000</v>
      </c>
      <c r="V43" s="256">
        <f t="shared" ref="V43" si="63">V44</f>
        <v>0</v>
      </c>
      <c r="W43" s="256">
        <f t="shared" si="11"/>
        <v>1151000</v>
      </c>
      <c r="X43" s="252"/>
      <c r="Y43" s="252"/>
    </row>
    <row r="44" spans="1:25" s="187" customFormat="1" ht="46.5" customHeight="1" x14ac:dyDescent="0.25">
      <c r="A44" s="154" t="s">
        <v>361</v>
      </c>
      <c r="B44" s="61" t="s">
        <v>516</v>
      </c>
      <c r="C44" s="188">
        <v>1137000</v>
      </c>
      <c r="D44" s="188"/>
      <c r="E44" s="188"/>
      <c r="F44" s="188"/>
      <c r="G44" s="20">
        <f t="shared" si="10"/>
        <v>1137000</v>
      </c>
      <c r="H44" s="188"/>
      <c r="I44" s="20">
        <f t="shared" si="12"/>
        <v>1137000</v>
      </c>
      <c r="J44" s="188"/>
      <c r="K44" s="20">
        <f t="shared" ref="K44" si="64">I44+J44</f>
        <v>1137000</v>
      </c>
      <c r="L44" s="188"/>
      <c r="M44" s="20">
        <f t="shared" ref="M44" si="65">K44+L44</f>
        <v>1137000</v>
      </c>
      <c r="N44" s="188">
        <v>-70000</v>
      </c>
      <c r="O44" s="20">
        <f t="shared" ref="O44" si="66">M44+N44</f>
        <v>1067000</v>
      </c>
      <c r="Q44" s="252"/>
      <c r="R44" s="257">
        <v>1144000</v>
      </c>
      <c r="S44" s="257"/>
      <c r="T44" s="256">
        <f t="shared" si="8"/>
        <v>1144000</v>
      </c>
      <c r="U44" s="257">
        <v>1151000</v>
      </c>
      <c r="V44" s="257"/>
      <c r="W44" s="256">
        <f t="shared" si="11"/>
        <v>1151000</v>
      </c>
      <c r="X44" s="252"/>
      <c r="Y44" s="252"/>
    </row>
    <row r="45" spans="1:25" s="187" customFormat="1" ht="60.75" customHeight="1" x14ac:dyDescent="0.25">
      <c r="A45" s="153" t="s">
        <v>216</v>
      </c>
      <c r="B45" s="246" t="s">
        <v>217</v>
      </c>
      <c r="C45" s="188">
        <f t="shared" ref="C45:O46" si="67">C46</f>
        <v>120000</v>
      </c>
      <c r="D45" s="188"/>
      <c r="E45" s="188"/>
      <c r="F45" s="188">
        <f t="shared" si="67"/>
        <v>0</v>
      </c>
      <c r="G45" s="188">
        <f t="shared" si="67"/>
        <v>120000</v>
      </c>
      <c r="H45" s="188">
        <f t="shared" si="67"/>
        <v>0</v>
      </c>
      <c r="I45" s="2">
        <f t="shared" si="67"/>
        <v>120000</v>
      </c>
      <c r="J45" s="188">
        <f t="shared" si="67"/>
        <v>0</v>
      </c>
      <c r="K45" s="2">
        <f t="shared" si="67"/>
        <v>120000</v>
      </c>
      <c r="L45" s="188">
        <f t="shared" si="67"/>
        <v>0</v>
      </c>
      <c r="M45" s="2">
        <f t="shared" si="67"/>
        <v>120000</v>
      </c>
      <c r="N45" s="188">
        <f t="shared" si="67"/>
        <v>-30000</v>
      </c>
      <c r="O45" s="2">
        <f t="shared" si="67"/>
        <v>90000</v>
      </c>
      <c r="Q45" s="252"/>
      <c r="R45" s="257">
        <f t="shared" ref="R45:S46" si="68">R46</f>
        <v>110000</v>
      </c>
      <c r="S45" s="257">
        <f t="shared" si="68"/>
        <v>0</v>
      </c>
      <c r="T45" s="256">
        <f t="shared" si="8"/>
        <v>110000</v>
      </c>
      <c r="U45" s="257">
        <f t="shared" ref="U45:V46" si="69">U46</f>
        <v>0</v>
      </c>
      <c r="V45" s="257">
        <f t="shared" si="69"/>
        <v>0</v>
      </c>
      <c r="W45" s="256">
        <f t="shared" si="11"/>
        <v>0</v>
      </c>
      <c r="X45" s="252"/>
      <c r="Y45" s="252"/>
    </row>
    <row r="46" spans="1:25" s="187" customFormat="1" ht="47.25" customHeight="1" x14ac:dyDescent="0.25">
      <c r="A46" s="153" t="s">
        <v>218</v>
      </c>
      <c r="B46" s="246" t="s">
        <v>219</v>
      </c>
      <c r="C46" s="2">
        <f t="shared" si="67"/>
        <v>120000</v>
      </c>
      <c r="D46" s="2"/>
      <c r="E46" s="2"/>
      <c r="F46" s="2">
        <f t="shared" si="67"/>
        <v>0</v>
      </c>
      <c r="G46" s="2">
        <f t="shared" si="67"/>
        <v>120000</v>
      </c>
      <c r="H46" s="2">
        <f t="shared" si="67"/>
        <v>0</v>
      </c>
      <c r="I46" s="2">
        <f t="shared" si="67"/>
        <v>120000</v>
      </c>
      <c r="J46" s="2">
        <f t="shared" si="67"/>
        <v>0</v>
      </c>
      <c r="K46" s="2">
        <f t="shared" si="67"/>
        <v>120000</v>
      </c>
      <c r="L46" s="2">
        <f t="shared" si="67"/>
        <v>0</v>
      </c>
      <c r="M46" s="2">
        <f t="shared" si="67"/>
        <v>120000</v>
      </c>
      <c r="N46" s="2">
        <f t="shared" si="67"/>
        <v>-30000</v>
      </c>
      <c r="O46" s="2">
        <f t="shared" si="67"/>
        <v>90000</v>
      </c>
      <c r="Q46" s="252"/>
      <c r="R46" s="255">
        <f t="shared" si="68"/>
        <v>110000</v>
      </c>
      <c r="S46" s="255">
        <f t="shared" si="68"/>
        <v>0</v>
      </c>
      <c r="T46" s="256">
        <f t="shared" si="8"/>
        <v>110000</v>
      </c>
      <c r="U46" s="255">
        <f t="shared" si="69"/>
        <v>0</v>
      </c>
      <c r="V46" s="255">
        <f t="shared" si="69"/>
        <v>0</v>
      </c>
      <c r="W46" s="256">
        <f t="shared" si="11"/>
        <v>0</v>
      </c>
      <c r="X46" s="252"/>
      <c r="Y46" s="252"/>
    </row>
    <row r="47" spans="1:25" s="187" customFormat="1" ht="50.25" customHeight="1" x14ac:dyDescent="0.25">
      <c r="A47" s="153" t="s">
        <v>220</v>
      </c>
      <c r="B47" s="246" t="s">
        <v>221</v>
      </c>
      <c r="C47" s="2">
        <v>120000</v>
      </c>
      <c r="D47" s="2"/>
      <c r="E47" s="2"/>
      <c r="F47" s="2"/>
      <c r="G47" s="20">
        <f t="shared" si="10"/>
        <v>120000</v>
      </c>
      <c r="H47" s="2"/>
      <c r="I47" s="20">
        <f t="shared" si="12"/>
        <v>120000</v>
      </c>
      <c r="J47" s="2"/>
      <c r="K47" s="20">
        <f t="shared" ref="K47" si="70">I47+J47</f>
        <v>120000</v>
      </c>
      <c r="L47" s="2"/>
      <c r="M47" s="20">
        <f t="shared" ref="M47" si="71">K47+L47</f>
        <v>120000</v>
      </c>
      <c r="N47" s="2">
        <v>-30000</v>
      </c>
      <c r="O47" s="20">
        <f t="shared" ref="O47" si="72">M47+N47</f>
        <v>90000</v>
      </c>
      <c r="Q47" s="252"/>
      <c r="R47" s="255">
        <v>110000</v>
      </c>
      <c r="S47" s="255"/>
      <c r="T47" s="256">
        <f t="shared" si="8"/>
        <v>110000</v>
      </c>
      <c r="U47" s="255">
        <v>0</v>
      </c>
      <c r="V47" s="255"/>
      <c r="W47" s="256">
        <f t="shared" si="11"/>
        <v>0</v>
      </c>
      <c r="X47" s="252"/>
      <c r="Y47" s="252"/>
    </row>
    <row r="48" spans="1:25" s="187" customFormat="1" ht="14.25" customHeight="1" x14ac:dyDescent="0.25">
      <c r="A48" s="155" t="s">
        <v>222</v>
      </c>
      <c r="B48" s="67" t="s">
        <v>223</v>
      </c>
      <c r="C48" s="11">
        <f t="shared" ref="C48:O48" si="73">C49</f>
        <v>506000</v>
      </c>
      <c r="D48" s="11"/>
      <c r="E48" s="11"/>
      <c r="F48" s="11">
        <f t="shared" si="73"/>
        <v>0</v>
      </c>
      <c r="G48" s="11">
        <f t="shared" si="73"/>
        <v>506000</v>
      </c>
      <c r="H48" s="11">
        <f t="shared" si="73"/>
        <v>0</v>
      </c>
      <c r="I48" s="11">
        <f t="shared" si="73"/>
        <v>506000</v>
      </c>
      <c r="J48" s="11">
        <f t="shared" si="73"/>
        <v>0</v>
      </c>
      <c r="K48" s="11">
        <f t="shared" si="73"/>
        <v>506000</v>
      </c>
      <c r="L48" s="11">
        <f t="shared" si="73"/>
        <v>0</v>
      </c>
      <c r="M48" s="11">
        <f t="shared" si="73"/>
        <v>506000</v>
      </c>
      <c r="N48" s="11">
        <f t="shared" si="73"/>
        <v>-97000</v>
      </c>
      <c r="O48" s="11">
        <f t="shared" si="73"/>
        <v>409000</v>
      </c>
      <c r="Q48" s="252"/>
      <c r="R48" s="259">
        <f t="shared" ref="R48:W48" si="74">R49</f>
        <v>535000</v>
      </c>
      <c r="S48" s="259">
        <f t="shared" si="74"/>
        <v>0</v>
      </c>
      <c r="T48" s="259">
        <f t="shared" si="74"/>
        <v>535000</v>
      </c>
      <c r="U48" s="259">
        <f t="shared" si="74"/>
        <v>566000</v>
      </c>
      <c r="V48" s="259">
        <f t="shared" si="74"/>
        <v>0</v>
      </c>
      <c r="W48" s="259">
        <f t="shared" si="74"/>
        <v>566000</v>
      </c>
      <c r="X48" s="252"/>
      <c r="Y48" s="252"/>
    </row>
    <row r="49" spans="1:25" s="187" customFormat="1" ht="15.75" customHeight="1" x14ac:dyDescent="0.25">
      <c r="A49" s="154" t="s">
        <v>224</v>
      </c>
      <c r="B49" s="61" t="s">
        <v>225</v>
      </c>
      <c r="C49" s="2">
        <f t="shared" ref="C49:O49" si="75">C50+C51+C52+C53</f>
        <v>506000</v>
      </c>
      <c r="D49" s="2"/>
      <c r="E49" s="2"/>
      <c r="F49" s="2">
        <f t="shared" si="75"/>
        <v>0</v>
      </c>
      <c r="G49" s="2">
        <f t="shared" si="75"/>
        <v>506000</v>
      </c>
      <c r="H49" s="2">
        <f t="shared" si="75"/>
        <v>0</v>
      </c>
      <c r="I49" s="2">
        <f t="shared" si="75"/>
        <v>506000</v>
      </c>
      <c r="J49" s="2">
        <f t="shared" si="75"/>
        <v>0</v>
      </c>
      <c r="K49" s="2">
        <f t="shared" si="75"/>
        <v>506000</v>
      </c>
      <c r="L49" s="2">
        <f t="shared" si="75"/>
        <v>0</v>
      </c>
      <c r="M49" s="2">
        <f t="shared" si="75"/>
        <v>506000</v>
      </c>
      <c r="N49" s="2">
        <f t="shared" si="75"/>
        <v>-97000</v>
      </c>
      <c r="O49" s="2">
        <f t="shared" si="75"/>
        <v>409000</v>
      </c>
      <c r="Q49" s="252"/>
      <c r="R49" s="255">
        <f t="shared" ref="R49:S49" si="76">R50+R51+R52+R53</f>
        <v>535000</v>
      </c>
      <c r="S49" s="255">
        <f t="shared" si="76"/>
        <v>0</v>
      </c>
      <c r="T49" s="256">
        <f t="shared" si="8"/>
        <v>535000</v>
      </c>
      <c r="U49" s="255">
        <f t="shared" ref="U49:V49" si="77">U50+U51+U52+U53</f>
        <v>566000</v>
      </c>
      <c r="V49" s="255">
        <f t="shared" si="77"/>
        <v>0</v>
      </c>
      <c r="W49" s="256">
        <f t="shared" si="11"/>
        <v>566000</v>
      </c>
      <c r="X49" s="252"/>
      <c r="Y49" s="252"/>
    </row>
    <row r="50" spans="1:25" s="187" customFormat="1" ht="26.25" customHeight="1" x14ac:dyDescent="0.25">
      <c r="A50" s="154" t="s">
        <v>226</v>
      </c>
      <c r="B50" s="61" t="s">
        <v>227</v>
      </c>
      <c r="C50" s="2">
        <v>28000</v>
      </c>
      <c r="D50" s="2"/>
      <c r="E50" s="2"/>
      <c r="F50" s="189"/>
      <c r="G50" s="20">
        <f t="shared" si="10"/>
        <v>28000</v>
      </c>
      <c r="H50" s="189"/>
      <c r="I50" s="20">
        <f t="shared" si="12"/>
        <v>28000</v>
      </c>
      <c r="J50" s="189"/>
      <c r="K50" s="20">
        <f t="shared" ref="K50:K53" si="78">I50+J50</f>
        <v>28000</v>
      </c>
      <c r="L50" s="189"/>
      <c r="M50" s="20">
        <f t="shared" ref="M50:M53" si="79">K50+L50</f>
        <v>28000</v>
      </c>
      <c r="N50" s="189">
        <v>12000</v>
      </c>
      <c r="O50" s="20">
        <f t="shared" ref="O50:O53" si="80">M50+N50</f>
        <v>40000</v>
      </c>
      <c r="Q50" s="252"/>
      <c r="R50" s="255">
        <v>30000</v>
      </c>
      <c r="S50" s="258"/>
      <c r="T50" s="256">
        <f t="shared" si="8"/>
        <v>30000</v>
      </c>
      <c r="U50" s="255">
        <v>31000</v>
      </c>
      <c r="V50" s="258"/>
      <c r="W50" s="256">
        <f t="shared" si="11"/>
        <v>31000</v>
      </c>
      <c r="X50" s="252"/>
      <c r="Y50" s="252"/>
    </row>
    <row r="51" spans="1:25" s="187" customFormat="1" ht="13.5" customHeight="1" x14ac:dyDescent="0.25">
      <c r="A51" s="154" t="s">
        <v>228</v>
      </c>
      <c r="B51" s="61" t="s">
        <v>229</v>
      </c>
      <c r="C51" s="2">
        <v>9000</v>
      </c>
      <c r="D51" s="2"/>
      <c r="E51" s="2"/>
      <c r="F51" s="189"/>
      <c r="G51" s="20">
        <f t="shared" si="10"/>
        <v>9000</v>
      </c>
      <c r="H51" s="189"/>
      <c r="I51" s="20">
        <f t="shared" si="12"/>
        <v>9000</v>
      </c>
      <c r="J51" s="189"/>
      <c r="K51" s="20">
        <f t="shared" si="78"/>
        <v>9000</v>
      </c>
      <c r="L51" s="189"/>
      <c r="M51" s="20">
        <f t="shared" si="79"/>
        <v>9000</v>
      </c>
      <c r="N51" s="189">
        <v>-5000</v>
      </c>
      <c r="O51" s="20">
        <f t="shared" si="80"/>
        <v>4000</v>
      </c>
      <c r="Q51" s="252"/>
      <c r="R51" s="255">
        <v>9000</v>
      </c>
      <c r="S51" s="258"/>
      <c r="T51" s="256">
        <f t="shared" si="8"/>
        <v>9000</v>
      </c>
      <c r="U51" s="255">
        <v>10000</v>
      </c>
      <c r="V51" s="258"/>
      <c r="W51" s="256">
        <f t="shared" si="11"/>
        <v>10000</v>
      </c>
      <c r="X51" s="252"/>
      <c r="Y51" s="252"/>
    </row>
    <row r="52" spans="1:25" s="187" customFormat="1" ht="16.5" customHeight="1" x14ac:dyDescent="0.25">
      <c r="A52" s="154" t="s">
        <v>230</v>
      </c>
      <c r="B52" s="61" t="s">
        <v>231</v>
      </c>
      <c r="C52" s="2">
        <v>46000</v>
      </c>
      <c r="D52" s="2"/>
      <c r="E52" s="2"/>
      <c r="F52" s="189"/>
      <c r="G52" s="20">
        <f t="shared" si="10"/>
        <v>46000</v>
      </c>
      <c r="H52" s="189"/>
      <c r="I52" s="20">
        <f t="shared" si="12"/>
        <v>46000</v>
      </c>
      <c r="J52" s="189"/>
      <c r="K52" s="20">
        <f t="shared" si="78"/>
        <v>46000</v>
      </c>
      <c r="L52" s="189"/>
      <c r="M52" s="20">
        <f t="shared" si="79"/>
        <v>46000</v>
      </c>
      <c r="N52" s="189">
        <v>-22000</v>
      </c>
      <c r="O52" s="20">
        <f t="shared" si="80"/>
        <v>24000</v>
      </c>
      <c r="Q52" s="252"/>
      <c r="R52" s="255">
        <v>49000</v>
      </c>
      <c r="S52" s="258"/>
      <c r="T52" s="256">
        <f t="shared" si="8"/>
        <v>49000</v>
      </c>
      <c r="U52" s="255">
        <v>52000</v>
      </c>
      <c r="V52" s="258"/>
      <c r="W52" s="256">
        <f t="shared" si="11"/>
        <v>52000</v>
      </c>
      <c r="X52" s="252"/>
      <c r="Y52" s="252"/>
    </row>
    <row r="53" spans="1:25" s="187" customFormat="1" ht="13.5" customHeight="1" x14ac:dyDescent="0.25">
      <c r="A53" s="154" t="s">
        <v>232</v>
      </c>
      <c r="B53" s="61" t="s">
        <v>233</v>
      </c>
      <c r="C53" s="2">
        <v>423000</v>
      </c>
      <c r="D53" s="2"/>
      <c r="E53" s="2"/>
      <c r="F53" s="189"/>
      <c r="G53" s="20">
        <f t="shared" si="10"/>
        <v>423000</v>
      </c>
      <c r="H53" s="189"/>
      <c r="I53" s="20">
        <f t="shared" si="12"/>
        <v>423000</v>
      </c>
      <c r="J53" s="189"/>
      <c r="K53" s="20">
        <f t="shared" si="78"/>
        <v>423000</v>
      </c>
      <c r="L53" s="189"/>
      <c r="M53" s="20">
        <f t="shared" si="79"/>
        <v>423000</v>
      </c>
      <c r="N53" s="189">
        <v>-82000</v>
      </c>
      <c r="O53" s="20">
        <f t="shared" si="80"/>
        <v>341000</v>
      </c>
      <c r="Q53" s="252"/>
      <c r="R53" s="255">
        <v>447000</v>
      </c>
      <c r="S53" s="258"/>
      <c r="T53" s="256">
        <f t="shared" si="8"/>
        <v>447000</v>
      </c>
      <c r="U53" s="255">
        <v>473000</v>
      </c>
      <c r="V53" s="258"/>
      <c r="W53" s="256">
        <f t="shared" si="11"/>
        <v>473000</v>
      </c>
      <c r="X53" s="252"/>
      <c r="Y53" s="252"/>
    </row>
    <row r="54" spans="1:25" s="187" customFormat="1" ht="27.75" customHeight="1" x14ac:dyDescent="0.25">
      <c r="A54" s="155" t="s">
        <v>234</v>
      </c>
      <c r="B54" s="67" t="s">
        <v>358</v>
      </c>
      <c r="C54" s="70">
        <f t="shared" ref="C54:O54" si="81">C55</f>
        <v>373000</v>
      </c>
      <c r="D54" s="70"/>
      <c r="E54" s="70"/>
      <c r="F54" s="70">
        <f t="shared" si="81"/>
        <v>0</v>
      </c>
      <c r="G54" s="70">
        <f t="shared" si="81"/>
        <v>373000</v>
      </c>
      <c r="H54" s="70">
        <f t="shared" si="81"/>
        <v>0</v>
      </c>
      <c r="I54" s="70">
        <f t="shared" si="81"/>
        <v>373000</v>
      </c>
      <c r="J54" s="70">
        <f t="shared" si="81"/>
        <v>0</v>
      </c>
      <c r="K54" s="70">
        <f t="shared" si="81"/>
        <v>373000</v>
      </c>
      <c r="L54" s="70">
        <f t="shared" si="81"/>
        <v>0</v>
      </c>
      <c r="M54" s="70">
        <f t="shared" si="81"/>
        <v>373000</v>
      </c>
      <c r="N54" s="70">
        <f t="shared" si="81"/>
        <v>-18000</v>
      </c>
      <c r="O54" s="70">
        <f t="shared" si="81"/>
        <v>355000</v>
      </c>
      <c r="Q54" s="252"/>
      <c r="R54" s="264">
        <f t="shared" ref="R54:W54" si="82">R55</f>
        <v>391000</v>
      </c>
      <c r="S54" s="264">
        <f t="shared" si="82"/>
        <v>0</v>
      </c>
      <c r="T54" s="264">
        <f t="shared" si="82"/>
        <v>391000</v>
      </c>
      <c r="U54" s="264">
        <f t="shared" si="82"/>
        <v>408000</v>
      </c>
      <c r="V54" s="264">
        <f t="shared" si="82"/>
        <v>0</v>
      </c>
      <c r="W54" s="264">
        <f t="shared" si="82"/>
        <v>408000</v>
      </c>
      <c r="X54" s="252"/>
      <c r="Y54" s="252"/>
    </row>
    <row r="55" spans="1:25" s="187" customFormat="1" ht="15.75" customHeight="1" x14ac:dyDescent="0.25">
      <c r="A55" s="154" t="s">
        <v>235</v>
      </c>
      <c r="B55" s="156" t="s">
        <v>236</v>
      </c>
      <c r="C55" s="192">
        <f t="shared" ref="C55:O55" si="83">C57</f>
        <v>373000</v>
      </c>
      <c r="D55" s="192"/>
      <c r="E55" s="192"/>
      <c r="F55" s="192">
        <f t="shared" si="83"/>
        <v>0</v>
      </c>
      <c r="G55" s="192">
        <f t="shared" si="83"/>
        <v>373000</v>
      </c>
      <c r="H55" s="192">
        <f t="shared" si="83"/>
        <v>0</v>
      </c>
      <c r="I55" s="20">
        <f t="shared" si="83"/>
        <v>373000</v>
      </c>
      <c r="J55" s="192">
        <f t="shared" si="83"/>
        <v>0</v>
      </c>
      <c r="K55" s="20">
        <f t="shared" si="83"/>
        <v>373000</v>
      </c>
      <c r="L55" s="192">
        <f t="shared" si="83"/>
        <v>0</v>
      </c>
      <c r="M55" s="20">
        <f t="shared" si="83"/>
        <v>373000</v>
      </c>
      <c r="N55" s="192">
        <f t="shared" si="83"/>
        <v>-18000</v>
      </c>
      <c r="O55" s="20">
        <f t="shared" si="83"/>
        <v>355000</v>
      </c>
      <c r="Q55" s="252"/>
      <c r="R55" s="268">
        <f t="shared" ref="R55:S55" si="84">R57</f>
        <v>391000</v>
      </c>
      <c r="S55" s="268">
        <f t="shared" si="84"/>
        <v>0</v>
      </c>
      <c r="T55" s="256">
        <f t="shared" si="8"/>
        <v>391000</v>
      </c>
      <c r="U55" s="268">
        <f t="shared" ref="U55:V55" si="85">U57</f>
        <v>408000</v>
      </c>
      <c r="V55" s="268">
        <f t="shared" si="85"/>
        <v>0</v>
      </c>
      <c r="W55" s="256">
        <f t="shared" si="11"/>
        <v>408000</v>
      </c>
      <c r="X55" s="252"/>
      <c r="Y55" s="252"/>
    </row>
    <row r="56" spans="1:25" s="187" customFormat="1" ht="15" customHeight="1" x14ac:dyDescent="0.25">
      <c r="A56" s="154" t="s">
        <v>237</v>
      </c>
      <c r="B56" s="61" t="s">
        <v>238</v>
      </c>
      <c r="C56" s="192">
        <f>C57</f>
        <v>373000</v>
      </c>
      <c r="D56" s="192"/>
      <c r="E56" s="192"/>
      <c r="F56" s="192">
        <f t="shared" ref="F56:O56" si="86">F57</f>
        <v>0</v>
      </c>
      <c r="G56" s="192">
        <f t="shared" si="86"/>
        <v>373000</v>
      </c>
      <c r="H56" s="192">
        <f t="shared" si="86"/>
        <v>0</v>
      </c>
      <c r="I56" s="20">
        <f t="shared" si="86"/>
        <v>373000</v>
      </c>
      <c r="J56" s="192">
        <f t="shared" si="86"/>
        <v>0</v>
      </c>
      <c r="K56" s="20">
        <f t="shared" si="86"/>
        <v>373000</v>
      </c>
      <c r="L56" s="192">
        <f t="shared" si="86"/>
        <v>0</v>
      </c>
      <c r="M56" s="20">
        <f t="shared" si="86"/>
        <v>373000</v>
      </c>
      <c r="N56" s="192">
        <f t="shared" si="86"/>
        <v>-18000</v>
      </c>
      <c r="O56" s="20">
        <f t="shared" si="86"/>
        <v>355000</v>
      </c>
      <c r="Q56" s="252"/>
      <c r="R56" s="268">
        <f>R57</f>
        <v>391000</v>
      </c>
      <c r="S56" s="268">
        <f t="shared" ref="S56" si="87">S57</f>
        <v>0</v>
      </c>
      <c r="T56" s="256">
        <f t="shared" si="8"/>
        <v>391000</v>
      </c>
      <c r="U56" s="268">
        <f>U57</f>
        <v>408000</v>
      </c>
      <c r="V56" s="268">
        <f t="shared" ref="V56" si="88">V57</f>
        <v>0</v>
      </c>
      <c r="W56" s="256">
        <f t="shared" si="11"/>
        <v>408000</v>
      </c>
      <c r="X56" s="252"/>
      <c r="Y56" s="252"/>
    </row>
    <row r="57" spans="1:25" s="187" customFormat="1" ht="15" customHeight="1" x14ac:dyDescent="0.25">
      <c r="A57" s="154" t="s">
        <v>239</v>
      </c>
      <c r="B57" s="61" t="s">
        <v>240</v>
      </c>
      <c r="C57" s="191">
        <v>373000</v>
      </c>
      <c r="D57" s="191"/>
      <c r="E57" s="191"/>
      <c r="F57" s="191"/>
      <c r="G57" s="20">
        <f t="shared" si="10"/>
        <v>373000</v>
      </c>
      <c r="H57" s="191"/>
      <c r="I57" s="20">
        <f t="shared" si="12"/>
        <v>373000</v>
      </c>
      <c r="J57" s="191"/>
      <c r="K57" s="20">
        <f t="shared" ref="K57" si="89">I57+J57</f>
        <v>373000</v>
      </c>
      <c r="L57" s="191"/>
      <c r="M57" s="20">
        <f t="shared" ref="M57" si="90">K57+L57</f>
        <v>373000</v>
      </c>
      <c r="N57" s="191">
        <v>-18000</v>
      </c>
      <c r="O57" s="20">
        <f t="shared" ref="O57" si="91">M57+N57</f>
        <v>355000</v>
      </c>
      <c r="Q57" s="252"/>
      <c r="R57" s="267">
        <v>391000</v>
      </c>
      <c r="S57" s="267"/>
      <c r="T57" s="256">
        <f t="shared" si="8"/>
        <v>391000</v>
      </c>
      <c r="U57" s="267">
        <v>408000</v>
      </c>
      <c r="V57" s="267"/>
      <c r="W57" s="256">
        <f t="shared" si="11"/>
        <v>408000</v>
      </c>
      <c r="X57" s="252"/>
      <c r="Y57" s="252"/>
    </row>
    <row r="58" spans="1:25" s="187" customFormat="1" ht="14.25" customHeight="1" x14ac:dyDescent="0.25">
      <c r="A58" s="155" t="s">
        <v>241</v>
      </c>
      <c r="B58" s="67" t="s">
        <v>242</v>
      </c>
      <c r="C58" s="190">
        <f>C62</f>
        <v>200000</v>
      </c>
      <c r="D58" s="190"/>
      <c r="E58" s="190"/>
      <c r="F58" s="190">
        <f t="shared" ref="F58:L58" si="92">F62</f>
        <v>10000</v>
      </c>
      <c r="G58" s="190">
        <f t="shared" si="92"/>
        <v>210000</v>
      </c>
      <c r="H58" s="190">
        <f t="shared" si="92"/>
        <v>0</v>
      </c>
      <c r="I58" s="70">
        <f t="shared" si="92"/>
        <v>210000</v>
      </c>
      <c r="J58" s="190">
        <f t="shared" si="92"/>
        <v>0</v>
      </c>
      <c r="K58" s="70">
        <f t="shared" si="92"/>
        <v>210000</v>
      </c>
      <c r="L58" s="190">
        <f t="shared" si="92"/>
        <v>0</v>
      </c>
      <c r="M58" s="70">
        <f>M59+M62</f>
        <v>210000</v>
      </c>
      <c r="N58" s="70">
        <f>N59+N62</f>
        <v>510000</v>
      </c>
      <c r="O58" s="70">
        <f t="shared" ref="O58" si="93">O59+O62</f>
        <v>720000</v>
      </c>
      <c r="Q58" s="252"/>
      <c r="R58" s="266">
        <f t="shared" ref="R58:W58" si="94">R62</f>
        <v>200000</v>
      </c>
      <c r="S58" s="266">
        <f t="shared" si="94"/>
        <v>10000</v>
      </c>
      <c r="T58" s="266">
        <f t="shared" si="94"/>
        <v>210000</v>
      </c>
      <c r="U58" s="266">
        <f t="shared" si="94"/>
        <v>200000</v>
      </c>
      <c r="V58" s="266">
        <f t="shared" si="94"/>
        <v>10000</v>
      </c>
      <c r="W58" s="266">
        <f t="shared" si="94"/>
        <v>210000</v>
      </c>
      <c r="X58" s="252"/>
      <c r="Y58" s="252"/>
    </row>
    <row r="59" spans="1:25" s="187" customFormat="1" ht="61.5" customHeight="1" x14ac:dyDescent="0.25">
      <c r="A59" s="154" t="s">
        <v>712</v>
      </c>
      <c r="B59" s="61" t="s">
        <v>713</v>
      </c>
      <c r="C59" s="191"/>
      <c r="D59" s="191"/>
      <c r="E59" s="191"/>
      <c r="F59" s="191"/>
      <c r="G59" s="191"/>
      <c r="H59" s="191"/>
      <c r="I59" s="20"/>
      <c r="J59" s="191"/>
      <c r="K59" s="20"/>
      <c r="L59" s="191"/>
      <c r="M59" s="20">
        <f>M60+M61</f>
        <v>0</v>
      </c>
      <c r="N59" s="20">
        <f t="shared" ref="N59:O59" si="95">N60+N61</f>
        <v>100000</v>
      </c>
      <c r="O59" s="20">
        <f t="shared" si="95"/>
        <v>100000</v>
      </c>
      <c r="Q59" s="252"/>
      <c r="R59" s="267"/>
      <c r="S59" s="267"/>
      <c r="T59" s="267"/>
      <c r="U59" s="267"/>
      <c r="V59" s="267"/>
      <c r="W59" s="267"/>
      <c r="X59" s="252"/>
      <c r="Y59" s="252"/>
    </row>
    <row r="60" spans="1:25" s="187" customFormat="1" ht="60.75" customHeight="1" x14ac:dyDescent="0.25">
      <c r="A60" s="269" t="s">
        <v>714</v>
      </c>
      <c r="B60" s="265" t="s">
        <v>715</v>
      </c>
      <c r="C60" s="191"/>
      <c r="D60" s="191"/>
      <c r="E60" s="191"/>
      <c r="F60" s="191"/>
      <c r="G60" s="191"/>
      <c r="H60" s="191"/>
      <c r="I60" s="20"/>
      <c r="J60" s="191"/>
      <c r="K60" s="20"/>
      <c r="L60" s="191"/>
      <c r="M60" s="20"/>
      <c r="N60" s="191">
        <v>17000</v>
      </c>
      <c r="O60" s="20">
        <f>M60+N60</f>
        <v>17000</v>
      </c>
      <c r="Q60" s="252"/>
      <c r="R60" s="267"/>
      <c r="S60" s="267"/>
      <c r="T60" s="267"/>
      <c r="U60" s="267"/>
      <c r="V60" s="267"/>
      <c r="W60" s="267"/>
      <c r="X60" s="252"/>
      <c r="Y60" s="252"/>
    </row>
    <row r="61" spans="1:25" s="187" customFormat="1" ht="60.75" customHeight="1" x14ac:dyDescent="0.25">
      <c r="A61" s="269" t="s">
        <v>716</v>
      </c>
      <c r="B61" s="265" t="s">
        <v>717</v>
      </c>
      <c r="C61" s="190"/>
      <c r="D61" s="190"/>
      <c r="E61" s="190"/>
      <c r="F61" s="190"/>
      <c r="G61" s="190"/>
      <c r="H61" s="190"/>
      <c r="I61" s="70"/>
      <c r="J61" s="190"/>
      <c r="K61" s="20"/>
      <c r="L61" s="191"/>
      <c r="M61" s="20"/>
      <c r="N61" s="191">
        <v>83000</v>
      </c>
      <c r="O61" s="20">
        <f>M61+N61</f>
        <v>83000</v>
      </c>
      <c r="Q61" s="252"/>
      <c r="R61" s="266"/>
      <c r="S61" s="266"/>
      <c r="T61" s="266"/>
      <c r="U61" s="266"/>
      <c r="V61" s="266"/>
      <c r="W61" s="266"/>
      <c r="X61" s="252"/>
      <c r="Y61" s="252"/>
    </row>
    <row r="62" spans="1:25" s="187" customFormat="1" ht="48.75" customHeight="1" x14ac:dyDescent="0.25">
      <c r="A62" s="270" t="s">
        <v>243</v>
      </c>
      <c r="B62" s="271" t="s">
        <v>470</v>
      </c>
      <c r="C62" s="188">
        <f t="shared" ref="C62:G62" si="96">C63</f>
        <v>200000</v>
      </c>
      <c r="D62" s="188"/>
      <c r="E62" s="188"/>
      <c r="F62" s="188">
        <f t="shared" si="96"/>
        <v>10000</v>
      </c>
      <c r="G62" s="188">
        <f t="shared" si="96"/>
        <v>210000</v>
      </c>
      <c r="H62" s="188"/>
      <c r="I62" s="20">
        <f t="shared" si="12"/>
        <v>210000</v>
      </c>
      <c r="J62" s="188"/>
      <c r="K62" s="20">
        <f t="shared" ref="K62:K66" si="97">I62+J62</f>
        <v>210000</v>
      </c>
      <c r="L62" s="188"/>
      <c r="M62" s="20">
        <f>M63</f>
        <v>210000</v>
      </c>
      <c r="N62" s="20">
        <f t="shared" ref="N62:O62" si="98">N63</f>
        <v>410000</v>
      </c>
      <c r="O62" s="20">
        <f t="shared" si="98"/>
        <v>620000</v>
      </c>
      <c r="Q62" s="252"/>
      <c r="R62" s="257">
        <f t="shared" ref="R62:S62" si="99">R63</f>
        <v>200000</v>
      </c>
      <c r="S62" s="257">
        <f t="shared" si="99"/>
        <v>10000</v>
      </c>
      <c r="T62" s="256">
        <f t="shared" si="8"/>
        <v>210000</v>
      </c>
      <c r="U62" s="257">
        <f t="shared" ref="U62:V62" si="100">U63</f>
        <v>200000</v>
      </c>
      <c r="V62" s="257">
        <f t="shared" si="100"/>
        <v>10000</v>
      </c>
      <c r="W62" s="256">
        <f t="shared" si="11"/>
        <v>210000</v>
      </c>
      <c r="X62" s="252"/>
      <c r="Y62" s="252"/>
    </row>
    <row r="63" spans="1:25" s="187" customFormat="1" ht="28.5" customHeight="1" x14ac:dyDescent="0.25">
      <c r="A63" s="154" t="s">
        <v>244</v>
      </c>
      <c r="B63" s="61" t="s">
        <v>245</v>
      </c>
      <c r="C63" s="188">
        <f>C64+C65+C66</f>
        <v>200000</v>
      </c>
      <c r="D63" s="188">
        <f t="shared" ref="D63:G63" si="101">D64+D65+D66</f>
        <v>0</v>
      </c>
      <c r="E63" s="188">
        <f t="shared" si="101"/>
        <v>0</v>
      </c>
      <c r="F63" s="188">
        <f t="shared" si="101"/>
        <v>10000</v>
      </c>
      <c r="G63" s="188">
        <f t="shared" si="101"/>
        <v>210000</v>
      </c>
      <c r="H63" s="188"/>
      <c r="I63" s="20">
        <f t="shared" si="12"/>
        <v>210000</v>
      </c>
      <c r="J63" s="188"/>
      <c r="K63" s="20">
        <f t="shared" si="97"/>
        <v>210000</v>
      </c>
      <c r="L63" s="188"/>
      <c r="M63" s="20">
        <f>M64+M65+M66</f>
        <v>210000</v>
      </c>
      <c r="N63" s="20">
        <f t="shared" ref="N63:O63" si="102">N64+N65+N66</f>
        <v>410000</v>
      </c>
      <c r="O63" s="20">
        <f t="shared" si="102"/>
        <v>620000</v>
      </c>
      <c r="Q63" s="252"/>
      <c r="R63" s="257">
        <f>R64+R65+R66</f>
        <v>200000</v>
      </c>
      <c r="S63" s="257">
        <f t="shared" ref="S63" si="103">S64+S65+S66</f>
        <v>10000</v>
      </c>
      <c r="T63" s="256">
        <f t="shared" si="8"/>
        <v>210000</v>
      </c>
      <c r="U63" s="257">
        <f>U64+U65+U66</f>
        <v>200000</v>
      </c>
      <c r="V63" s="257">
        <f t="shared" ref="V63" si="104">V64+V65+V66</f>
        <v>10000</v>
      </c>
      <c r="W63" s="256">
        <f t="shared" si="11"/>
        <v>210000</v>
      </c>
      <c r="X63" s="252"/>
      <c r="Y63" s="252"/>
    </row>
    <row r="64" spans="1:25" s="187" customFormat="1" ht="37.5" customHeight="1" x14ac:dyDescent="0.25">
      <c r="A64" s="154" t="s">
        <v>246</v>
      </c>
      <c r="B64" s="61" t="s">
        <v>555</v>
      </c>
      <c r="C64" s="188">
        <v>200000</v>
      </c>
      <c r="D64" s="188"/>
      <c r="E64" s="188"/>
      <c r="F64" s="188">
        <v>-200000</v>
      </c>
      <c r="G64" s="20">
        <f t="shared" si="10"/>
        <v>0</v>
      </c>
      <c r="H64" s="188"/>
      <c r="I64" s="20">
        <f t="shared" si="12"/>
        <v>0</v>
      </c>
      <c r="J64" s="188"/>
      <c r="K64" s="20">
        <f t="shared" si="97"/>
        <v>0</v>
      </c>
      <c r="L64" s="188"/>
      <c r="M64" s="20">
        <f t="shared" ref="M64:M66" si="105">K64+L64</f>
        <v>0</v>
      </c>
      <c r="N64" s="188"/>
      <c r="O64" s="20">
        <f t="shared" ref="O64:O66" si="106">M64+N64</f>
        <v>0</v>
      </c>
      <c r="Q64" s="252"/>
      <c r="R64" s="257">
        <v>200000</v>
      </c>
      <c r="S64" s="257">
        <v>-200000</v>
      </c>
      <c r="T64" s="256">
        <f t="shared" si="8"/>
        <v>0</v>
      </c>
      <c r="U64" s="257">
        <v>200000</v>
      </c>
      <c r="V64" s="257">
        <v>-200000</v>
      </c>
      <c r="W64" s="256">
        <f t="shared" si="11"/>
        <v>0</v>
      </c>
      <c r="X64" s="252"/>
      <c r="Y64" s="252"/>
    </row>
    <row r="65" spans="1:25" s="187" customFormat="1" ht="37.5" customHeight="1" x14ac:dyDescent="0.25">
      <c r="A65" s="154" t="s">
        <v>246</v>
      </c>
      <c r="B65" s="61" t="s">
        <v>554</v>
      </c>
      <c r="C65" s="188"/>
      <c r="D65" s="188"/>
      <c r="E65" s="188"/>
      <c r="F65" s="188">
        <v>10000</v>
      </c>
      <c r="G65" s="20">
        <f t="shared" si="10"/>
        <v>10000</v>
      </c>
      <c r="H65" s="188"/>
      <c r="I65" s="20">
        <f t="shared" si="12"/>
        <v>10000</v>
      </c>
      <c r="J65" s="188"/>
      <c r="K65" s="20">
        <f t="shared" si="97"/>
        <v>10000</v>
      </c>
      <c r="L65" s="188"/>
      <c r="M65" s="20">
        <f t="shared" si="105"/>
        <v>10000</v>
      </c>
      <c r="N65" s="188">
        <v>10000</v>
      </c>
      <c r="O65" s="20">
        <f t="shared" si="106"/>
        <v>20000</v>
      </c>
      <c r="Q65" s="252"/>
      <c r="R65" s="257"/>
      <c r="S65" s="257">
        <v>10000</v>
      </c>
      <c r="T65" s="256">
        <f t="shared" si="8"/>
        <v>10000</v>
      </c>
      <c r="U65" s="257"/>
      <c r="V65" s="257">
        <v>10000</v>
      </c>
      <c r="W65" s="256">
        <f t="shared" si="11"/>
        <v>10000</v>
      </c>
      <c r="X65" s="252"/>
      <c r="Y65" s="252"/>
    </row>
    <row r="66" spans="1:25" s="187" customFormat="1" ht="37.5" customHeight="1" x14ac:dyDescent="0.25">
      <c r="A66" s="154" t="s">
        <v>556</v>
      </c>
      <c r="B66" s="61" t="s">
        <v>557</v>
      </c>
      <c r="C66" s="188"/>
      <c r="D66" s="188"/>
      <c r="E66" s="188"/>
      <c r="F66" s="188">
        <v>200000</v>
      </c>
      <c r="G66" s="20">
        <f t="shared" si="10"/>
        <v>200000</v>
      </c>
      <c r="H66" s="188"/>
      <c r="I66" s="20">
        <f t="shared" si="12"/>
        <v>200000</v>
      </c>
      <c r="J66" s="188"/>
      <c r="K66" s="20">
        <f t="shared" si="97"/>
        <v>200000</v>
      </c>
      <c r="L66" s="188"/>
      <c r="M66" s="20">
        <f t="shared" si="105"/>
        <v>200000</v>
      </c>
      <c r="N66" s="188">
        <v>400000</v>
      </c>
      <c r="O66" s="20">
        <f t="shared" si="106"/>
        <v>600000</v>
      </c>
      <c r="Q66" s="252"/>
      <c r="R66" s="257"/>
      <c r="S66" s="257">
        <v>200000</v>
      </c>
      <c r="T66" s="256">
        <f>R66+S66</f>
        <v>200000</v>
      </c>
      <c r="U66" s="257"/>
      <c r="V66" s="257">
        <v>200000</v>
      </c>
      <c r="W66" s="256">
        <f t="shared" si="11"/>
        <v>200000</v>
      </c>
      <c r="X66" s="252"/>
      <c r="Y66" s="252"/>
    </row>
    <row r="67" spans="1:25" s="187" customFormat="1" ht="17.25" customHeight="1" x14ac:dyDescent="0.25">
      <c r="A67" s="155" t="s">
        <v>247</v>
      </c>
      <c r="B67" s="67" t="s">
        <v>248</v>
      </c>
      <c r="C67" s="11">
        <f>C68+C70+C76+C78+C81+C82</f>
        <v>250000</v>
      </c>
      <c r="D67" s="11"/>
      <c r="E67" s="11"/>
      <c r="F67" s="11">
        <f>F68+F70+F76+F78+F81+F82</f>
        <v>0</v>
      </c>
      <c r="G67" s="11">
        <f>G68+G70+G76+G78+G81+G82</f>
        <v>250000</v>
      </c>
      <c r="H67" s="11">
        <f t="shared" ref="H67:K67" si="107">H68+H70+H76+H78+H81+H82</f>
        <v>0</v>
      </c>
      <c r="I67" s="11">
        <f t="shared" si="107"/>
        <v>250000</v>
      </c>
      <c r="J67" s="11">
        <f t="shared" si="107"/>
        <v>0</v>
      </c>
      <c r="K67" s="11">
        <f t="shared" si="107"/>
        <v>250000</v>
      </c>
      <c r="L67" s="11">
        <f>L68+L70+L76+L78+L81+L82</f>
        <v>0</v>
      </c>
      <c r="M67" s="11">
        <f>M68+M70+M71+M73+M76+M78+M79+M81+M82</f>
        <v>250000</v>
      </c>
      <c r="N67" s="11">
        <f t="shared" ref="N67:O67" si="108">N68+N70+N71+N73+N76+N78+N79+N81+N82</f>
        <v>467100</v>
      </c>
      <c r="O67" s="11">
        <f t="shared" si="108"/>
        <v>717100</v>
      </c>
      <c r="Q67" s="252"/>
      <c r="R67" s="259">
        <f>R68+R70+R76+R78+R81+R82</f>
        <v>251000</v>
      </c>
      <c r="S67" s="259">
        <f>S68+S70+S76+S78+S81+S82</f>
        <v>0</v>
      </c>
      <c r="T67" s="259">
        <f t="shared" ref="T67:W67" si="109">T68+T70+T76+T78+T81+T82</f>
        <v>251000</v>
      </c>
      <c r="U67" s="259">
        <f t="shared" si="109"/>
        <v>251000</v>
      </c>
      <c r="V67" s="259">
        <f t="shared" si="109"/>
        <v>0</v>
      </c>
      <c r="W67" s="259">
        <f t="shared" si="109"/>
        <v>251000</v>
      </c>
      <c r="X67" s="252"/>
      <c r="Y67" s="252"/>
    </row>
    <row r="68" spans="1:25" s="187" customFormat="1" ht="23.25" customHeight="1" x14ac:dyDescent="0.25">
      <c r="A68" s="154" t="s">
        <v>249</v>
      </c>
      <c r="B68" s="61" t="s">
        <v>250</v>
      </c>
      <c r="C68" s="188">
        <f>C69</f>
        <v>4000</v>
      </c>
      <c r="D68" s="188"/>
      <c r="E68" s="188"/>
      <c r="F68" s="188">
        <f t="shared" ref="F68:O68" si="110">F69</f>
        <v>0</v>
      </c>
      <c r="G68" s="188">
        <f t="shared" si="110"/>
        <v>4000</v>
      </c>
      <c r="H68" s="188">
        <f t="shared" si="110"/>
        <v>0</v>
      </c>
      <c r="I68" s="2">
        <f t="shared" si="110"/>
        <v>4000</v>
      </c>
      <c r="J68" s="188">
        <f t="shared" si="110"/>
        <v>0</v>
      </c>
      <c r="K68" s="2">
        <f t="shared" si="110"/>
        <v>4000</v>
      </c>
      <c r="L68" s="188">
        <f t="shared" si="110"/>
        <v>0</v>
      </c>
      <c r="M68" s="2">
        <f t="shared" si="110"/>
        <v>4000</v>
      </c>
      <c r="N68" s="188">
        <f t="shared" si="110"/>
        <v>400</v>
      </c>
      <c r="O68" s="2">
        <f t="shared" si="110"/>
        <v>4400</v>
      </c>
      <c r="R68" s="188">
        <f>R69</f>
        <v>4000</v>
      </c>
      <c r="S68" s="188">
        <f t="shared" ref="S68" si="111">S69</f>
        <v>0</v>
      </c>
      <c r="T68" s="20">
        <f t="shared" ref="T68:T142" si="112">R68+S68</f>
        <v>4000</v>
      </c>
      <c r="U68" s="188">
        <f>U69</f>
        <v>4000</v>
      </c>
      <c r="V68" s="188">
        <f t="shared" ref="V68" si="113">V69</f>
        <v>0</v>
      </c>
      <c r="W68" s="20">
        <f t="shared" si="11"/>
        <v>4000</v>
      </c>
    </row>
    <row r="69" spans="1:25" s="187" customFormat="1" ht="48.75" customHeight="1" x14ac:dyDescent="0.25">
      <c r="A69" s="154" t="s">
        <v>251</v>
      </c>
      <c r="B69" s="61" t="s">
        <v>517</v>
      </c>
      <c r="C69" s="188">
        <v>4000</v>
      </c>
      <c r="D69" s="188"/>
      <c r="E69" s="188"/>
      <c r="F69" s="188"/>
      <c r="G69" s="20">
        <f t="shared" si="10"/>
        <v>4000</v>
      </c>
      <c r="H69" s="188"/>
      <c r="I69" s="20">
        <f t="shared" si="12"/>
        <v>4000</v>
      </c>
      <c r="J69" s="188"/>
      <c r="K69" s="20">
        <f t="shared" ref="K69:K70" si="114">I69+J69</f>
        <v>4000</v>
      </c>
      <c r="L69" s="188"/>
      <c r="M69" s="20">
        <f t="shared" ref="M69:M70" si="115">K69+L69</f>
        <v>4000</v>
      </c>
      <c r="N69" s="188">
        <v>400</v>
      </c>
      <c r="O69" s="20">
        <f t="shared" ref="O69:O70" si="116">M69+N69</f>
        <v>4400</v>
      </c>
      <c r="R69" s="188">
        <v>4000</v>
      </c>
      <c r="S69" s="188"/>
      <c r="T69" s="20">
        <f t="shared" si="112"/>
        <v>4000</v>
      </c>
      <c r="U69" s="188">
        <v>4000</v>
      </c>
      <c r="V69" s="188"/>
      <c r="W69" s="20">
        <f t="shared" si="11"/>
        <v>4000</v>
      </c>
    </row>
    <row r="70" spans="1:25" s="187" customFormat="1" ht="38.25" customHeight="1" x14ac:dyDescent="0.25">
      <c r="A70" s="272" t="s">
        <v>252</v>
      </c>
      <c r="B70" s="273" t="s">
        <v>356</v>
      </c>
      <c r="C70" s="191">
        <v>25000</v>
      </c>
      <c r="D70" s="191"/>
      <c r="E70" s="191"/>
      <c r="F70" s="191"/>
      <c r="G70" s="20">
        <f t="shared" si="10"/>
        <v>25000</v>
      </c>
      <c r="H70" s="191"/>
      <c r="I70" s="20">
        <f t="shared" si="12"/>
        <v>25000</v>
      </c>
      <c r="J70" s="191"/>
      <c r="K70" s="20">
        <f t="shared" si="114"/>
        <v>25000</v>
      </c>
      <c r="L70" s="191"/>
      <c r="M70" s="20">
        <f t="shared" si="115"/>
        <v>25000</v>
      </c>
      <c r="N70" s="191">
        <v>-16000</v>
      </c>
      <c r="O70" s="20">
        <f t="shared" si="116"/>
        <v>9000</v>
      </c>
      <c r="R70" s="191">
        <v>25000</v>
      </c>
      <c r="S70" s="191"/>
      <c r="T70" s="20">
        <f t="shared" si="112"/>
        <v>25000</v>
      </c>
      <c r="U70" s="191">
        <v>25000</v>
      </c>
      <c r="V70" s="191"/>
      <c r="W70" s="20">
        <f t="shared" si="11"/>
        <v>25000</v>
      </c>
    </row>
    <row r="71" spans="1:25" s="187" customFormat="1" ht="36" customHeight="1" x14ac:dyDescent="0.25">
      <c r="A71" s="269" t="s">
        <v>718</v>
      </c>
      <c r="B71" s="265" t="s">
        <v>719</v>
      </c>
      <c r="C71" s="191"/>
      <c r="D71" s="191"/>
      <c r="E71" s="191"/>
      <c r="F71" s="191"/>
      <c r="G71" s="20"/>
      <c r="H71" s="191"/>
      <c r="I71" s="20"/>
      <c r="J71" s="191"/>
      <c r="K71" s="20"/>
      <c r="L71" s="191"/>
      <c r="M71" s="20"/>
      <c r="N71" s="191">
        <f>N72</f>
        <v>2000</v>
      </c>
      <c r="O71" s="191">
        <f>O72</f>
        <v>2000</v>
      </c>
      <c r="R71" s="191"/>
      <c r="S71" s="191"/>
      <c r="T71" s="20"/>
      <c r="U71" s="191"/>
      <c r="V71" s="191"/>
      <c r="W71" s="20"/>
    </row>
    <row r="72" spans="1:25" s="187" customFormat="1" ht="38.25" customHeight="1" x14ac:dyDescent="0.25">
      <c r="A72" s="269" t="s">
        <v>720</v>
      </c>
      <c r="B72" s="265" t="s">
        <v>721</v>
      </c>
      <c r="C72" s="191"/>
      <c r="D72" s="191"/>
      <c r="E72" s="191"/>
      <c r="F72" s="191"/>
      <c r="G72" s="20"/>
      <c r="H72" s="191"/>
      <c r="I72" s="20"/>
      <c r="J72" s="191"/>
      <c r="K72" s="20"/>
      <c r="L72" s="191"/>
      <c r="M72" s="20"/>
      <c r="N72" s="191">
        <v>2000</v>
      </c>
      <c r="O72" s="20">
        <f>M72+N72</f>
        <v>2000</v>
      </c>
      <c r="R72" s="191"/>
      <c r="S72" s="191"/>
      <c r="T72" s="20"/>
      <c r="U72" s="191"/>
      <c r="V72" s="191"/>
      <c r="W72" s="20"/>
    </row>
    <row r="73" spans="1:25" s="187" customFormat="1" ht="14.25" customHeight="1" x14ac:dyDescent="0.25">
      <c r="A73" s="274" t="s">
        <v>722</v>
      </c>
      <c r="B73" s="275" t="s">
        <v>723</v>
      </c>
      <c r="C73" s="191"/>
      <c r="D73" s="191"/>
      <c r="E73" s="191"/>
      <c r="F73" s="191"/>
      <c r="G73" s="20"/>
      <c r="H73" s="191"/>
      <c r="I73" s="20"/>
      <c r="J73" s="191"/>
      <c r="K73" s="20"/>
      <c r="L73" s="191"/>
      <c r="M73" s="20"/>
      <c r="N73" s="191">
        <f>N74</f>
        <v>41000</v>
      </c>
      <c r="O73" s="191">
        <f>O74</f>
        <v>41000</v>
      </c>
      <c r="R73" s="191"/>
      <c r="S73" s="191"/>
      <c r="T73" s="20"/>
      <c r="U73" s="191"/>
      <c r="V73" s="191"/>
      <c r="W73" s="20"/>
    </row>
    <row r="74" spans="1:25" s="187" customFormat="1" ht="36.75" customHeight="1" x14ac:dyDescent="0.25">
      <c r="A74" s="269" t="s">
        <v>724</v>
      </c>
      <c r="B74" s="265" t="s">
        <v>725</v>
      </c>
      <c r="C74" s="191"/>
      <c r="D74" s="191"/>
      <c r="E74" s="191"/>
      <c r="F74" s="191"/>
      <c r="G74" s="20"/>
      <c r="H74" s="191"/>
      <c r="I74" s="20"/>
      <c r="J74" s="191"/>
      <c r="K74" s="20"/>
      <c r="L74" s="191"/>
      <c r="M74" s="20"/>
      <c r="N74" s="191">
        <f>N75</f>
        <v>41000</v>
      </c>
      <c r="O74" s="191">
        <f>O75</f>
        <v>41000</v>
      </c>
      <c r="R74" s="191"/>
      <c r="S74" s="191"/>
      <c r="T74" s="20"/>
      <c r="U74" s="191"/>
      <c r="V74" s="191"/>
      <c r="W74" s="20"/>
    </row>
    <row r="75" spans="1:25" s="187" customFormat="1" ht="54.75" customHeight="1" x14ac:dyDescent="0.25">
      <c r="A75" s="269" t="s">
        <v>726</v>
      </c>
      <c r="B75" s="265" t="s">
        <v>727</v>
      </c>
      <c r="C75" s="191"/>
      <c r="D75" s="191"/>
      <c r="E75" s="191"/>
      <c r="F75" s="191"/>
      <c r="G75" s="20"/>
      <c r="H75" s="191"/>
      <c r="I75" s="20"/>
      <c r="J75" s="191"/>
      <c r="K75" s="20"/>
      <c r="L75" s="191"/>
      <c r="M75" s="20"/>
      <c r="N75" s="191">
        <v>41000</v>
      </c>
      <c r="O75" s="20">
        <f>M75+N75</f>
        <v>41000</v>
      </c>
      <c r="R75" s="191"/>
      <c r="S75" s="191"/>
      <c r="T75" s="20"/>
      <c r="U75" s="191"/>
      <c r="V75" s="191"/>
      <c r="W75" s="20"/>
    </row>
    <row r="76" spans="1:25" s="187" customFormat="1" ht="73.5" customHeight="1" x14ac:dyDescent="0.25">
      <c r="A76" s="154" t="s">
        <v>471</v>
      </c>
      <c r="B76" s="60" t="s">
        <v>472</v>
      </c>
      <c r="C76" s="188">
        <f t="shared" ref="C76:O76" si="117">C77</f>
        <v>6000</v>
      </c>
      <c r="D76" s="188"/>
      <c r="E76" s="188"/>
      <c r="F76" s="188">
        <f t="shared" si="117"/>
        <v>0</v>
      </c>
      <c r="G76" s="188">
        <f t="shared" si="117"/>
        <v>6000</v>
      </c>
      <c r="H76" s="188">
        <f t="shared" si="117"/>
        <v>0</v>
      </c>
      <c r="I76" s="2">
        <f t="shared" si="117"/>
        <v>6000</v>
      </c>
      <c r="J76" s="188">
        <f t="shared" si="117"/>
        <v>0</v>
      </c>
      <c r="K76" s="2">
        <f t="shared" si="117"/>
        <v>6000</v>
      </c>
      <c r="L76" s="188">
        <f t="shared" si="117"/>
        <v>0</v>
      </c>
      <c r="M76" s="2">
        <f t="shared" si="117"/>
        <v>6000</v>
      </c>
      <c r="N76" s="188">
        <f t="shared" si="117"/>
        <v>27000</v>
      </c>
      <c r="O76" s="2">
        <f t="shared" si="117"/>
        <v>33000</v>
      </c>
      <c r="R76" s="188">
        <f t="shared" ref="R76:S76" si="118">R77</f>
        <v>7000</v>
      </c>
      <c r="S76" s="188">
        <f t="shared" si="118"/>
        <v>0</v>
      </c>
      <c r="T76" s="20">
        <f t="shared" si="112"/>
        <v>7000</v>
      </c>
      <c r="U76" s="188">
        <f t="shared" ref="U76:V76" si="119">U77</f>
        <v>7000</v>
      </c>
      <c r="V76" s="188">
        <f t="shared" si="119"/>
        <v>0</v>
      </c>
      <c r="W76" s="20">
        <f t="shared" si="11"/>
        <v>7000</v>
      </c>
    </row>
    <row r="77" spans="1:25" s="187" customFormat="1" ht="15" customHeight="1" x14ac:dyDescent="0.25">
      <c r="A77" s="154" t="s">
        <v>253</v>
      </c>
      <c r="B77" s="61" t="s">
        <v>473</v>
      </c>
      <c r="C77" s="188">
        <v>6000</v>
      </c>
      <c r="D77" s="188"/>
      <c r="E77" s="188"/>
      <c r="F77" s="188"/>
      <c r="G77" s="20">
        <f t="shared" si="10"/>
        <v>6000</v>
      </c>
      <c r="H77" s="188"/>
      <c r="I77" s="20">
        <f t="shared" si="12"/>
        <v>6000</v>
      </c>
      <c r="J77" s="188"/>
      <c r="K77" s="20">
        <f t="shared" ref="K77:K81" si="120">I77+J77</f>
        <v>6000</v>
      </c>
      <c r="L77" s="188"/>
      <c r="M77" s="20">
        <f t="shared" ref="M77:M81" si="121">K77+L77</f>
        <v>6000</v>
      </c>
      <c r="N77" s="188">
        <v>27000</v>
      </c>
      <c r="O77" s="20">
        <f t="shared" ref="O77:O81" si="122">M77+N77</f>
        <v>33000</v>
      </c>
      <c r="R77" s="188">
        <v>7000</v>
      </c>
      <c r="S77" s="188"/>
      <c r="T77" s="20">
        <f t="shared" si="112"/>
        <v>7000</v>
      </c>
      <c r="U77" s="188">
        <v>7000</v>
      </c>
      <c r="V77" s="188"/>
      <c r="W77" s="20">
        <f t="shared" si="11"/>
        <v>7000</v>
      </c>
    </row>
    <row r="78" spans="1:25" s="187" customFormat="1" ht="36" customHeight="1" x14ac:dyDescent="0.25">
      <c r="A78" s="154" t="s">
        <v>474</v>
      </c>
      <c r="B78" s="61" t="s">
        <v>254</v>
      </c>
      <c r="C78" s="188">
        <v>60000</v>
      </c>
      <c r="D78" s="188"/>
      <c r="E78" s="188"/>
      <c r="F78" s="188"/>
      <c r="G78" s="20">
        <f t="shared" si="10"/>
        <v>60000</v>
      </c>
      <c r="H78" s="188"/>
      <c r="I78" s="20">
        <f t="shared" si="12"/>
        <v>60000</v>
      </c>
      <c r="J78" s="188"/>
      <c r="K78" s="20">
        <f t="shared" si="120"/>
        <v>60000</v>
      </c>
      <c r="L78" s="188"/>
      <c r="M78" s="20">
        <f t="shared" si="121"/>
        <v>60000</v>
      </c>
      <c r="N78" s="188">
        <v>13000</v>
      </c>
      <c r="O78" s="20">
        <f t="shared" si="122"/>
        <v>73000</v>
      </c>
      <c r="R78" s="188">
        <v>60000</v>
      </c>
      <c r="S78" s="188"/>
      <c r="T78" s="20">
        <f t="shared" si="112"/>
        <v>60000</v>
      </c>
      <c r="U78" s="188">
        <v>60000</v>
      </c>
      <c r="V78" s="188"/>
      <c r="W78" s="20">
        <f t="shared" si="11"/>
        <v>60000</v>
      </c>
    </row>
    <row r="79" spans="1:25" s="187" customFormat="1" ht="38.25" customHeight="1" x14ac:dyDescent="0.25">
      <c r="A79" s="269" t="s">
        <v>728</v>
      </c>
      <c r="B79" s="265" t="s">
        <v>729</v>
      </c>
      <c r="C79" s="188"/>
      <c r="D79" s="188"/>
      <c r="E79" s="188"/>
      <c r="F79" s="188"/>
      <c r="G79" s="20"/>
      <c r="H79" s="188"/>
      <c r="I79" s="20"/>
      <c r="J79" s="188"/>
      <c r="K79" s="20"/>
      <c r="L79" s="188"/>
      <c r="M79" s="20">
        <f>M80</f>
        <v>0</v>
      </c>
      <c r="N79" s="20">
        <f t="shared" ref="N79:O79" si="123">N80</f>
        <v>3000</v>
      </c>
      <c r="O79" s="20">
        <f t="shared" si="123"/>
        <v>3000</v>
      </c>
      <c r="R79" s="188"/>
      <c r="S79" s="188"/>
      <c r="T79" s="20"/>
      <c r="U79" s="188"/>
      <c r="V79" s="188"/>
      <c r="W79" s="20"/>
    </row>
    <row r="80" spans="1:25" s="187" customFormat="1" ht="48" customHeight="1" x14ac:dyDescent="0.25">
      <c r="A80" s="269" t="s">
        <v>730</v>
      </c>
      <c r="B80" s="265" t="s">
        <v>731</v>
      </c>
      <c r="C80" s="188"/>
      <c r="D80" s="188"/>
      <c r="E80" s="188"/>
      <c r="F80" s="188"/>
      <c r="G80" s="20"/>
      <c r="H80" s="188"/>
      <c r="I80" s="20"/>
      <c r="J80" s="188"/>
      <c r="K80" s="20"/>
      <c r="L80" s="188"/>
      <c r="M80" s="20"/>
      <c r="N80" s="188">
        <v>3000</v>
      </c>
      <c r="O80" s="20">
        <f>M80+N80</f>
        <v>3000</v>
      </c>
      <c r="R80" s="188"/>
      <c r="S80" s="188"/>
      <c r="T80" s="20"/>
      <c r="U80" s="188"/>
      <c r="V80" s="188"/>
      <c r="W80" s="20"/>
    </row>
    <row r="81" spans="1:23" s="187" customFormat="1" ht="49.5" customHeight="1" x14ac:dyDescent="0.25">
      <c r="A81" s="270" t="s">
        <v>255</v>
      </c>
      <c r="B81" s="271" t="s">
        <v>518</v>
      </c>
      <c r="C81" s="189">
        <v>20000</v>
      </c>
      <c r="D81" s="189"/>
      <c r="E81" s="189"/>
      <c r="F81" s="189"/>
      <c r="G81" s="20">
        <f t="shared" si="10"/>
        <v>20000</v>
      </c>
      <c r="H81" s="189"/>
      <c r="I81" s="20">
        <f t="shared" si="12"/>
        <v>20000</v>
      </c>
      <c r="J81" s="189"/>
      <c r="K81" s="20">
        <f t="shared" si="120"/>
        <v>20000</v>
      </c>
      <c r="L81" s="189"/>
      <c r="M81" s="20">
        <f t="shared" si="121"/>
        <v>20000</v>
      </c>
      <c r="N81" s="189">
        <v>200000</v>
      </c>
      <c r="O81" s="20">
        <f t="shared" si="122"/>
        <v>220000</v>
      </c>
      <c r="R81" s="189">
        <v>20000</v>
      </c>
      <c r="S81" s="189"/>
      <c r="T81" s="20">
        <f t="shared" si="112"/>
        <v>20000</v>
      </c>
      <c r="U81" s="189">
        <v>20000</v>
      </c>
      <c r="V81" s="189"/>
      <c r="W81" s="20">
        <f t="shared" si="11"/>
        <v>20000</v>
      </c>
    </row>
    <row r="82" spans="1:23" s="187" customFormat="1" ht="22.5" customHeight="1" x14ac:dyDescent="0.25">
      <c r="A82" s="155" t="s">
        <v>256</v>
      </c>
      <c r="B82" s="67" t="s">
        <v>257</v>
      </c>
      <c r="C82" s="193">
        <f t="shared" ref="C82:O82" si="124">C83</f>
        <v>135000</v>
      </c>
      <c r="D82" s="193"/>
      <c r="E82" s="193"/>
      <c r="F82" s="193">
        <f t="shared" si="124"/>
        <v>0</v>
      </c>
      <c r="G82" s="193">
        <f t="shared" si="124"/>
        <v>135000</v>
      </c>
      <c r="H82" s="193">
        <f t="shared" si="124"/>
        <v>0</v>
      </c>
      <c r="I82" s="70">
        <f t="shared" si="124"/>
        <v>135000</v>
      </c>
      <c r="J82" s="193">
        <f t="shared" si="124"/>
        <v>0</v>
      </c>
      <c r="K82" s="70">
        <f t="shared" si="124"/>
        <v>135000</v>
      </c>
      <c r="L82" s="193">
        <f t="shared" si="124"/>
        <v>0</v>
      </c>
      <c r="M82" s="70">
        <f t="shared" si="124"/>
        <v>135000</v>
      </c>
      <c r="N82" s="193">
        <f t="shared" si="124"/>
        <v>196700</v>
      </c>
      <c r="O82" s="70">
        <f t="shared" si="124"/>
        <v>331700</v>
      </c>
      <c r="R82" s="193">
        <f t="shared" ref="R82:W82" si="125">R83</f>
        <v>135000</v>
      </c>
      <c r="S82" s="193">
        <f t="shared" si="125"/>
        <v>0</v>
      </c>
      <c r="T82" s="193">
        <f t="shared" si="125"/>
        <v>135000</v>
      </c>
      <c r="U82" s="193">
        <f t="shared" si="125"/>
        <v>135000</v>
      </c>
      <c r="V82" s="193">
        <f t="shared" si="125"/>
        <v>0</v>
      </c>
      <c r="W82" s="193">
        <f t="shared" si="125"/>
        <v>135000</v>
      </c>
    </row>
    <row r="83" spans="1:23" s="187" customFormat="1" ht="24.75" customHeight="1" x14ac:dyDescent="0.25">
      <c r="A83" s="154" t="s">
        <v>475</v>
      </c>
      <c r="B83" s="61" t="s">
        <v>476</v>
      </c>
      <c r="C83" s="192">
        <v>135000</v>
      </c>
      <c r="D83" s="192"/>
      <c r="E83" s="192"/>
      <c r="F83" s="192"/>
      <c r="G83" s="20">
        <f t="shared" si="10"/>
        <v>135000</v>
      </c>
      <c r="H83" s="192"/>
      <c r="I83" s="20">
        <f t="shared" si="12"/>
        <v>135000</v>
      </c>
      <c r="J83" s="192"/>
      <c r="K83" s="20">
        <f t="shared" ref="K83" si="126">I83+J83</f>
        <v>135000</v>
      </c>
      <c r="L83" s="192"/>
      <c r="M83" s="20">
        <f t="shared" ref="M83" si="127">K83+L83</f>
        <v>135000</v>
      </c>
      <c r="N83" s="192">
        <v>196700</v>
      </c>
      <c r="O83" s="20">
        <f t="shared" ref="O83" si="128">M83+N83</f>
        <v>331700</v>
      </c>
      <c r="R83" s="192">
        <v>135000</v>
      </c>
      <c r="S83" s="192"/>
      <c r="T83" s="20">
        <f t="shared" si="112"/>
        <v>135000</v>
      </c>
      <c r="U83" s="192">
        <v>135000</v>
      </c>
      <c r="V83" s="192"/>
      <c r="W83" s="20">
        <f t="shared" si="11"/>
        <v>135000</v>
      </c>
    </row>
    <row r="84" spans="1:23" s="66" customFormat="1" ht="14.25" customHeight="1" x14ac:dyDescent="0.25">
      <c r="A84" s="15" t="s">
        <v>258</v>
      </c>
      <c r="B84" s="242" t="s">
        <v>259</v>
      </c>
      <c r="C84" s="70">
        <f>C85</f>
        <v>169313291</v>
      </c>
      <c r="D84" s="70"/>
      <c r="E84" s="70"/>
      <c r="F84" s="70">
        <f>F85</f>
        <v>4802500</v>
      </c>
      <c r="G84" s="70">
        <f>G85</f>
        <v>174115791</v>
      </c>
      <c r="H84" s="70">
        <f t="shared" ref="H84:O84" si="129">H85</f>
        <v>-4115019</v>
      </c>
      <c r="I84" s="70">
        <f t="shared" si="129"/>
        <v>170000772</v>
      </c>
      <c r="J84" s="70">
        <f t="shared" si="129"/>
        <v>-2547950</v>
      </c>
      <c r="K84" s="70">
        <f t="shared" si="129"/>
        <v>167452822</v>
      </c>
      <c r="L84" s="70">
        <f t="shared" si="129"/>
        <v>16088001.16</v>
      </c>
      <c r="M84" s="70">
        <f t="shared" si="129"/>
        <v>195703365.16</v>
      </c>
      <c r="N84" s="70">
        <f t="shared" si="129"/>
        <v>3862036.5</v>
      </c>
      <c r="O84" s="70">
        <f t="shared" si="129"/>
        <v>199565401.66</v>
      </c>
      <c r="R84" s="70">
        <f>R85</f>
        <v>173917680</v>
      </c>
      <c r="S84" s="70">
        <f>S85</f>
        <v>-5599900</v>
      </c>
      <c r="T84" s="70">
        <f t="shared" ref="T84:W84" si="130">T85</f>
        <v>168317780</v>
      </c>
      <c r="U84" s="70">
        <f t="shared" si="130"/>
        <v>169396673</v>
      </c>
      <c r="V84" s="70">
        <f t="shared" si="130"/>
        <v>-5153400</v>
      </c>
      <c r="W84" s="70">
        <f t="shared" si="130"/>
        <v>164243273</v>
      </c>
    </row>
    <row r="85" spans="1:23" ht="26.25" customHeight="1" x14ac:dyDescent="0.25">
      <c r="A85" s="173" t="s">
        <v>260</v>
      </c>
      <c r="B85" s="246" t="s">
        <v>261</v>
      </c>
      <c r="C85" s="20">
        <f t="shared" ref="C85:O85" si="131">C86+C91+C107+C134</f>
        <v>169313291</v>
      </c>
      <c r="D85" s="20">
        <f t="shared" si="131"/>
        <v>0</v>
      </c>
      <c r="E85" s="20">
        <f t="shared" si="131"/>
        <v>0</v>
      </c>
      <c r="F85" s="20">
        <f t="shared" si="131"/>
        <v>4802500</v>
      </c>
      <c r="G85" s="20">
        <f t="shared" si="131"/>
        <v>174115791</v>
      </c>
      <c r="H85" s="20">
        <f t="shared" si="131"/>
        <v>-4115019</v>
      </c>
      <c r="I85" s="20">
        <f t="shared" si="131"/>
        <v>170000772</v>
      </c>
      <c r="J85" s="20">
        <f t="shared" si="131"/>
        <v>-2547950</v>
      </c>
      <c r="K85" s="20">
        <f t="shared" si="131"/>
        <v>167452822</v>
      </c>
      <c r="L85" s="20">
        <f t="shared" si="131"/>
        <v>16088001.16</v>
      </c>
      <c r="M85" s="20">
        <f t="shared" si="131"/>
        <v>195703365.16</v>
      </c>
      <c r="N85" s="20">
        <f t="shared" si="131"/>
        <v>3862036.5</v>
      </c>
      <c r="O85" s="20">
        <f t="shared" si="131"/>
        <v>199565401.66</v>
      </c>
      <c r="R85" s="20">
        <f t="shared" ref="R85:W85" si="132">R86+R91+R107+R134</f>
        <v>173917680</v>
      </c>
      <c r="S85" s="20">
        <f t="shared" si="132"/>
        <v>-5599900</v>
      </c>
      <c r="T85" s="20">
        <f t="shared" si="132"/>
        <v>168317780</v>
      </c>
      <c r="U85" s="20">
        <f t="shared" si="132"/>
        <v>169396673</v>
      </c>
      <c r="V85" s="20">
        <f t="shared" si="132"/>
        <v>-5153400</v>
      </c>
      <c r="W85" s="20">
        <f t="shared" si="132"/>
        <v>164243273</v>
      </c>
    </row>
    <row r="86" spans="1:23" s="66" customFormat="1" ht="26.25" hidden="1" customHeight="1" x14ac:dyDescent="0.25">
      <c r="A86" s="15" t="s">
        <v>262</v>
      </c>
      <c r="B86" s="242" t="s">
        <v>263</v>
      </c>
      <c r="C86" s="70">
        <f>C87+C89</f>
        <v>42807000</v>
      </c>
      <c r="D86" s="70"/>
      <c r="E86" s="70"/>
      <c r="F86" s="70">
        <f>F87+F89</f>
        <v>0</v>
      </c>
      <c r="G86" s="70">
        <f>G87+G89</f>
        <v>42807000</v>
      </c>
      <c r="H86" s="70">
        <f t="shared" ref="H86:O86" si="133">H87+H89</f>
        <v>-4080700</v>
      </c>
      <c r="I86" s="70">
        <f t="shared" si="133"/>
        <v>38726300</v>
      </c>
      <c r="J86" s="70">
        <f t="shared" si="133"/>
        <v>10000</v>
      </c>
      <c r="K86" s="70">
        <f t="shared" si="133"/>
        <v>38736300</v>
      </c>
      <c r="L86" s="70">
        <f t="shared" si="133"/>
        <v>1176182</v>
      </c>
      <c r="M86" s="70">
        <f t="shared" si="133"/>
        <v>39912482</v>
      </c>
      <c r="N86" s="70">
        <f t="shared" si="133"/>
        <v>0</v>
      </c>
      <c r="O86" s="70">
        <f t="shared" si="133"/>
        <v>39912482</v>
      </c>
      <c r="R86" s="70">
        <f>R87+R89</f>
        <v>43210000</v>
      </c>
      <c r="S86" s="70">
        <f>S87+S89</f>
        <v>-4321000</v>
      </c>
      <c r="T86" s="70">
        <f t="shared" ref="T86:W86" si="134">T87+T89</f>
        <v>38889000</v>
      </c>
      <c r="U86" s="70">
        <f t="shared" si="134"/>
        <v>42695000</v>
      </c>
      <c r="V86" s="70">
        <f t="shared" si="134"/>
        <v>-4269500</v>
      </c>
      <c r="W86" s="70">
        <f t="shared" si="134"/>
        <v>38425500</v>
      </c>
    </row>
    <row r="87" spans="1:23" ht="14.25" hidden="1" customHeight="1" x14ac:dyDescent="0.25">
      <c r="A87" s="173" t="s">
        <v>264</v>
      </c>
      <c r="B87" s="246" t="s">
        <v>265</v>
      </c>
      <c r="C87" s="20">
        <f>C88</f>
        <v>25898000</v>
      </c>
      <c r="D87" s="20"/>
      <c r="E87" s="20"/>
      <c r="F87" s="20">
        <f>F88</f>
        <v>0</v>
      </c>
      <c r="G87" s="20">
        <f>G88</f>
        <v>25898000</v>
      </c>
      <c r="H87" s="20">
        <f t="shared" ref="H87:O87" si="135">H88</f>
        <v>-2589800</v>
      </c>
      <c r="I87" s="20">
        <f t="shared" si="135"/>
        <v>23308200</v>
      </c>
      <c r="J87" s="20">
        <f t="shared" si="135"/>
        <v>0</v>
      </c>
      <c r="K87" s="20">
        <f t="shared" si="135"/>
        <v>23308200</v>
      </c>
      <c r="L87" s="20">
        <f t="shared" si="135"/>
        <v>0</v>
      </c>
      <c r="M87" s="20">
        <f t="shared" si="135"/>
        <v>23308200</v>
      </c>
      <c r="N87" s="20">
        <f t="shared" si="135"/>
        <v>0</v>
      </c>
      <c r="O87" s="20">
        <f t="shared" si="135"/>
        <v>23308200</v>
      </c>
      <c r="R87" s="20">
        <f>R88</f>
        <v>29582000</v>
      </c>
      <c r="S87" s="20">
        <f>S88</f>
        <v>-2958200</v>
      </c>
      <c r="T87" s="20">
        <f t="shared" si="112"/>
        <v>26623800</v>
      </c>
      <c r="U87" s="20">
        <f>U88</f>
        <v>34165000</v>
      </c>
      <c r="V87" s="20">
        <f>V88</f>
        <v>-3416500</v>
      </c>
      <c r="W87" s="20">
        <f t="shared" si="11"/>
        <v>30748500</v>
      </c>
    </row>
    <row r="88" spans="1:23" ht="27" hidden="1" customHeight="1" x14ac:dyDescent="0.25">
      <c r="A88" s="173" t="s">
        <v>266</v>
      </c>
      <c r="B88" s="246" t="s">
        <v>267</v>
      </c>
      <c r="C88" s="20">
        <v>25898000</v>
      </c>
      <c r="D88" s="20"/>
      <c r="E88" s="20"/>
      <c r="F88" s="20"/>
      <c r="G88" s="20">
        <f t="shared" si="10"/>
        <v>25898000</v>
      </c>
      <c r="H88" s="20">
        <v>-2589800</v>
      </c>
      <c r="I88" s="20">
        <f t="shared" si="12"/>
        <v>23308200</v>
      </c>
      <c r="J88" s="20"/>
      <c r="K88" s="20">
        <f t="shared" ref="K88" si="136">I88+J88</f>
        <v>23308200</v>
      </c>
      <c r="L88" s="20"/>
      <c r="M88" s="20">
        <f t="shared" ref="M88" si="137">K88+L88</f>
        <v>23308200</v>
      </c>
      <c r="N88" s="20"/>
      <c r="O88" s="20">
        <f t="shared" ref="O88" si="138">M88+N88</f>
        <v>23308200</v>
      </c>
      <c r="R88" s="20">
        <v>29582000</v>
      </c>
      <c r="S88" s="20">
        <v>-2958200</v>
      </c>
      <c r="T88" s="20">
        <f t="shared" si="112"/>
        <v>26623800</v>
      </c>
      <c r="U88" s="20">
        <v>34165000</v>
      </c>
      <c r="V88" s="20">
        <v>-3416500</v>
      </c>
      <c r="W88" s="20">
        <f t="shared" si="11"/>
        <v>30748500</v>
      </c>
    </row>
    <row r="89" spans="1:23" ht="24.75" hidden="1" customHeight="1" x14ac:dyDescent="0.25">
      <c r="A89" s="173" t="s">
        <v>268</v>
      </c>
      <c r="B89" s="246" t="s">
        <v>269</v>
      </c>
      <c r="C89" s="20">
        <f>C90</f>
        <v>16909000</v>
      </c>
      <c r="D89" s="20"/>
      <c r="E89" s="20"/>
      <c r="F89" s="20">
        <f>F90</f>
        <v>0</v>
      </c>
      <c r="G89" s="20">
        <f>G90</f>
        <v>16909000</v>
      </c>
      <c r="H89" s="20">
        <f t="shared" ref="H89:O89" si="139">H90</f>
        <v>-1490900</v>
      </c>
      <c r="I89" s="20">
        <f t="shared" si="139"/>
        <v>15418100</v>
      </c>
      <c r="J89" s="20">
        <f t="shared" si="139"/>
        <v>10000</v>
      </c>
      <c r="K89" s="20">
        <f t="shared" si="139"/>
        <v>15428100</v>
      </c>
      <c r="L89" s="20">
        <f t="shared" si="139"/>
        <v>1176182</v>
      </c>
      <c r="M89" s="20">
        <f t="shared" si="139"/>
        <v>16604282</v>
      </c>
      <c r="N89" s="20">
        <f t="shared" si="139"/>
        <v>0</v>
      </c>
      <c r="O89" s="20">
        <f t="shared" si="139"/>
        <v>16604282</v>
      </c>
      <c r="R89" s="20">
        <f>R90</f>
        <v>13628000</v>
      </c>
      <c r="S89" s="20">
        <f>S90</f>
        <v>-1362800</v>
      </c>
      <c r="T89" s="20">
        <f t="shared" si="112"/>
        <v>12265200</v>
      </c>
      <c r="U89" s="20">
        <f>U90</f>
        <v>8530000</v>
      </c>
      <c r="V89" s="20">
        <f>V90</f>
        <v>-853000</v>
      </c>
      <c r="W89" s="20">
        <f t="shared" si="11"/>
        <v>7677000</v>
      </c>
    </row>
    <row r="90" spans="1:23" ht="24.75" hidden="1" customHeight="1" x14ac:dyDescent="0.25">
      <c r="A90" s="173" t="s">
        <v>270</v>
      </c>
      <c r="B90" s="246" t="s">
        <v>271</v>
      </c>
      <c r="C90" s="20">
        <v>16909000</v>
      </c>
      <c r="D90" s="20"/>
      <c r="E90" s="20"/>
      <c r="F90" s="20"/>
      <c r="G90" s="20">
        <f t="shared" si="10"/>
        <v>16909000</v>
      </c>
      <c r="H90" s="20">
        <f>-1690900+200000</f>
        <v>-1490900</v>
      </c>
      <c r="I90" s="20">
        <f t="shared" si="12"/>
        <v>15418100</v>
      </c>
      <c r="J90" s="20">
        <v>10000</v>
      </c>
      <c r="K90" s="20">
        <f t="shared" ref="K90" si="140">I90+J90</f>
        <v>15428100</v>
      </c>
      <c r="L90" s="20">
        <v>1176182</v>
      </c>
      <c r="M90" s="20">
        <f t="shared" ref="M90" si="141">K90+L90</f>
        <v>16604282</v>
      </c>
      <c r="N90" s="20"/>
      <c r="O90" s="20">
        <f t="shared" ref="O90" si="142">M90+N90</f>
        <v>16604282</v>
      </c>
      <c r="R90" s="20">
        <v>13628000</v>
      </c>
      <c r="S90" s="20">
        <v>-1362800</v>
      </c>
      <c r="T90" s="20">
        <f t="shared" si="112"/>
        <v>12265200</v>
      </c>
      <c r="U90" s="20">
        <v>8530000</v>
      </c>
      <c r="V90" s="20">
        <f>-853000</f>
        <v>-853000</v>
      </c>
      <c r="W90" s="20">
        <f t="shared" ref="W90:W136" si="143">U90+V90</f>
        <v>7677000</v>
      </c>
    </row>
    <row r="91" spans="1:23" ht="27.75" customHeight="1" x14ac:dyDescent="0.25">
      <c r="A91" s="181" t="s">
        <v>566</v>
      </c>
      <c r="B91" s="182" t="s">
        <v>567</v>
      </c>
      <c r="C91" s="70">
        <f>C96</f>
        <v>0</v>
      </c>
      <c r="D91" s="70">
        <f t="shared" ref="D91:F91" si="144">D96</f>
        <v>0</v>
      </c>
      <c r="E91" s="70">
        <f t="shared" si="144"/>
        <v>0</v>
      </c>
      <c r="F91" s="70">
        <f t="shared" si="144"/>
        <v>4802500</v>
      </c>
      <c r="G91" s="70">
        <f>G96+G102</f>
        <v>4802500</v>
      </c>
      <c r="H91" s="70">
        <f>H96+H102</f>
        <v>808050</v>
      </c>
      <c r="I91" s="70">
        <f>I96+I102</f>
        <v>5610550</v>
      </c>
      <c r="J91" s="70">
        <f>J96+J102</f>
        <v>-3770000</v>
      </c>
      <c r="K91" s="70">
        <f>K92+K94+K96+K102</f>
        <v>1840550</v>
      </c>
      <c r="L91" s="70">
        <f t="shared" ref="L91:O91" si="145">L92+L94+L96+L102</f>
        <v>14605820</v>
      </c>
      <c r="M91" s="70">
        <f t="shared" si="145"/>
        <v>16446370</v>
      </c>
      <c r="N91" s="70">
        <f t="shared" si="145"/>
        <v>1381135.5</v>
      </c>
      <c r="O91" s="70">
        <f t="shared" si="145"/>
        <v>17827505.5</v>
      </c>
      <c r="R91" s="70">
        <f>R96</f>
        <v>0</v>
      </c>
      <c r="S91" s="70">
        <f t="shared" ref="S91:W91" si="146">S96</f>
        <v>0</v>
      </c>
      <c r="T91" s="70">
        <f t="shared" si="146"/>
        <v>0</v>
      </c>
      <c r="U91" s="70">
        <f t="shared" si="146"/>
        <v>0</v>
      </c>
      <c r="V91" s="70">
        <f t="shared" si="146"/>
        <v>0</v>
      </c>
      <c r="W91" s="70">
        <f t="shared" si="146"/>
        <v>0</v>
      </c>
    </row>
    <row r="92" spans="1:23" ht="26.25" customHeight="1" x14ac:dyDescent="0.25">
      <c r="A92" s="222" t="s">
        <v>568</v>
      </c>
      <c r="B92" s="251" t="s">
        <v>569</v>
      </c>
      <c r="C92" s="20"/>
      <c r="D92" s="20"/>
      <c r="E92" s="20"/>
      <c r="F92" s="20"/>
      <c r="G92" s="20"/>
      <c r="H92" s="20"/>
      <c r="I92" s="20"/>
      <c r="J92" s="20"/>
      <c r="K92" s="20">
        <f>K93</f>
        <v>0</v>
      </c>
      <c r="L92" s="20">
        <f t="shared" ref="L92:O92" si="147">L93</f>
        <v>2136420</v>
      </c>
      <c r="M92" s="20">
        <f t="shared" si="147"/>
        <v>2136420</v>
      </c>
      <c r="N92" s="20">
        <f t="shared" si="147"/>
        <v>267052.5</v>
      </c>
      <c r="O92" s="20">
        <f t="shared" si="147"/>
        <v>2403472.5</v>
      </c>
      <c r="R92" s="20"/>
      <c r="S92" s="20"/>
      <c r="T92" s="20">
        <f t="shared" si="112"/>
        <v>0</v>
      </c>
      <c r="U92" s="20"/>
      <c r="V92" s="20"/>
      <c r="W92" s="20">
        <f t="shared" si="143"/>
        <v>0</v>
      </c>
    </row>
    <row r="93" spans="1:23" ht="24.75" customHeight="1" x14ac:dyDescent="0.25">
      <c r="A93" s="222" t="s">
        <v>362</v>
      </c>
      <c r="B93" s="251" t="s">
        <v>570</v>
      </c>
      <c r="C93" s="20"/>
      <c r="D93" s="20"/>
      <c r="E93" s="20"/>
      <c r="F93" s="20"/>
      <c r="G93" s="20"/>
      <c r="H93" s="20"/>
      <c r="I93" s="20"/>
      <c r="J93" s="20"/>
      <c r="K93" s="20"/>
      <c r="L93" s="20">
        <v>2136420</v>
      </c>
      <c r="M93" s="20">
        <f>K93+L93</f>
        <v>2136420</v>
      </c>
      <c r="N93" s="20">
        <v>267052.5</v>
      </c>
      <c r="O93" s="20">
        <f>M93+N93</f>
        <v>2403472.5</v>
      </c>
      <c r="R93" s="20"/>
      <c r="S93" s="20"/>
      <c r="T93" s="20">
        <f t="shared" si="112"/>
        <v>0</v>
      </c>
      <c r="U93" s="20"/>
      <c r="V93" s="20"/>
      <c r="W93" s="20">
        <f t="shared" si="143"/>
        <v>0</v>
      </c>
    </row>
    <row r="94" spans="1:23" ht="24.75" customHeight="1" x14ac:dyDescent="0.25">
      <c r="A94" s="222" t="s">
        <v>571</v>
      </c>
      <c r="B94" s="251" t="s">
        <v>572</v>
      </c>
      <c r="C94" s="20"/>
      <c r="D94" s="20"/>
      <c r="E94" s="20"/>
      <c r="F94" s="20"/>
      <c r="G94" s="20"/>
      <c r="H94" s="20"/>
      <c r="I94" s="20"/>
      <c r="J94" s="20"/>
      <c r="K94" s="20"/>
      <c r="L94" s="20"/>
      <c r="M94" s="20">
        <f t="shared" ref="M94:O94" si="148">M95</f>
        <v>0</v>
      </c>
      <c r="N94" s="20">
        <f t="shared" si="148"/>
        <v>1080000</v>
      </c>
      <c r="O94" s="20">
        <f t="shared" si="148"/>
        <v>1080000</v>
      </c>
      <c r="R94" s="20"/>
      <c r="S94" s="20"/>
      <c r="T94" s="20">
        <f t="shared" si="112"/>
        <v>0</v>
      </c>
      <c r="U94" s="20"/>
      <c r="V94" s="20"/>
      <c r="W94" s="20">
        <f t="shared" si="143"/>
        <v>0</v>
      </c>
    </row>
    <row r="95" spans="1:23" ht="24.75" customHeight="1" x14ac:dyDescent="0.25">
      <c r="A95" s="222" t="s">
        <v>363</v>
      </c>
      <c r="B95" s="251" t="s">
        <v>364</v>
      </c>
      <c r="C95" s="20"/>
      <c r="D95" s="20"/>
      <c r="E95" s="20"/>
      <c r="F95" s="20"/>
      <c r="G95" s="20"/>
      <c r="H95" s="20"/>
      <c r="I95" s="20"/>
      <c r="J95" s="20"/>
      <c r="K95" s="20"/>
      <c r="L95" s="20"/>
      <c r="M95" s="20"/>
      <c r="N95" s="20">
        <f>80000+1000000</f>
        <v>1080000</v>
      </c>
      <c r="O95" s="20">
        <f>M95+N95</f>
        <v>1080000</v>
      </c>
      <c r="R95" s="20"/>
      <c r="S95" s="20"/>
      <c r="T95" s="20">
        <f t="shared" si="112"/>
        <v>0</v>
      </c>
      <c r="U95" s="20"/>
      <c r="V95" s="20"/>
      <c r="W95" s="20">
        <f t="shared" si="143"/>
        <v>0</v>
      </c>
    </row>
    <row r="96" spans="1:23" ht="24.75" customHeight="1" x14ac:dyDescent="0.25">
      <c r="A96" s="222" t="s">
        <v>573</v>
      </c>
      <c r="B96" s="251" t="s">
        <v>574</v>
      </c>
      <c r="C96" s="20">
        <f>C97</f>
        <v>0</v>
      </c>
      <c r="D96" s="20">
        <f t="shared" ref="D96:O96" si="149">D97</f>
        <v>0</v>
      </c>
      <c r="E96" s="20">
        <f t="shared" si="149"/>
        <v>0</v>
      </c>
      <c r="F96" s="20">
        <f t="shared" si="149"/>
        <v>4802500</v>
      </c>
      <c r="G96" s="20">
        <f t="shared" si="149"/>
        <v>4802500</v>
      </c>
      <c r="H96" s="20">
        <f t="shared" si="149"/>
        <v>0</v>
      </c>
      <c r="I96" s="20">
        <f t="shared" si="149"/>
        <v>4802500</v>
      </c>
      <c r="J96" s="20">
        <f t="shared" si="149"/>
        <v>-4017500</v>
      </c>
      <c r="K96" s="20">
        <f t="shared" si="149"/>
        <v>785000</v>
      </c>
      <c r="L96" s="20">
        <f t="shared" si="149"/>
        <v>12469400</v>
      </c>
      <c r="M96" s="20">
        <f t="shared" si="149"/>
        <v>13254400</v>
      </c>
      <c r="N96" s="20">
        <f t="shared" si="149"/>
        <v>-207</v>
      </c>
      <c r="O96" s="20">
        <f t="shared" si="149"/>
        <v>13254193</v>
      </c>
      <c r="R96" s="20">
        <f>R97</f>
        <v>0</v>
      </c>
      <c r="S96" s="20">
        <f t="shared" ref="S96" si="150">S97</f>
        <v>0</v>
      </c>
      <c r="T96" s="20">
        <f t="shared" si="112"/>
        <v>0</v>
      </c>
      <c r="U96" s="20">
        <f>U97</f>
        <v>0</v>
      </c>
      <c r="V96" s="20">
        <f t="shared" ref="V96" si="151">V97</f>
        <v>0</v>
      </c>
      <c r="W96" s="20">
        <f t="shared" si="143"/>
        <v>0</v>
      </c>
    </row>
    <row r="97" spans="1:23" ht="27" customHeight="1" x14ac:dyDescent="0.25">
      <c r="A97" s="222" t="s">
        <v>365</v>
      </c>
      <c r="B97" s="251" t="s">
        <v>575</v>
      </c>
      <c r="C97" s="20">
        <f>C98+C99</f>
        <v>0</v>
      </c>
      <c r="D97" s="20">
        <f t="shared" ref="D97:J97" si="152">D98+D99</f>
        <v>0</v>
      </c>
      <c r="E97" s="20">
        <f t="shared" si="152"/>
        <v>0</v>
      </c>
      <c r="F97" s="20">
        <f t="shared" si="152"/>
        <v>4802500</v>
      </c>
      <c r="G97" s="20">
        <f t="shared" si="152"/>
        <v>4802500</v>
      </c>
      <c r="H97" s="20">
        <f t="shared" si="152"/>
        <v>0</v>
      </c>
      <c r="I97" s="20">
        <f t="shared" si="152"/>
        <v>4802500</v>
      </c>
      <c r="J97" s="20">
        <f t="shared" si="152"/>
        <v>-4017500</v>
      </c>
      <c r="K97" s="20">
        <f>K98+K99+K100+K101</f>
        <v>785000</v>
      </c>
      <c r="L97" s="20">
        <f t="shared" ref="L97:O97" si="153">L98+L99+L100+L101</f>
        <v>12469400</v>
      </c>
      <c r="M97" s="20">
        <f t="shared" si="153"/>
        <v>13254400</v>
      </c>
      <c r="N97" s="20">
        <f t="shared" si="153"/>
        <v>-207</v>
      </c>
      <c r="O97" s="20">
        <f t="shared" si="153"/>
        <v>13254193</v>
      </c>
      <c r="R97" s="20">
        <f>R98+R99</f>
        <v>0</v>
      </c>
      <c r="S97" s="20">
        <f t="shared" ref="S97" si="154">S98+S99</f>
        <v>0</v>
      </c>
      <c r="T97" s="20">
        <f t="shared" si="112"/>
        <v>0</v>
      </c>
      <c r="U97" s="20">
        <f>U98+U99</f>
        <v>0</v>
      </c>
      <c r="V97" s="20">
        <f t="shared" ref="V97" si="155">V98+V99</f>
        <v>0</v>
      </c>
      <c r="W97" s="20">
        <f t="shared" si="143"/>
        <v>0</v>
      </c>
    </row>
    <row r="98" spans="1:23" ht="18" hidden="1" customHeight="1" x14ac:dyDescent="0.25">
      <c r="A98" s="222"/>
      <c r="B98" s="251" t="s">
        <v>576</v>
      </c>
      <c r="C98" s="20"/>
      <c r="D98" s="20"/>
      <c r="E98" s="20"/>
      <c r="F98" s="20">
        <v>4517500</v>
      </c>
      <c r="G98" s="20">
        <f>C98+F98</f>
        <v>4517500</v>
      </c>
      <c r="H98" s="20"/>
      <c r="I98" s="20">
        <f t="shared" ref="I98:I142" si="156">G98+H98</f>
        <v>4517500</v>
      </c>
      <c r="J98" s="20">
        <v>-4017500</v>
      </c>
      <c r="K98" s="20">
        <f t="shared" ref="K98:K99" si="157">I98+J98</f>
        <v>500000</v>
      </c>
      <c r="L98" s="20">
        <v>11500000</v>
      </c>
      <c r="M98" s="20">
        <f t="shared" ref="M98:M101" si="158">K98+L98</f>
        <v>12000000</v>
      </c>
      <c r="N98" s="20"/>
      <c r="O98" s="20">
        <f t="shared" ref="O98:O101" si="159">M98+N98</f>
        <v>12000000</v>
      </c>
      <c r="R98" s="20"/>
      <c r="S98" s="20"/>
      <c r="T98" s="20">
        <f t="shared" si="112"/>
        <v>0</v>
      </c>
      <c r="U98" s="20"/>
      <c r="V98" s="20"/>
      <c r="W98" s="20">
        <f t="shared" si="143"/>
        <v>0</v>
      </c>
    </row>
    <row r="99" spans="1:23" ht="29.25" customHeight="1" x14ac:dyDescent="0.25">
      <c r="A99" s="222"/>
      <c r="B99" s="251" t="s">
        <v>577</v>
      </c>
      <c r="C99" s="20"/>
      <c r="D99" s="20"/>
      <c r="E99" s="20"/>
      <c r="F99" s="20">
        <v>285000</v>
      </c>
      <c r="G99" s="20">
        <f>C99+F99</f>
        <v>285000</v>
      </c>
      <c r="H99" s="20"/>
      <c r="I99" s="20">
        <f t="shared" si="156"/>
        <v>285000</v>
      </c>
      <c r="J99" s="20"/>
      <c r="K99" s="20">
        <f t="shared" si="157"/>
        <v>285000</v>
      </c>
      <c r="L99" s="20"/>
      <c r="M99" s="20">
        <f t="shared" si="158"/>
        <v>285000</v>
      </c>
      <c r="N99" s="20">
        <v>-207</v>
      </c>
      <c r="O99" s="20">
        <f t="shared" si="159"/>
        <v>284793</v>
      </c>
      <c r="R99" s="20"/>
      <c r="S99" s="20"/>
      <c r="T99" s="20">
        <f t="shared" si="112"/>
        <v>0</v>
      </c>
      <c r="U99" s="20"/>
      <c r="V99" s="20"/>
      <c r="W99" s="20">
        <f t="shared" si="143"/>
        <v>0</v>
      </c>
    </row>
    <row r="100" spans="1:23" ht="41.25" hidden="1" customHeight="1" x14ac:dyDescent="0.25">
      <c r="A100" s="222"/>
      <c r="B100" s="251" t="s">
        <v>667</v>
      </c>
      <c r="C100" s="20"/>
      <c r="D100" s="20"/>
      <c r="E100" s="20"/>
      <c r="F100" s="20"/>
      <c r="G100" s="20"/>
      <c r="H100" s="20"/>
      <c r="I100" s="20"/>
      <c r="J100" s="20"/>
      <c r="K100" s="20"/>
      <c r="L100" s="20">
        <v>969400</v>
      </c>
      <c r="M100" s="20">
        <f t="shared" si="158"/>
        <v>969400</v>
      </c>
      <c r="N100" s="20"/>
      <c r="O100" s="20">
        <f t="shared" si="159"/>
        <v>969400</v>
      </c>
      <c r="R100" s="20"/>
      <c r="S100" s="20"/>
      <c r="T100" s="20"/>
      <c r="U100" s="20"/>
      <c r="V100" s="20"/>
      <c r="W100" s="20"/>
    </row>
    <row r="101" spans="1:23" ht="29.25" hidden="1" customHeight="1" x14ac:dyDescent="0.25">
      <c r="A101" s="222"/>
      <c r="B101" s="251"/>
      <c r="C101" s="20"/>
      <c r="D101" s="20"/>
      <c r="E101" s="20"/>
      <c r="F101" s="20"/>
      <c r="G101" s="20"/>
      <c r="H101" s="20"/>
      <c r="I101" s="20"/>
      <c r="J101" s="20"/>
      <c r="K101" s="20"/>
      <c r="L101" s="20"/>
      <c r="M101" s="20">
        <f t="shared" si="158"/>
        <v>0</v>
      </c>
      <c r="N101" s="20"/>
      <c r="O101" s="20">
        <f t="shared" si="159"/>
        <v>0</v>
      </c>
      <c r="R101" s="20"/>
      <c r="S101" s="20"/>
      <c r="T101" s="20"/>
      <c r="U101" s="20"/>
      <c r="V101" s="20"/>
      <c r="W101" s="20"/>
    </row>
    <row r="102" spans="1:23" ht="16.5" customHeight="1" x14ac:dyDescent="0.25">
      <c r="A102" s="173" t="s">
        <v>605</v>
      </c>
      <c r="B102" s="251" t="s">
        <v>606</v>
      </c>
      <c r="C102" s="20"/>
      <c r="D102" s="20"/>
      <c r="E102" s="20"/>
      <c r="F102" s="20"/>
      <c r="G102" s="20">
        <f>G103</f>
        <v>0</v>
      </c>
      <c r="H102" s="20">
        <f t="shared" ref="H102:O102" si="160">H103</f>
        <v>808050</v>
      </c>
      <c r="I102" s="20">
        <f t="shared" si="160"/>
        <v>808050</v>
      </c>
      <c r="J102" s="20">
        <f t="shared" si="160"/>
        <v>247500</v>
      </c>
      <c r="K102" s="20">
        <f t="shared" si="160"/>
        <v>1055550</v>
      </c>
      <c r="L102" s="20">
        <f t="shared" si="160"/>
        <v>0</v>
      </c>
      <c r="M102" s="20">
        <f t="shared" si="160"/>
        <v>1055550</v>
      </c>
      <c r="N102" s="20">
        <f t="shared" si="160"/>
        <v>34290</v>
      </c>
      <c r="O102" s="20">
        <f t="shared" si="160"/>
        <v>1089840</v>
      </c>
      <c r="R102" s="20"/>
      <c r="S102" s="20"/>
      <c r="T102" s="20"/>
      <c r="U102" s="20"/>
      <c r="V102" s="20"/>
      <c r="W102" s="20"/>
    </row>
    <row r="103" spans="1:23" ht="16.5" customHeight="1" x14ac:dyDescent="0.25">
      <c r="A103" s="173" t="s">
        <v>366</v>
      </c>
      <c r="B103" s="251" t="s">
        <v>367</v>
      </c>
      <c r="C103" s="20"/>
      <c r="D103" s="20"/>
      <c r="E103" s="20"/>
      <c r="F103" s="20"/>
      <c r="G103" s="20">
        <f>G104+G105</f>
        <v>0</v>
      </c>
      <c r="H103" s="20">
        <f t="shared" ref="H103:L103" si="161">H104+H105</f>
        <v>808050</v>
      </c>
      <c r="I103" s="20">
        <f t="shared" si="161"/>
        <v>808050</v>
      </c>
      <c r="J103" s="20">
        <f t="shared" si="161"/>
        <v>247500</v>
      </c>
      <c r="K103" s="20">
        <f t="shared" si="161"/>
        <v>1055550</v>
      </c>
      <c r="L103" s="20">
        <f t="shared" si="161"/>
        <v>0</v>
      </c>
      <c r="M103" s="20">
        <f>M104+M105+M106</f>
        <v>1055550</v>
      </c>
      <c r="N103" s="20">
        <f t="shared" ref="N103" si="162">N104+N105+N106</f>
        <v>34290</v>
      </c>
      <c r="O103" s="20">
        <f t="shared" ref="O103:O105" si="163">M103+N103</f>
        <v>1089840</v>
      </c>
      <c r="R103" s="20"/>
      <c r="S103" s="20"/>
      <c r="T103" s="20"/>
      <c r="U103" s="20"/>
      <c r="V103" s="20"/>
      <c r="W103" s="20"/>
    </row>
    <row r="104" spans="1:23" ht="29.25" hidden="1" customHeight="1" x14ac:dyDescent="0.25">
      <c r="A104" s="222"/>
      <c r="B104" s="251" t="s">
        <v>604</v>
      </c>
      <c r="C104" s="20"/>
      <c r="D104" s="20"/>
      <c r="E104" s="20"/>
      <c r="F104" s="20"/>
      <c r="G104" s="20"/>
      <c r="H104" s="20">
        <v>808050</v>
      </c>
      <c r="I104" s="20">
        <f>G104+H104</f>
        <v>808050</v>
      </c>
      <c r="J104" s="20"/>
      <c r="K104" s="20">
        <f>I104+J104</f>
        <v>808050</v>
      </c>
      <c r="L104" s="20"/>
      <c r="M104" s="20">
        <f>K104+L104</f>
        <v>808050</v>
      </c>
      <c r="N104" s="20"/>
      <c r="O104" s="20">
        <f t="shared" si="163"/>
        <v>808050</v>
      </c>
      <c r="R104" s="20"/>
      <c r="S104" s="20"/>
      <c r="T104" s="20">
        <f t="shared" si="112"/>
        <v>0</v>
      </c>
      <c r="U104" s="20"/>
      <c r="V104" s="20"/>
      <c r="W104" s="20">
        <f t="shared" si="143"/>
        <v>0</v>
      </c>
    </row>
    <row r="105" spans="1:23" ht="25.5" hidden="1" customHeight="1" x14ac:dyDescent="0.25">
      <c r="A105" s="222"/>
      <c r="B105" s="251" t="s">
        <v>639</v>
      </c>
      <c r="C105" s="20"/>
      <c r="D105" s="20"/>
      <c r="E105" s="20"/>
      <c r="F105" s="20"/>
      <c r="G105" s="20"/>
      <c r="H105" s="20"/>
      <c r="I105" s="20"/>
      <c r="J105" s="20">
        <v>247500</v>
      </c>
      <c r="K105" s="20">
        <f>I105+J105</f>
        <v>247500</v>
      </c>
      <c r="L105" s="20"/>
      <c r="M105" s="20">
        <f>K105+L105</f>
        <v>247500</v>
      </c>
      <c r="N105" s="20"/>
      <c r="O105" s="20">
        <f t="shared" si="163"/>
        <v>247500</v>
      </c>
      <c r="R105" s="20"/>
      <c r="S105" s="20"/>
      <c r="T105" s="20"/>
      <c r="U105" s="20"/>
      <c r="V105" s="20"/>
      <c r="W105" s="20"/>
    </row>
    <row r="106" spans="1:23" ht="25.5" customHeight="1" x14ac:dyDescent="0.25">
      <c r="A106" s="222"/>
      <c r="B106" s="251" t="s">
        <v>732</v>
      </c>
      <c r="C106" s="20"/>
      <c r="D106" s="20"/>
      <c r="E106" s="20"/>
      <c r="F106" s="20"/>
      <c r="G106" s="20"/>
      <c r="H106" s="20"/>
      <c r="I106" s="20"/>
      <c r="J106" s="20"/>
      <c r="K106" s="20"/>
      <c r="L106" s="20"/>
      <c r="M106" s="20"/>
      <c r="N106" s="20">
        <v>34290</v>
      </c>
      <c r="O106" s="20">
        <f>M106+N106</f>
        <v>34290</v>
      </c>
      <c r="R106" s="20"/>
      <c r="S106" s="20"/>
      <c r="T106" s="20"/>
      <c r="U106" s="20"/>
      <c r="V106" s="20"/>
      <c r="W106" s="20"/>
    </row>
    <row r="107" spans="1:23" s="66" customFormat="1" ht="24" customHeight="1" x14ac:dyDescent="0.25">
      <c r="A107" s="15" t="s">
        <v>272</v>
      </c>
      <c r="B107" s="242" t="s">
        <v>273</v>
      </c>
      <c r="C107" s="70">
        <f>C108+C110+C112+C114 +C130+C132</f>
        <v>126127131</v>
      </c>
      <c r="D107" s="70"/>
      <c r="E107" s="70"/>
      <c r="F107" s="70">
        <f t="shared" ref="F107:O107" si="164">F108+F110+F112+F114 +F130+F132</f>
        <v>0</v>
      </c>
      <c r="G107" s="70">
        <f t="shared" si="164"/>
        <v>126127131</v>
      </c>
      <c r="H107" s="70">
        <f t="shared" si="164"/>
        <v>-802670</v>
      </c>
      <c r="I107" s="70">
        <f t="shared" si="164"/>
        <v>125324461</v>
      </c>
      <c r="J107" s="70">
        <f t="shared" si="164"/>
        <v>0</v>
      </c>
      <c r="K107" s="70">
        <f t="shared" si="164"/>
        <v>125324461</v>
      </c>
      <c r="L107" s="70">
        <f t="shared" si="164"/>
        <v>44677.91</v>
      </c>
      <c r="M107" s="70">
        <f t="shared" si="164"/>
        <v>125369138.91</v>
      </c>
      <c r="N107" s="70">
        <f t="shared" si="164"/>
        <v>161639</v>
      </c>
      <c r="O107" s="70">
        <f t="shared" si="164"/>
        <v>125530777.91</v>
      </c>
      <c r="R107" s="70">
        <f>R108+R110+R112+R114 +R130+R132</f>
        <v>130273538</v>
      </c>
      <c r="S107" s="70">
        <f t="shared" ref="S107:W107" si="165">S108+S110+S112+S114 +S130+S132</f>
        <v>-1278900</v>
      </c>
      <c r="T107" s="70">
        <f t="shared" si="165"/>
        <v>128994638</v>
      </c>
      <c r="U107" s="70">
        <f t="shared" si="165"/>
        <v>126286726</v>
      </c>
      <c r="V107" s="70">
        <f t="shared" si="165"/>
        <v>-883900</v>
      </c>
      <c r="W107" s="70">
        <f t="shared" si="165"/>
        <v>125402826</v>
      </c>
    </row>
    <row r="108" spans="1:23" s="66" customFormat="1" ht="36" hidden="1" customHeight="1" x14ac:dyDescent="0.25">
      <c r="A108" s="173" t="s">
        <v>480</v>
      </c>
      <c r="B108" s="65" t="s">
        <v>478</v>
      </c>
      <c r="C108" s="20">
        <f>C109</f>
        <v>0</v>
      </c>
      <c r="D108" s="20"/>
      <c r="E108" s="20"/>
      <c r="F108" s="20">
        <f t="shared" ref="F108:O108" si="166">F109</f>
        <v>0</v>
      </c>
      <c r="G108" s="20">
        <f t="shared" si="166"/>
        <v>0</v>
      </c>
      <c r="H108" s="20">
        <f t="shared" si="166"/>
        <v>0</v>
      </c>
      <c r="I108" s="20">
        <f t="shared" si="166"/>
        <v>0</v>
      </c>
      <c r="J108" s="20">
        <f t="shared" si="166"/>
        <v>0</v>
      </c>
      <c r="K108" s="20">
        <f t="shared" si="166"/>
        <v>0</v>
      </c>
      <c r="L108" s="20">
        <f t="shared" si="166"/>
        <v>0</v>
      </c>
      <c r="M108" s="20">
        <f t="shared" si="166"/>
        <v>0</v>
      </c>
      <c r="N108" s="20">
        <f t="shared" si="166"/>
        <v>0</v>
      </c>
      <c r="O108" s="20">
        <f t="shared" si="166"/>
        <v>0</v>
      </c>
      <c r="R108" s="20">
        <f>R109</f>
        <v>0</v>
      </c>
      <c r="S108" s="20">
        <f t="shared" ref="S108" si="167">S109</f>
        <v>0</v>
      </c>
      <c r="T108" s="20">
        <f t="shared" si="112"/>
        <v>0</v>
      </c>
      <c r="U108" s="20">
        <f>U109</f>
        <v>5220</v>
      </c>
      <c r="V108" s="20">
        <f t="shared" ref="V108" si="168">V109</f>
        <v>0</v>
      </c>
      <c r="W108" s="20">
        <f t="shared" si="143"/>
        <v>5220</v>
      </c>
    </row>
    <row r="109" spans="1:23" s="66" customFormat="1" ht="39" hidden="1" customHeight="1" x14ac:dyDescent="0.25">
      <c r="A109" s="64" t="s">
        <v>368</v>
      </c>
      <c r="B109" s="246" t="s">
        <v>479</v>
      </c>
      <c r="C109" s="20"/>
      <c r="D109" s="20"/>
      <c r="E109" s="20"/>
      <c r="F109" s="20"/>
      <c r="G109" s="20">
        <f t="shared" si="10"/>
        <v>0</v>
      </c>
      <c r="H109" s="20"/>
      <c r="I109" s="20">
        <f t="shared" si="156"/>
        <v>0</v>
      </c>
      <c r="J109" s="20"/>
      <c r="K109" s="20">
        <f t="shared" ref="K109" si="169">I109+J109</f>
        <v>0</v>
      </c>
      <c r="L109" s="20"/>
      <c r="M109" s="20">
        <f t="shared" ref="M109" si="170">K109+L109</f>
        <v>0</v>
      </c>
      <c r="N109" s="20"/>
      <c r="O109" s="20">
        <f t="shared" ref="O109" si="171">M109+N109</f>
        <v>0</v>
      </c>
      <c r="R109" s="20"/>
      <c r="S109" s="20"/>
      <c r="T109" s="20">
        <f t="shared" si="112"/>
        <v>0</v>
      </c>
      <c r="U109" s="20">
        <v>5220</v>
      </c>
      <c r="V109" s="20"/>
      <c r="W109" s="20">
        <f t="shared" si="143"/>
        <v>5220</v>
      </c>
    </row>
    <row r="110" spans="1:23" ht="27.75" customHeight="1" x14ac:dyDescent="0.25">
      <c r="A110" s="173" t="s">
        <v>274</v>
      </c>
      <c r="B110" s="246" t="s">
        <v>275</v>
      </c>
      <c r="C110" s="20">
        <f>C111</f>
        <v>800617</v>
      </c>
      <c r="D110" s="20"/>
      <c r="E110" s="20"/>
      <c r="F110" s="20">
        <f>F111</f>
        <v>0</v>
      </c>
      <c r="G110" s="20">
        <f>G111</f>
        <v>800617</v>
      </c>
      <c r="H110" s="20">
        <f t="shared" ref="H110:O110" si="172">H111</f>
        <v>-74105</v>
      </c>
      <c r="I110" s="20">
        <f t="shared" si="172"/>
        <v>726512</v>
      </c>
      <c r="J110" s="20">
        <f t="shared" si="172"/>
        <v>0</v>
      </c>
      <c r="K110" s="20">
        <f t="shared" si="172"/>
        <v>726512</v>
      </c>
      <c r="L110" s="20">
        <f t="shared" si="172"/>
        <v>0</v>
      </c>
      <c r="M110" s="20">
        <f t="shared" si="172"/>
        <v>726512</v>
      </c>
      <c r="N110" s="20">
        <f t="shared" si="172"/>
        <v>80719</v>
      </c>
      <c r="O110" s="20">
        <f t="shared" si="172"/>
        <v>807231</v>
      </c>
      <c r="R110" s="20">
        <f>R111</f>
        <v>810399</v>
      </c>
      <c r="S110" s="20">
        <f>S111</f>
        <v>0</v>
      </c>
      <c r="T110" s="20">
        <f t="shared" si="112"/>
        <v>810399</v>
      </c>
      <c r="U110" s="20">
        <f>U111</f>
        <v>774567</v>
      </c>
      <c r="V110" s="20">
        <f>V111</f>
        <v>0</v>
      </c>
      <c r="W110" s="20">
        <f t="shared" si="143"/>
        <v>774567</v>
      </c>
    </row>
    <row r="111" spans="1:23" ht="36.75" customHeight="1" x14ac:dyDescent="0.25">
      <c r="A111" s="173" t="s">
        <v>276</v>
      </c>
      <c r="B111" s="246" t="s">
        <v>277</v>
      </c>
      <c r="C111" s="20">
        <v>800617</v>
      </c>
      <c r="D111" s="20"/>
      <c r="E111" s="20"/>
      <c r="F111" s="20"/>
      <c r="G111" s="20">
        <f t="shared" ref="G111:G136" si="173">C111+F111</f>
        <v>800617</v>
      </c>
      <c r="H111" s="20">
        <v>-74105</v>
      </c>
      <c r="I111" s="20">
        <f t="shared" si="156"/>
        <v>726512</v>
      </c>
      <c r="J111" s="20"/>
      <c r="K111" s="20">
        <f t="shared" ref="K111" si="174">I111+J111</f>
        <v>726512</v>
      </c>
      <c r="L111" s="20"/>
      <c r="M111" s="20">
        <f t="shared" ref="M111" si="175">K111+L111</f>
        <v>726512</v>
      </c>
      <c r="N111" s="20">
        <v>80719</v>
      </c>
      <c r="O111" s="20">
        <f t="shared" ref="O111" si="176">M111+N111</f>
        <v>807231</v>
      </c>
      <c r="R111" s="20">
        <v>810399</v>
      </c>
      <c r="S111" s="20"/>
      <c r="T111" s="20">
        <f t="shared" si="112"/>
        <v>810399</v>
      </c>
      <c r="U111" s="20">
        <v>774567</v>
      </c>
      <c r="V111" s="20"/>
      <c r="W111" s="20">
        <f t="shared" si="143"/>
        <v>774567</v>
      </c>
    </row>
    <row r="112" spans="1:23" ht="26.25" hidden="1" customHeight="1" x14ac:dyDescent="0.25">
      <c r="A112" s="173" t="s">
        <v>278</v>
      </c>
      <c r="B112" s="246" t="s">
        <v>279</v>
      </c>
      <c r="C112" s="20">
        <f>C113</f>
        <v>158000</v>
      </c>
      <c r="D112" s="20"/>
      <c r="E112" s="20"/>
      <c r="F112" s="20">
        <f>F113</f>
        <v>0</v>
      </c>
      <c r="G112" s="20">
        <f>G113</f>
        <v>158000</v>
      </c>
      <c r="H112" s="20">
        <f t="shared" ref="H112:O112" si="177">H113</f>
        <v>0</v>
      </c>
      <c r="I112" s="20">
        <f t="shared" si="177"/>
        <v>158000</v>
      </c>
      <c r="J112" s="20">
        <f t="shared" si="177"/>
        <v>0</v>
      </c>
      <c r="K112" s="20">
        <f t="shared" si="177"/>
        <v>158000</v>
      </c>
      <c r="L112" s="20">
        <f t="shared" si="177"/>
        <v>-34322.089999999997</v>
      </c>
      <c r="M112" s="20">
        <f t="shared" si="177"/>
        <v>123677.91</v>
      </c>
      <c r="N112" s="20">
        <f t="shared" si="177"/>
        <v>0</v>
      </c>
      <c r="O112" s="20">
        <f t="shared" si="177"/>
        <v>123677.91</v>
      </c>
      <c r="R112" s="20">
        <f>R113</f>
        <v>210100</v>
      </c>
      <c r="S112" s="20">
        <f>S113</f>
        <v>0</v>
      </c>
      <c r="T112" s="20">
        <f t="shared" si="112"/>
        <v>210100</v>
      </c>
      <c r="U112" s="20">
        <f>U113</f>
        <v>203900</v>
      </c>
      <c r="V112" s="20">
        <f>V113</f>
        <v>0</v>
      </c>
      <c r="W112" s="20">
        <f t="shared" si="143"/>
        <v>203900</v>
      </c>
    </row>
    <row r="113" spans="1:23" ht="36.75" hidden="1" customHeight="1" x14ac:dyDescent="0.25">
      <c r="A113" s="173" t="s">
        <v>280</v>
      </c>
      <c r="B113" s="246" t="s">
        <v>281</v>
      </c>
      <c r="C113" s="20">
        <v>158000</v>
      </c>
      <c r="D113" s="20"/>
      <c r="E113" s="20"/>
      <c r="F113" s="20"/>
      <c r="G113" s="20">
        <f t="shared" si="173"/>
        <v>158000</v>
      </c>
      <c r="H113" s="20"/>
      <c r="I113" s="20">
        <f t="shared" si="156"/>
        <v>158000</v>
      </c>
      <c r="J113" s="20"/>
      <c r="K113" s="20">
        <f t="shared" ref="K113" si="178">I113+J113</f>
        <v>158000</v>
      </c>
      <c r="L113" s="20">
        <v>-34322.089999999997</v>
      </c>
      <c r="M113" s="20">
        <f t="shared" ref="M113" si="179">K113+L113</f>
        <v>123677.91</v>
      </c>
      <c r="N113" s="20"/>
      <c r="O113" s="20">
        <f t="shared" ref="O113" si="180">M113+N113</f>
        <v>123677.91</v>
      </c>
      <c r="R113" s="20">
        <v>210100</v>
      </c>
      <c r="S113" s="20"/>
      <c r="T113" s="20">
        <f t="shared" si="112"/>
        <v>210100</v>
      </c>
      <c r="U113" s="20">
        <v>203900</v>
      </c>
      <c r="V113" s="20"/>
      <c r="W113" s="20">
        <f t="shared" si="143"/>
        <v>203900</v>
      </c>
    </row>
    <row r="114" spans="1:23" ht="26.25" customHeight="1" x14ac:dyDescent="0.25">
      <c r="A114" s="173" t="s">
        <v>282</v>
      </c>
      <c r="B114" s="246" t="s">
        <v>283</v>
      </c>
      <c r="C114" s="20">
        <f>C115</f>
        <v>116320203</v>
      </c>
      <c r="D114" s="20"/>
      <c r="E114" s="20"/>
      <c r="F114" s="20">
        <f>F115</f>
        <v>0</v>
      </c>
      <c r="G114" s="20">
        <f>G115</f>
        <v>116320203</v>
      </c>
      <c r="H114" s="20">
        <f t="shared" ref="H114:O114" si="181">H115</f>
        <v>-978524</v>
      </c>
      <c r="I114" s="20">
        <f t="shared" si="181"/>
        <v>115341679</v>
      </c>
      <c r="J114" s="20">
        <f t="shared" si="181"/>
        <v>0</v>
      </c>
      <c r="K114" s="20">
        <f t="shared" si="181"/>
        <v>115341679</v>
      </c>
      <c r="L114" s="20">
        <f t="shared" si="181"/>
        <v>79000</v>
      </c>
      <c r="M114" s="20">
        <f t="shared" si="181"/>
        <v>115420679</v>
      </c>
      <c r="N114" s="20">
        <f t="shared" si="181"/>
        <v>80920</v>
      </c>
      <c r="O114" s="20">
        <f t="shared" si="181"/>
        <v>115501599</v>
      </c>
      <c r="R114" s="20">
        <f>R115</f>
        <v>120594503</v>
      </c>
      <c r="S114" s="20">
        <f>S115</f>
        <v>-1278900</v>
      </c>
      <c r="T114" s="20">
        <f t="shared" si="112"/>
        <v>119315603</v>
      </c>
      <c r="U114" s="20">
        <f>U115</f>
        <v>116644503</v>
      </c>
      <c r="V114" s="20">
        <f>V115</f>
        <v>-883900</v>
      </c>
      <c r="W114" s="20">
        <f t="shared" si="143"/>
        <v>115760603</v>
      </c>
    </row>
    <row r="115" spans="1:23" ht="26.25" customHeight="1" x14ac:dyDescent="0.25">
      <c r="A115" s="173" t="s">
        <v>284</v>
      </c>
      <c r="B115" s="246" t="s">
        <v>285</v>
      </c>
      <c r="C115" s="20">
        <f>SUM(C116:C129)</f>
        <v>116320203</v>
      </c>
      <c r="D115" s="20"/>
      <c r="E115" s="20"/>
      <c r="F115" s="20">
        <f t="shared" ref="F115:O115" si="182">SUM(F116:F129)</f>
        <v>0</v>
      </c>
      <c r="G115" s="20">
        <f t="shared" si="182"/>
        <v>116320203</v>
      </c>
      <c r="H115" s="20">
        <f t="shared" si="182"/>
        <v>-978524</v>
      </c>
      <c r="I115" s="20">
        <f t="shared" si="182"/>
        <v>115341679</v>
      </c>
      <c r="J115" s="20">
        <f t="shared" si="182"/>
        <v>0</v>
      </c>
      <c r="K115" s="20">
        <f t="shared" si="182"/>
        <v>115341679</v>
      </c>
      <c r="L115" s="20">
        <f t="shared" si="182"/>
        <v>79000</v>
      </c>
      <c r="M115" s="20">
        <f t="shared" si="182"/>
        <v>115420679</v>
      </c>
      <c r="N115" s="20">
        <f t="shared" si="182"/>
        <v>80920</v>
      </c>
      <c r="O115" s="20">
        <f t="shared" si="182"/>
        <v>115501599</v>
      </c>
      <c r="R115" s="20">
        <f>SUM(R116:R129)</f>
        <v>120594503</v>
      </c>
      <c r="S115" s="20">
        <f t="shared" ref="S115" si="183">SUM(S116:S129)</f>
        <v>-1278900</v>
      </c>
      <c r="T115" s="20">
        <f t="shared" si="112"/>
        <v>119315603</v>
      </c>
      <c r="U115" s="20">
        <f>SUM(U116:U129)</f>
        <v>116644503</v>
      </c>
      <c r="V115" s="20">
        <f t="shared" ref="V115" si="184">SUM(V116:V129)</f>
        <v>-883900</v>
      </c>
      <c r="W115" s="20">
        <f t="shared" si="143"/>
        <v>115760603</v>
      </c>
    </row>
    <row r="116" spans="1:23" ht="48.75" hidden="1" customHeight="1" x14ac:dyDescent="0.25">
      <c r="A116" s="173"/>
      <c r="B116" s="246" t="s">
        <v>286</v>
      </c>
      <c r="C116" s="20">
        <v>5882000</v>
      </c>
      <c r="D116" s="20"/>
      <c r="E116" s="20"/>
      <c r="F116" s="20"/>
      <c r="G116" s="20">
        <f t="shared" si="173"/>
        <v>5882000</v>
      </c>
      <c r="H116" s="20"/>
      <c r="I116" s="20">
        <f t="shared" si="156"/>
        <v>5882000</v>
      </c>
      <c r="J116" s="20"/>
      <c r="K116" s="20">
        <f t="shared" ref="K116:K118" si="185">I116+J116</f>
        <v>5882000</v>
      </c>
      <c r="L116" s="20"/>
      <c r="M116" s="20">
        <f t="shared" ref="M116:M118" si="186">K116+L116</f>
        <v>5882000</v>
      </c>
      <c r="N116" s="20"/>
      <c r="O116" s="20">
        <f t="shared" ref="O116:O118" si="187">M116+N116</f>
        <v>5882000</v>
      </c>
      <c r="R116" s="20">
        <v>5882000</v>
      </c>
      <c r="S116" s="20"/>
      <c r="T116" s="20">
        <f t="shared" si="112"/>
        <v>5882000</v>
      </c>
      <c r="U116" s="20">
        <v>5882000</v>
      </c>
      <c r="V116" s="20"/>
      <c r="W116" s="20">
        <f t="shared" si="143"/>
        <v>5882000</v>
      </c>
    </row>
    <row r="117" spans="1:23" ht="25.5" customHeight="1" x14ac:dyDescent="0.25">
      <c r="A117" s="173"/>
      <c r="B117" s="246" t="s">
        <v>287</v>
      </c>
      <c r="C117" s="20">
        <v>8607000</v>
      </c>
      <c r="D117" s="20"/>
      <c r="E117" s="20"/>
      <c r="F117" s="20"/>
      <c r="G117" s="20">
        <f t="shared" si="173"/>
        <v>8607000</v>
      </c>
      <c r="H117" s="20">
        <v>-860700</v>
      </c>
      <c r="I117" s="20">
        <f t="shared" si="156"/>
        <v>7746300</v>
      </c>
      <c r="J117" s="20"/>
      <c r="K117" s="20">
        <f t="shared" si="185"/>
        <v>7746300</v>
      </c>
      <c r="L117" s="20"/>
      <c r="M117" s="20">
        <f t="shared" si="186"/>
        <v>7746300</v>
      </c>
      <c r="N117" s="20">
        <v>100000</v>
      </c>
      <c r="O117" s="20">
        <f t="shared" si="187"/>
        <v>7846300</v>
      </c>
      <c r="Q117" s="195"/>
      <c r="R117" s="20">
        <v>12789000</v>
      </c>
      <c r="S117" s="20">
        <v>-1278900</v>
      </c>
      <c r="T117" s="20">
        <f t="shared" si="112"/>
        <v>11510100</v>
      </c>
      <c r="U117" s="20">
        <v>8839000</v>
      </c>
      <c r="V117" s="20">
        <v>-883900</v>
      </c>
      <c r="W117" s="20">
        <f t="shared" si="143"/>
        <v>7955100</v>
      </c>
    </row>
    <row r="118" spans="1:23" ht="50.25" hidden="1" customHeight="1" x14ac:dyDescent="0.25">
      <c r="A118" s="197" t="s">
        <v>598</v>
      </c>
      <c r="B118" s="246" t="s">
        <v>597</v>
      </c>
      <c r="C118" s="20">
        <v>21495027</v>
      </c>
      <c r="D118" s="20"/>
      <c r="E118" s="20"/>
      <c r="F118" s="20"/>
      <c r="G118" s="20">
        <f t="shared" si="173"/>
        <v>21495027</v>
      </c>
      <c r="H118" s="20"/>
      <c r="I118" s="20">
        <f t="shared" si="156"/>
        <v>21495027</v>
      </c>
      <c r="J118" s="20"/>
      <c r="K118" s="20">
        <f t="shared" si="185"/>
        <v>21495027</v>
      </c>
      <c r="L118" s="20"/>
      <c r="M118" s="20">
        <f t="shared" si="186"/>
        <v>21495027</v>
      </c>
      <c r="N118" s="20"/>
      <c r="O118" s="20">
        <f t="shared" si="187"/>
        <v>21495027</v>
      </c>
      <c r="R118" s="20">
        <v>21495027</v>
      </c>
      <c r="S118" s="20"/>
      <c r="T118" s="20">
        <f t="shared" si="112"/>
        <v>21495027</v>
      </c>
      <c r="U118" s="20">
        <v>21495027</v>
      </c>
      <c r="V118" s="20"/>
      <c r="W118" s="20">
        <f t="shared" si="143"/>
        <v>21495027</v>
      </c>
    </row>
    <row r="119" spans="1:23" ht="37.5" hidden="1" customHeight="1" x14ac:dyDescent="0.25">
      <c r="A119" s="197" t="s">
        <v>607</v>
      </c>
      <c r="B119" s="196" t="s">
        <v>288</v>
      </c>
      <c r="C119" s="20"/>
      <c r="D119" s="20"/>
      <c r="E119" s="20"/>
      <c r="F119" s="20"/>
      <c r="G119" s="20"/>
      <c r="H119" s="20"/>
      <c r="I119" s="20"/>
      <c r="J119" s="20"/>
      <c r="K119" s="20"/>
      <c r="L119" s="20"/>
      <c r="M119" s="20"/>
      <c r="N119" s="20"/>
      <c r="O119" s="20"/>
      <c r="R119" s="20"/>
      <c r="S119" s="20"/>
      <c r="T119" s="20">
        <f t="shared" si="112"/>
        <v>0</v>
      </c>
      <c r="U119" s="20"/>
      <c r="V119" s="20"/>
      <c r="W119" s="20">
        <f t="shared" si="143"/>
        <v>0</v>
      </c>
    </row>
    <row r="120" spans="1:23" ht="48" customHeight="1" x14ac:dyDescent="0.25">
      <c r="A120" s="173"/>
      <c r="B120" s="246" t="s">
        <v>289</v>
      </c>
      <c r="C120" s="20">
        <v>104940</v>
      </c>
      <c r="D120" s="20"/>
      <c r="E120" s="20"/>
      <c r="F120" s="20"/>
      <c r="G120" s="20">
        <f t="shared" si="173"/>
        <v>104940</v>
      </c>
      <c r="H120" s="20"/>
      <c r="I120" s="20">
        <f t="shared" si="156"/>
        <v>104940</v>
      </c>
      <c r="J120" s="20"/>
      <c r="K120" s="20">
        <f t="shared" ref="K120:K126" si="188">I120+J120</f>
        <v>104940</v>
      </c>
      <c r="L120" s="20"/>
      <c r="M120" s="20">
        <f t="shared" ref="M120:M126" si="189">K120+L120</f>
        <v>104940</v>
      </c>
      <c r="N120" s="20">
        <v>-19080</v>
      </c>
      <c r="O120" s="20">
        <f t="shared" ref="O120:O126" si="190">M120+N120</f>
        <v>85860</v>
      </c>
      <c r="Q120" s="64" t="s">
        <v>733</v>
      </c>
      <c r="R120" s="20">
        <v>104940</v>
      </c>
      <c r="S120" s="20"/>
      <c r="T120" s="20">
        <f t="shared" si="112"/>
        <v>104940</v>
      </c>
      <c r="U120" s="20">
        <v>104940</v>
      </c>
      <c r="V120" s="20"/>
      <c r="W120" s="20">
        <f t="shared" si="143"/>
        <v>104940</v>
      </c>
    </row>
    <row r="121" spans="1:23" ht="49.5" hidden="1" customHeight="1" x14ac:dyDescent="0.25">
      <c r="A121" s="173"/>
      <c r="B121" s="246" t="s">
        <v>290</v>
      </c>
      <c r="C121" s="20">
        <v>4690260</v>
      </c>
      <c r="D121" s="20"/>
      <c r="E121" s="20"/>
      <c r="F121" s="20"/>
      <c r="G121" s="20">
        <f t="shared" si="173"/>
        <v>4690260</v>
      </c>
      <c r="H121" s="20"/>
      <c r="I121" s="20">
        <f t="shared" si="156"/>
        <v>4690260</v>
      </c>
      <c r="J121" s="20"/>
      <c r="K121" s="20">
        <f t="shared" si="188"/>
        <v>4690260</v>
      </c>
      <c r="L121" s="20"/>
      <c r="M121" s="20">
        <f t="shared" si="189"/>
        <v>4690260</v>
      </c>
      <c r="N121" s="20"/>
      <c r="O121" s="20">
        <f t="shared" si="190"/>
        <v>4690260</v>
      </c>
      <c r="R121" s="20">
        <v>4690260</v>
      </c>
      <c r="S121" s="20"/>
      <c r="T121" s="20">
        <f t="shared" si="112"/>
        <v>4690260</v>
      </c>
      <c r="U121" s="20">
        <v>4690260</v>
      </c>
      <c r="V121" s="20"/>
      <c r="W121" s="20">
        <f t="shared" si="143"/>
        <v>4690260</v>
      </c>
    </row>
    <row r="122" spans="1:23" ht="39" hidden="1" customHeight="1" x14ac:dyDescent="0.25">
      <c r="A122" s="173"/>
      <c r="B122" s="246" t="s">
        <v>291</v>
      </c>
      <c r="C122" s="20"/>
      <c r="D122" s="20"/>
      <c r="E122" s="20"/>
      <c r="F122" s="20"/>
      <c r="G122" s="20">
        <f t="shared" si="173"/>
        <v>0</v>
      </c>
      <c r="H122" s="20"/>
      <c r="I122" s="20">
        <f t="shared" si="156"/>
        <v>0</v>
      </c>
      <c r="J122" s="20"/>
      <c r="K122" s="20">
        <f t="shared" si="188"/>
        <v>0</v>
      </c>
      <c r="L122" s="20"/>
      <c r="M122" s="20">
        <f t="shared" si="189"/>
        <v>0</v>
      </c>
      <c r="N122" s="20"/>
      <c r="O122" s="20">
        <f t="shared" si="190"/>
        <v>0</v>
      </c>
      <c r="R122" s="20"/>
      <c r="S122" s="20"/>
      <c r="T122" s="20">
        <f t="shared" si="112"/>
        <v>0</v>
      </c>
      <c r="U122" s="20"/>
      <c r="V122" s="20"/>
      <c r="W122" s="20">
        <f t="shared" si="143"/>
        <v>0</v>
      </c>
    </row>
    <row r="123" spans="1:23" ht="73.5" hidden="1" customHeight="1" x14ac:dyDescent="0.25">
      <c r="A123" s="173"/>
      <c r="B123" s="246" t="s">
        <v>292</v>
      </c>
      <c r="C123" s="20">
        <v>851700</v>
      </c>
      <c r="D123" s="20"/>
      <c r="E123" s="20"/>
      <c r="F123" s="20"/>
      <c r="G123" s="20">
        <f t="shared" si="173"/>
        <v>851700</v>
      </c>
      <c r="H123" s="20">
        <v>-59619</v>
      </c>
      <c r="I123" s="20">
        <f t="shared" si="156"/>
        <v>792081</v>
      </c>
      <c r="J123" s="20"/>
      <c r="K123" s="20">
        <f t="shared" si="188"/>
        <v>792081</v>
      </c>
      <c r="L123" s="20"/>
      <c r="M123" s="20">
        <f t="shared" si="189"/>
        <v>792081</v>
      </c>
      <c r="N123" s="20"/>
      <c r="O123" s="20">
        <f t="shared" si="190"/>
        <v>792081</v>
      </c>
      <c r="R123" s="20">
        <v>851700</v>
      </c>
      <c r="S123" s="20"/>
      <c r="T123" s="20">
        <f t="shared" si="112"/>
        <v>851700</v>
      </c>
      <c r="U123" s="20">
        <v>851700</v>
      </c>
      <c r="V123" s="20"/>
      <c r="W123" s="20">
        <f t="shared" si="143"/>
        <v>851700</v>
      </c>
    </row>
    <row r="124" spans="1:23" ht="48" hidden="1" customHeight="1" x14ac:dyDescent="0.25">
      <c r="A124" s="173"/>
      <c r="B124" s="246" t="s">
        <v>293</v>
      </c>
      <c r="C124" s="20">
        <v>173500</v>
      </c>
      <c r="D124" s="20"/>
      <c r="E124" s="20"/>
      <c r="F124" s="20"/>
      <c r="G124" s="20">
        <f t="shared" si="173"/>
        <v>173500</v>
      </c>
      <c r="H124" s="20">
        <v>-12145</v>
      </c>
      <c r="I124" s="20">
        <f t="shared" si="156"/>
        <v>161355</v>
      </c>
      <c r="J124" s="20"/>
      <c r="K124" s="20">
        <f t="shared" si="188"/>
        <v>161355</v>
      </c>
      <c r="L124" s="20"/>
      <c r="M124" s="20">
        <f t="shared" si="189"/>
        <v>161355</v>
      </c>
      <c r="N124" s="20"/>
      <c r="O124" s="20">
        <f t="shared" si="190"/>
        <v>161355</v>
      </c>
      <c r="R124" s="20">
        <v>173500</v>
      </c>
      <c r="S124" s="20"/>
      <c r="T124" s="20">
        <f t="shared" si="112"/>
        <v>173500</v>
      </c>
      <c r="U124" s="20">
        <v>173500</v>
      </c>
      <c r="V124" s="20"/>
      <c r="W124" s="20">
        <f t="shared" si="143"/>
        <v>173500</v>
      </c>
    </row>
    <row r="125" spans="1:23" ht="37.5" hidden="1" customHeight="1" x14ac:dyDescent="0.25">
      <c r="A125" s="173"/>
      <c r="B125" s="246" t="s">
        <v>294</v>
      </c>
      <c r="C125" s="20">
        <v>93000</v>
      </c>
      <c r="D125" s="20"/>
      <c r="E125" s="20"/>
      <c r="F125" s="20"/>
      <c r="G125" s="20">
        <f t="shared" si="173"/>
        <v>93000</v>
      </c>
      <c r="H125" s="20"/>
      <c r="I125" s="20">
        <f t="shared" si="156"/>
        <v>93000</v>
      </c>
      <c r="J125" s="20"/>
      <c r="K125" s="20">
        <f t="shared" si="188"/>
        <v>93000</v>
      </c>
      <c r="L125" s="20">
        <v>79000</v>
      </c>
      <c r="M125" s="20">
        <f t="shared" si="189"/>
        <v>172000</v>
      </c>
      <c r="N125" s="20"/>
      <c r="O125" s="20">
        <f t="shared" si="190"/>
        <v>172000</v>
      </c>
      <c r="R125" s="20">
        <v>87000</v>
      </c>
      <c r="S125" s="20"/>
      <c r="T125" s="20">
        <f t="shared" si="112"/>
        <v>87000</v>
      </c>
      <c r="U125" s="20">
        <v>87000</v>
      </c>
      <c r="V125" s="20"/>
      <c r="W125" s="20">
        <f t="shared" si="143"/>
        <v>87000</v>
      </c>
    </row>
    <row r="126" spans="1:23" ht="48.75" hidden="1" customHeight="1" x14ac:dyDescent="0.25">
      <c r="A126" s="197"/>
      <c r="B126" s="246" t="s">
        <v>599</v>
      </c>
      <c r="C126" s="20">
        <v>66777336</v>
      </c>
      <c r="D126" s="20"/>
      <c r="E126" s="20"/>
      <c r="F126" s="20"/>
      <c r="G126" s="20">
        <f t="shared" si="173"/>
        <v>66777336</v>
      </c>
      <c r="H126" s="20"/>
      <c r="I126" s="20">
        <f t="shared" si="156"/>
        <v>66777336</v>
      </c>
      <c r="J126" s="20"/>
      <c r="K126" s="20">
        <f t="shared" si="188"/>
        <v>66777336</v>
      </c>
      <c r="L126" s="20"/>
      <c r="M126" s="20">
        <f t="shared" si="189"/>
        <v>66777336</v>
      </c>
      <c r="N126" s="20"/>
      <c r="O126" s="20">
        <f t="shared" si="190"/>
        <v>66777336</v>
      </c>
      <c r="R126" s="20">
        <v>66777336</v>
      </c>
      <c r="S126" s="20"/>
      <c r="T126" s="20">
        <f t="shared" si="112"/>
        <v>66777336</v>
      </c>
      <c r="U126" s="20">
        <v>66777336</v>
      </c>
      <c r="V126" s="20"/>
      <c r="W126" s="20">
        <f t="shared" si="143"/>
        <v>66777336</v>
      </c>
    </row>
    <row r="127" spans="1:23" ht="72.75" hidden="1" customHeight="1" x14ac:dyDescent="0.25">
      <c r="A127" s="197" t="s">
        <v>607</v>
      </c>
      <c r="B127" s="196" t="s">
        <v>301</v>
      </c>
      <c r="C127" s="20"/>
      <c r="D127" s="20"/>
      <c r="E127" s="20"/>
      <c r="F127" s="20"/>
      <c r="G127" s="20"/>
      <c r="H127" s="20"/>
      <c r="I127" s="20"/>
      <c r="J127" s="20"/>
      <c r="K127" s="20"/>
      <c r="L127" s="20"/>
      <c r="M127" s="20"/>
      <c r="N127" s="20"/>
      <c r="O127" s="20"/>
      <c r="R127" s="20"/>
      <c r="S127" s="20"/>
      <c r="T127" s="20">
        <f t="shared" si="112"/>
        <v>0</v>
      </c>
      <c r="U127" s="20"/>
      <c r="V127" s="20"/>
      <c r="W127" s="20">
        <f t="shared" si="143"/>
        <v>0</v>
      </c>
    </row>
    <row r="128" spans="1:23" ht="62.25" hidden="1" customHeight="1" x14ac:dyDescent="0.25">
      <c r="A128" s="173"/>
      <c r="B128" s="246" t="s">
        <v>410</v>
      </c>
      <c r="C128" s="20">
        <v>7634300</v>
      </c>
      <c r="D128" s="20"/>
      <c r="E128" s="20"/>
      <c r="F128" s="20"/>
      <c r="G128" s="20">
        <f t="shared" si="173"/>
        <v>7634300</v>
      </c>
      <c r="H128" s="20">
        <v>-46060</v>
      </c>
      <c r="I128" s="20">
        <f t="shared" si="156"/>
        <v>7588240</v>
      </c>
      <c r="J128" s="20"/>
      <c r="K128" s="20">
        <f t="shared" ref="K128:K129" si="191">I128+J128</f>
        <v>7588240</v>
      </c>
      <c r="L128" s="20"/>
      <c r="M128" s="20">
        <f t="shared" ref="M128:M129" si="192">K128+L128</f>
        <v>7588240</v>
      </c>
      <c r="N128" s="20"/>
      <c r="O128" s="20">
        <f t="shared" ref="O128:O129" si="193">M128+N128</f>
        <v>7588240</v>
      </c>
      <c r="R128" s="20">
        <v>7732600</v>
      </c>
      <c r="S128" s="20"/>
      <c r="T128" s="20">
        <f t="shared" si="112"/>
        <v>7732600</v>
      </c>
      <c r="U128" s="20">
        <v>7732600</v>
      </c>
      <c r="V128" s="20"/>
      <c r="W128" s="20">
        <f t="shared" si="143"/>
        <v>7732600</v>
      </c>
    </row>
    <row r="129" spans="1:25" ht="51.75" hidden="1" customHeight="1" x14ac:dyDescent="0.25">
      <c r="A129" s="173"/>
      <c r="B129" s="246" t="s">
        <v>477</v>
      </c>
      <c r="C129" s="20">
        <v>11140</v>
      </c>
      <c r="D129" s="20"/>
      <c r="E129" s="20"/>
      <c r="F129" s="20"/>
      <c r="G129" s="20">
        <f t="shared" si="173"/>
        <v>11140</v>
      </c>
      <c r="H129" s="20"/>
      <c r="I129" s="20">
        <f t="shared" si="156"/>
        <v>11140</v>
      </c>
      <c r="J129" s="20"/>
      <c r="K129" s="20">
        <f t="shared" si="191"/>
        <v>11140</v>
      </c>
      <c r="L129" s="20"/>
      <c r="M129" s="20">
        <f t="shared" si="192"/>
        <v>11140</v>
      </c>
      <c r="N129" s="20"/>
      <c r="O129" s="20">
        <f t="shared" si="193"/>
        <v>11140</v>
      </c>
      <c r="R129" s="20">
        <v>11140</v>
      </c>
      <c r="S129" s="20"/>
      <c r="T129" s="20">
        <f t="shared" si="112"/>
        <v>11140</v>
      </c>
      <c r="U129" s="20">
        <v>11140</v>
      </c>
      <c r="V129" s="20"/>
      <c r="W129" s="20">
        <f t="shared" si="143"/>
        <v>11140</v>
      </c>
    </row>
    <row r="130" spans="1:25" ht="51" hidden="1" customHeight="1" x14ac:dyDescent="0.25">
      <c r="A130" s="173" t="s">
        <v>295</v>
      </c>
      <c r="B130" s="246" t="s">
        <v>296</v>
      </c>
      <c r="C130" s="20">
        <f>C131</f>
        <v>836736</v>
      </c>
      <c r="D130" s="20"/>
      <c r="E130" s="20"/>
      <c r="F130" s="20">
        <f>F131</f>
        <v>0</v>
      </c>
      <c r="G130" s="20">
        <f>G131</f>
        <v>836736</v>
      </c>
      <c r="H130" s="20">
        <f t="shared" ref="H130:O130" si="194">H131</f>
        <v>249959</v>
      </c>
      <c r="I130" s="20">
        <f t="shared" si="194"/>
        <v>1086695</v>
      </c>
      <c r="J130" s="20">
        <f t="shared" si="194"/>
        <v>0</v>
      </c>
      <c r="K130" s="20">
        <f t="shared" si="194"/>
        <v>1086695</v>
      </c>
      <c r="L130" s="20">
        <f t="shared" si="194"/>
        <v>0</v>
      </c>
      <c r="M130" s="20">
        <f t="shared" si="194"/>
        <v>1086695</v>
      </c>
      <c r="N130" s="20">
        <f t="shared" si="194"/>
        <v>0</v>
      </c>
      <c r="O130" s="20">
        <f t="shared" si="194"/>
        <v>1086695</v>
      </c>
      <c r="R130" s="20">
        <f>R131</f>
        <v>836736</v>
      </c>
      <c r="S130" s="20">
        <f>S131</f>
        <v>0</v>
      </c>
      <c r="T130" s="20">
        <f t="shared" si="112"/>
        <v>836736</v>
      </c>
      <c r="U130" s="20">
        <f>U131</f>
        <v>836736</v>
      </c>
      <c r="V130" s="20">
        <f>V131</f>
        <v>0</v>
      </c>
      <c r="W130" s="20">
        <f t="shared" si="143"/>
        <v>836736</v>
      </c>
    </row>
    <row r="131" spans="1:25" ht="51" hidden="1" customHeight="1" x14ac:dyDescent="0.25">
      <c r="A131" s="173" t="s">
        <v>297</v>
      </c>
      <c r="B131" s="246" t="s">
        <v>298</v>
      </c>
      <c r="C131" s="20">
        <v>836736</v>
      </c>
      <c r="D131" s="20"/>
      <c r="E131" s="20"/>
      <c r="F131" s="20"/>
      <c r="G131" s="20">
        <f t="shared" si="173"/>
        <v>836736</v>
      </c>
      <c r="H131" s="20">
        <v>249959</v>
      </c>
      <c r="I131" s="20">
        <f t="shared" si="156"/>
        <v>1086695</v>
      </c>
      <c r="J131" s="20"/>
      <c r="K131" s="20">
        <f t="shared" ref="K131" si="195">I131+J131</f>
        <v>1086695</v>
      </c>
      <c r="L131" s="20"/>
      <c r="M131" s="20">
        <f t="shared" ref="M131" si="196">K131+L131</f>
        <v>1086695</v>
      </c>
      <c r="N131" s="20"/>
      <c r="O131" s="20">
        <f t="shared" ref="O131" si="197">M131+N131</f>
        <v>1086695</v>
      </c>
      <c r="R131" s="20">
        <v>836736</v>
      </c>
      <c r="S131" s="20"/>
      <c r="T131" s="20">
        <f t="shared" si="112"/>
        <v>836736</v>
      </c>
      <c r="U131" s="20">
        <v>836736</v>
      </c>
      <c r="V131" s="20"/>
      <c r="W131" s="20">
        <f t="shared" si="143"/>
        <v>836736</v>
      </c>
    </row>
    <row r="132" spans="1:25" ht="51" hidden="1" customHeight="1" x14ac:dyDescent="0.25">
      <c r="A132" s="173" t="s">
        <v>299</v>
      </c>
      <c r="B132" s="246" t="s">
        <v>543</v>
      </c>
      <c r="C132" s="20">
        <f>C133</f>
        <v>8011575</v>
      </c>
      <c r="D132" s="20"/>
      <c r="E132" s="20"/>
      <c r="F132" s="20">
        <f>F133</f>
        <v>0</v>
      </c>
      <c r="G132" s="20">
        <f>G133</f>
        <v>8011575</v>
      </c>
      <c r="H132" s="20">
        <f t="shared" ref="H132:O132" si="198">H133</f>
        <v>0</v>
      </c>
      <c r="I132" s="20">
        <f t="shared" si="198"/>
        <v>8011575</v>
      </c>
      <c r="J132" s="20">
        <f t="shared" si="198"/>
        <v>0</v>
      </c>
      <c r="K132" s="20">
        <f t="shared" si="198"/>
        <v>8011575</v>
      </c>
      <c r="L132" s="20">
        <f t="shared" si="198"/>
        <v>0</v>
      </c>
      <c r="M132" s="20">
        <f t="shared" si="198"/>
        <v>8011575</v>
      </c>
      <c r="N132" s="20">
        <f t="shared" si="198"/>
        <v>0</v>
      </c>
      <c r="O132" s="20">
        <f t="shared" si="198"/>
        <v>8011575</v>
      </c>
      <c r="R132" s="20">
        <f>R133</f>
        <v>7821800</v>
      </c>
      <c r="S132" s="20">
        <f>S133</f>
        <v>0</v>
      </c>
      <c r="T132" s="20">
        <f t="shared" si="112"/>
        <v>7821800</v>
      </c>
      <c r="U132" s="20">
        <f>U133</f>
        <v>7821800</v>
      </c>
      <c r="V132" s="20">
        <f>V133</f>
        <v>0</v>
      </c>
      <c r="W132" s="20">
        <f t="shared" si="143"/>
        <v>7821800</v>
      </c>
    </row>
    <row r="133" spans="1:25" ht="37.5" hidden="1" customHeight="1" x14ac:dyDescent="0.25">
      <c r="A133" s="173" t="s">
        <v>300</v>
      </c>
      <c r="B133" s="246" t="s">
        <v>541</v>
      </c>
      <c r="C133" s="20">
        <v>8011575</v>
      </c>
      <c r="D133" s="20"/>
      <c r="E133" s="20"/>
      <c r="F133" s="20"/>
      <c r="G133" s="20">
        <f t="shared" si="173"/>
        <v>8011575</v>
      </c>
      <c r="H133" s="20"/>
      <c r="I133" s="20">
        <f t="shared" si="156"/>
        <v>8011575</v>
      </c>
      <c r="J133" s="20"/>
      <c r="K133" s="20">
        <f t="shared" ref="K133" si="199">I133+J133</f>
        <v>8011575</v>
      </c>
      <c r="L133" s="20"/>
      <c r="M133" s="20">
        <f t="shared" ref="M133" si="200">K133+L133</f>
        <v>8011575</v>
      </c>
      <c r="N133" s="20"/>
      <c r="O133" s="20">
        <f t="shared" ref="O133" si="201">M133+N133</f>
        <v>8011575</v>
      </c>
      <c r="R133" s="20">
        <v>7821800</v>
      </c>
      <c r="S133" s="20"/>
      <c r="T133" s="20">
        <f t="shared" si="112"/>
        <v>7821800</v>
      </c>
      <c r="U133" s="20">
        <v>7821800</v>
      </c>
      <c r="V133" s="20"/>
      <c r="W133" s="20">
        <f t="shared" si="143"/>
        <v>7821800</v>
      </c>
    </row>
    <row r="134" spans="1:25" s="66" customFormat="1" ht="14.25" customHeight="1" x14ac:dyDescent="0.25">
      <c r="A134" s="242" t="s">
        <v>302</v>
      </c>
      <c r="B134" s="242" t="s">
        <v>155</v>
      </c>
      <c r="C134" s="70">
        <f>C135+C141</f>
        <v>379160</v>
      </c>
      <c r="D134" s="70">
        <f t="shared" ref="D134:H134" si="202">D135+D141</f>
        <v>0</v>
      </c>
      <c r="E134" s="70">
        <f t="shared" si="202"/>
        <v>0</v>
      </c>
      <c r="F134" s="70">
        <f t="shared" si="202"/>
        <v>0</v>
      </c>
      <c r="G134" s="70">
        <f t="shared" si="202"/>
        <v>379160</v>
      </c>
      <c r="H134" s="70">
        <f t="shared" si="202"/>
        <v>-39699</v>
      </c>
      <c r="I134" s="70">
        <f>I135+I139+I141</f>
        <v>339461</v>
      </c>
      <c r="J134" s="70">
        <f t="shared" ref="J134" si="203">J135+J139+J141</f>
        <v>1212050</v>
      </c>
      <c r="K134" s="70">
        <f>K135+K137+K139+K141</f>
        <v>1551511</v>
      </c>
      <c r="L134" s="70">
        <f t="shared" ref="L134:O134" si="204">L135+L137+L139+L141</f>
        <v>261321.25</v>
      </c>
      <c r="M134" s="70">
        <f t="shared" si="204"/>
        <v>13975374.25</v>
      </c>
      <c r="N134" s="70">
        <f t="shared" si="204"/>
        <v>2319262</v>
      </c>
      <c r="O134" s="70">
        <f t="shared" si="204"/>
        <v>16294636.25</v>
      </c>
      <c r="R134" s="70">
        <f>R135+R141</f>
        <v>434142</v>
      </c>
      <c r="S134" s="70">
        <f t="shared" ref="S134:W134" si="205">S135+S141</f>
        <v>0</v>
      </c>
      <c r="T134" s="70">
        <f t="shared" si="205"/>
        <v>434142</v>
      </c>
      <c r="U134" s="70">
        <f t="shared" si="205"/>
        <v>414947</v>
      </c>
      <c r="V134" s="70">
        <f t="shared" si="205"/>
        <v>0</v>
      </c>
      <c r="W134" s="70">
        <f t="shared" si="205"/>
        <v>414947</v>
      </c>
    </row>
    <row r="135" spans="1:25" ht="37.5" customHeight="1" x14ac:dyDescent="0.25">
      <c r="A135" s="246" t="s">
        <v>303</v>
      </c>
      <c r="B135" s="246" t="s">
        <v>304</v>
      </c>
      <c r="C135" s="20">
        <f t="shared" ref="C135:O135" si="206">C136</f>
        <v>0</v>
      </c>
      <c r="D135" s="20"/>
      <c r="E135" s="20"/>
      <c r="F135" s="20">
        <f t="shared" si="206"/>
        <v>0</v>
      </c>
      <c r="G135" s="20">
        <f t="shared" si="206"/>
        <v>0</v>
      </c>
      <c r="H135" s="20">
        <f t="shared" si="206"/>
        <v>0</v>
      </c>
      <c r="I135" s="20">
        <f t="shared" si="206"/>
        <v>0</v>
      </c>
      <c r="J135" s="20">
        <f t="shared" si="206"/>
        <v>12050</v>
      </c>
      <c r="K135" s="20">
        <f t="shared" si="206"/>
        <v>12050</v>
      </c>
      <c r="L135" s="20">
        <f t="shared" si="206"/>
        <v>0</v>
      </c>
      <c r="M135" s="20">
        <f t="shared" si="206"/>
        <v>12124850</v>
      </c>
      <c r="N135" s="20">
        <f t="shared" si="206"/>
        <v>-15900</v>
      </c>
      <c r="O135" s="20">
        <f t="shared" si="206"/>
        <v>12108950</v>
      </c>
      <c r="R135" s="20">
        <f t="shared" ref="R135:S135" si="207">R136</f>
        <v>0</v>
      </c>
      <c r="S135" s="20">
        <f t="shared" si="207"/>
        <v>0</v>
      </c>
      <c r="T135" s="20">
        <f t="shared" si="112"/>
        <v>0</v>
      </c>
      <c r="U135" s="20">
        <f t="shared" ref="U135:V135" si="208">U136</f>
        <v>0</v>
      </c>
      <c r="V135" s="20">
        <f t="shared" si="208"/>
        <v>0</v>
      </c>
      <c r="W135" s="20">
        <f t="shared" si="143"/>
        <v>0</v>
      </c>
    </row>
    <row r="136" spans="1:25" ht="39.75" customHeight="1" x14ac:dyDescent="0.25">
      <c r="A136" s="246" t="s">
        <v>305</v>
      </c>
      <c r="B136" s="246" t="s">
        <v>306</v>
      </c>
      <c r="C136" s="20">
        <f>'[1]От пос'!D12</f>
        <v>0</v>
      </c>
      <c r="D136" s="20"/>
      <c r="E136" s="20"/>
      <c r="F136" s="20"/>
      <c r="G136" s="20">
        <f t="shared" si="173"/>
        <v>0</v>
      </c>
      <c r="H136" s="20"/>
      <c r="I136" s="20">
        <f t="shared" si="156"/>
        <v>0</v>
      </c>
      <c r="J136" s="20">
        <f>-55000+75000-7950</f>
        <v>12050</v>
      </c>
      <c r="K136" s="20">
        <f t="shared" ref="K136:K142" si="209">I136+J136</f>
        <v>12050</v>
      </c>
      <c r="L136" s="20"/>
      <c r="M136" s="20">
        <v>12124850</v>
      </c>
      <c r="N136" s="20">
        <f>-15900</f>
        <v>-15900</v>
      </c>
      <c r="O136" s="20">
        <f t="shared" ref="O136" si="210">M136+N136</f>
        <v>12108950</v>
      </c>
      <c r="Q136" s="65" t="s">
        <v>734</v>
      </c>
      <c r="R136" s="20"/>
      <c r="S136" s="20"/>
      <c r="T136" s="20">
        <f t="shared" si="112"/>
        <v>0</v>
      </c>
      <c r="U136" s="20"/>
      <c r="V136" s="20"/>
      <c r="W136" s="20">
        <f t="shared" si="143"/>
        <v>0</v>
      </c>
    </row>
    <row r="137" spans="1:25" ht="60.75" hidden="1" customHeight="1" x14ac:dyDescent="0.25">
      <c r="A137" s="246" t="s">
        <v>675</v>
      </c>
      <c r="B137" s="246" t="s">
        <v>673</v>
      </c>
      <c r="C137" s="20"/>
      <c r="D137" s="20"/>
      <c r="E137" s="20"/>
      <c r="F137" s="20"/>
      <c r="G137" s="20"/>
      <c r="H137" s="20"/>
      <c r="I137" s="20"/>
      <c r="J137" s="20"/>
      <c r="K137" s="20">
        <f>K138</f>
        <v>0</v>
      </c>
      <c r="L137" s="20">
        <f t="shared" ref="L137:O137" si="211">L138</f>
        <v>261321.25</v>
      </c>
      <c r="M137" s="20">
        <f t="shared" si="211"/>
        <v>261321.25</v>
      </c>
      <c r="N137" s="20">
        <f t="shared" si="211"/>
        <v>0</v>
      </c>
      <c r="O137" s="20">
        <f t="shared" si="211"/>
        <v>261321.25</v>
      </c>
      <c r="R137" s="20"/>
      <c r="S137" s="20"/>
      <c r="T137" s="20"/>
      <c r="U137" s="20"/>
      <c r="V137" s="20"/>
      <c r="W137" s="20"/>
    </row>
    <row r="138" spans="1:25" ht="47.25" hidden="1" customHeight="1" x14ac:dyDescent="0.25">
      <c r="A138" s="246" t="s">
        <v>676</v>
      </c>
      <c r="B138" s="246" t="s">
        <v>674</v>
      </c>
      <c r="C138" s="20"/>
      <c r="D138" s="20"/>
      <c r="E138" s="20"/>
      <c r="F138" s="20"/>
      <c r="G138" s="20"/>
      <c r="H138" s="20"/>
      <c r="I138" s="20"/>
      <c r="J138" s="20"/>
      <c r="K138" s="20"/>
      <c r="L138" s="20">
        <v>261321.25</v>
      </c>
      <c r="M138" s="20">
        <f>K138+L138</f>
        <v>261321.25</v>
      </c>
      <c r="N138" s="20"/>
      <c r="O138" s="20">
        <f>M138+N138</f>
        <v>261321.25</v>
      </c>
      <c r="R138" s="20"/>
      <c r="S138" s="20"/>
      <c r="T138" s="20"/>
      <c r="U138" s="20"/>
      <c r="V138" s="20"/>
      <c r="W138" s="20"/>
    </row>
    <row r="139" spans="1:25" ht="39.75" customHeight="1" x14ac:dyDescent="0.25">
      <c r="A139" s="246" t="s">
        <v>641</v>
      </c>
      <c r="B139" s="246" t="s">
        <v>640</v>
      </c>
      <c r="C139" s="20"/>
      <c r="D139" s="20"/>
      <c r="E139" s="20"/>
      <c r="F139" s="20"/>
      <c r="G139" s="20"/>
      <c r="H139" s="20"/>
      <c r="I139" s="20">
        <f>I140</f>
        <v>0</v>
      </c>
      <c r="J139" s="20">
        <f t="shared" ref="J139:O139" si="212">J140</f>
        <v>1200000</v>
      </c>
      <c r="K139" s="20">
        <f t="shared" si="212"/>
        <v>1200000</v>
      </c>
      <c r="L139" s="20">
        <f t="shared" si="212"/>
        <v>0</v>
      </c>
      <c r="M139" s="20">
        <f t="shared" si="212"/>
        <v>1200000</v>
      </c>
      <c r="N139" s="20">
        <f t="shared" si="212"/>
        <v>2291920</v>
      </c>
      <c r="O139" s="20">
        <f t="shared" si="212"/>
        <v>3491920</v>
      </c>
      <c r="R139" s="20"/>
      <c r="S139" s="20"/>
      <c r="T139" s="20"/>
      <c r="U139" s="20"/>
      <c r="V139" s="20"/>
      <c r="W139" s="20"/>
    </row>
    <row r="140" spans="1:25" ht="46.5" customHeight="1" x14ac:dyDescent="0.25">
      <c r="A140" s="246" t="s">
        <v>642</v>
      </c>
      <c r="B140" s="246" t="s">
        <v>643</v>
      </c>
      <c r="C140" s="20"/>
      <c r="D140" s="20"/>
      <c r="E140" s="20"/>
      <c r="F140" s="20"/>
      <c r="G140" s="20"/>
      <c r="H140" s="20"/>
      <c r="I140" s="20"/>
      <c r="J140" s="20">
        <v>1200000</v>
      </c>
      <c r="K140" s="20">
        <f t="shared" si="209"/>
        <v>1200000</v>
      </c>
      <c r="L140" s="20"/>
      <c r="M140" s="20">
        <f t="shared" ref="M140" si="213">K140+L140</f>
        <v>1200000</v>
      </c>
      <c r="N140" s="20">
        <v>2291920</v>
      </c>
      <c r="O140" s="20">
        <f t="shared" ref="O140:O142" si="214">M140+N140</f>
        <v>3491920</v>
      </c>
      <c r="R140" s="20"/>
      <c r="S140" s="20"/>
      <c r="T140" s="20"/>
      <c r="U140" s="20"/>
      <c r="V140" s="20"/>
      <c r="W140" s="20"/>
    </row>
    <row r="141" spans="1:25" ht="13.5" customHeight="1" x14ac:dyDescent="0.25">
      <c r="A141" s="246" t="s">
        <v>429</v>
      </c>
      <c r="B141" s="246" t="s">
        <v>428</v>
      </c>
      <c r="C141" s="20">
        <f>C142</f>
        <v>379160</v>
      </c>
      <c r="D141" s="20"/>
      <c r="E141" s="20"/>
      <c r="F141" s="20">
        <f t="shared" ref="F141:L141" si="215">F142</f>
        <v>0</v>
      </c>
      <c r="G141" s="20">
        <f t="shared" si="215"/>
        <v>379160</v>
      </c>
      <c r="H141" s="20">
        <f t="shared" si="215"/>
        <v>-39699</v>
      </c>
      <c r="I141" s="20">
        <f t="shared" si="156"/>
        <v>339461</v>
      </c>
      <c r="J141" s="20">
        <f t="shared" si="215"/>
        <v>0</v>
      </c>
      <c r="K141" s="20">
        <f t="shared" si="209"/>
        <v>339461</v>
      </c>
      <c r="L141" s="20">
        <f t="shared" si="215"/>
        <v>0</v>
      </c>
      <c r="M141" s="20">
        <f>M142</f>
        <v>389203</v>
      </c>
      <c r="N141" s="20">
        <f t="shared" ref="N141:Y141" si="216">N142</f>
        <v>43242</v>
      </c>
      <c r="O141" s="20">
        <f t="shared" si="216"/>
        <v>432445</v>
      </c>
      <c r="P141" s="20">
        <f t="shared" si="216"/>
        <v>0</v>
      </c>
      <c r="Q141" s="20">
        <f t="shared" si="216"/>
        <v>0</v>
      </c>
      <c r="R141" s="20">
        <f t="shared" si="216"/>
        <v>434142</v>
      </c>
      <c r="S141" s="20">
        <f t="shared" si="216"/>
        <v>0</v>
      </c>
      <c r="T141" s="20">
        <f t="shared" si="216"/>
        <v>434142</v>
      </c>
      <c r="U141" s="20">
        <f t="shared" si="216"/>
        <v>414947</v>
      </c>
      <c r="V141" s="20">
        <f t="shared" si="216"/>
        <v>0</v>
      </c>
      <c r="W141" s="20">
        <f t="shared" si="216"/>
        <v>414947</v>
      </c>
      <c r="X141" s="20">
        <f t="shared" si="216"/>
        <v>0</v>
      </c>
      <c r="Y141" s="20">
        <f t="shared" si="216"/>
        <v>0</v>
      </c>
    </row>
    <row r="142" spans="1:25" ht="25.5" customHeight="1" x14ac:dyDescent="0.25">
      <c r="A142" s="246" t="s">
        <v>369</v>
      </c>
      <c r="B142" s="246" t="s">
        <v>370</v>
      </c>
      <c r="C142" s="20">
        <f>'[1]6 Вед15'!J74</f>
        <v>379160</v>
      </c>
      <c r="D142" s="20"/>
      <c r="E142" s="20"/>
      <c r="F142" s="20"/>
      <c r="G142" s="20">
        <f>C142+F142</f>
        <v>379160</v>
      </c>
      <c r="H142" s="20">
        <v>-39699</v>
      </c>
      <c r="I142" s="20">
        <f t="shared" si="156"/>
        <v>339461</v>
      </c>
      <c r="J142" s="20"/>
      <c r="K142" s="20">
        <f t="shared" si="209"/>
        <v>339461</v>
      </c>
      <c r="L142" s="20"/>
      <c r="M142" s="20">
        <v>389203</v>
      </c>
      <c r="N142" s="20">
        <v>43242</v>
      </c>
      <c r="O142" s="20">
        <f t="shared" si="214"/>
        <v>432445</v>
      </c>
      <c r="R142" s="20">
        <v>434142</v>
      </c>
      <c r="S142" s="20"/>
      <c r="T142" s="20">
        <f t="shared" si="112"/>
        <v>434142</v>
      </c>
      <c r="U142" s="20">
        <v>414947</v>
      </c>
      <c r="V142" s="20"/>
      <c r="W142" s="20">
        <f>U142+V142</f>
        <v>414947</v>
      </c>
    </row>
    <row r="143" spans="1:25" s="158" customFormat="1" ht="24.75" customHeight="1" x14ac:dyDescent="0.25">
      <c r="A143" s="108"/>
      <c r="B143" s="107" t="s">
        <v>307</v>
      </c>
      <c r="C143" s="157">
        <f>C9+C84</f>
        <v>222083891</v>
      </c>
      <c r="D143" s="157"/>
      <c r="E143" s="157"/>
      <c r="F143" s="157">
        <f t="shared" ref="F143:O143" si="217">F9+F84</f>
        <v>4802500</v>
      </c>
      <c r="G143" s="157">
        <f t="shared" si="217"/>
        <v>226886391</v>
      </c>
      <c r="H143" s="157">
        <f t="shared" si="217"/>
        <v>-4115019</v>
      </c>
      <c r="I143" s="157">
        <f t="shared" si="217"/>
        <v>222771372</v>
      </c>
      <c r="J143" s="157">
        <f t="shared" si="217"/>
        <v>-2547950</v>
      </c>
      <c r="K143" s="157">
        <f t="shared" si="217"/>
        <v>220223422</v>
      </c>
      <c r="L143" s="157">
        <f t="shared" si="217"/>
        <v>16088001.16</v>
      </c>
      <c r="M143" s="157">
        <f t="shared" si="217"/>
        <v>248473965.16</v>
      </c>
      <c r="N143" s="157">
        <f t="shared" si="217"/>
        <v>3862036.5</v>
      </c>
      <c r="O143" s="157">
        <f t="shared" si="217"/>
        <v>252336001.66</v>
      </c>
      <c r="R143" s="157">
        <f t="shared" ref="R143:W143" si="218">R9+R84</f>
        <v>304128480</v>
      </c>
      <c r="S143" s="157">
        <f t="shared" si="218"/>
        <v>-5599900</v>
      </c>
      <c r="T143" s="157">
        <f t="shared" si="218"/>
        <v>298528580</v>
      </c>
      <c r="U143" s="157">
        <f t="shared" si="218"/>
        <v>305236873</v>
      </c>
      <c r="V143" s="157">
        <f t="shared" si="218"/>
        <v>-5153400</v>
      </c>
      <c r="W143" s="157">
        <f t="shared" si="218"/>
        <v>300083473</v>
      </c>
    </row>
    <row r="144" spans="1:25" ht="24.75" hidden="1" customHeight="1" x14ac:dyDescent="0.25">
      <c r="A144" s="63"/>
      <c r="B144" s="5"/>
      <c r="C144" s="8"/>
      <c r="D144" s="8"/>
      <c r="E144" s="8"/>
      <c r="F144" s="171"/>
      <c r="G144" s="152"/>
      <c r="H144" s="171">
        <f>SUM(H145:H167)</f>
        <v>-3254319</v>
      </c>
      <c r="I144" s="152"/>
      <c r="J144" s="171">
        <f>SUM(J145:J167)</f>
        <v>0</v>
      </c>
      <c r="K144" s="152"/>
      <c r="L144" s="171">
        <f>SUM(L145:L167)</f>
        <v>0</v>
      </c>
      <c r="M144" s="152"/>
      <c r="N144" s="171">
        <f>SUM(N145:N167)</f>
        <v>15420804</v>
      </c>
      <c r="O144" s="152"/>
      <c r="S144" s="171">
        <f>SUM(S145:S167)</f>
        <v>-4321000</v>
      </c>
      <c r="V144" s="171">
        <f>SUM(V145:V167)</f>
        <v>-4269500</v>
      </c>
    </row>
    <row r="145" spans="1:22" ht="12.75" hidden="1" customHeight="1" x14ac:dyDescent="0.25">
      <c r="A145" s="63"/>
      <c r="C145" s="8"/>
      <c r="D145" s="8"/>
      <c r="E145" s="8"/>
      <c r="F145" s="8"/>
      <c r="G145" s="8"/>
      <c r="H145" s="8">
        <v>-2589800</v>
      </c>
      <c r="I145" s="8"/>
      <c r="J145" s="8"/>
      <c r="K145" s="8"/>
      <c r="L145" s="8"/>
      <c r="M145" s="8">
        <f>M146+M147</f>
        <v>248473965.16</v>
      </c>
      <c r="N145" s="8">
        <f t="shared" ref="N145:O145" si="219">N146+N147</f>
        <v>3862036.5</v>
      </c>
      <c r="O145" s="8">
        <f t="shared" si="219"/>
        <v>252336001.66</v>
      </c>
      <c r="S145" s="64">
        <v>-2958200</v>
      </c>
      <c r="V145" s="64">
        <v>-3416500</v>
      </c>
    </row>
    <row r="146" spans="1:22" s="66" customFormat="1" ht="12.75" hidden="1" customHeight="1" x14ac:dyDescent="0.25">
      <c r="A146" s="169"/>
      <c r="B146" s="12" t="s">
        <v>735</v>
      </c>
      <c r="C146" s="12"/>
      <c r="D146" s="12"/>
      <c r="E146" s="12"/>
      <c r="G146" s="276" t="s">
        <v>178</v>
      </c>
      <c r="H146" s="66">
        <v>-1690900</v>
      </c>
      <c r="I146" s="276" t="s">
        <v>178</v>
      </c>
      <c r="K146" s="276" t="s">
        <v>178</v>
      </c>
      <c r="M146" s="277">
        <f>M9</f>
        <v>52770600</v>
      </c>
      <c r="N146" s="277">
        <f t="shared" ref="N146:O146" si="220">N9</f>
        <v>0</v>
      </c>
      <c r="O146" s="277">
        <f t="shared" si="220"/>
        <v>52770600</v>
      </c>
      <c r="S146" s="66">
        <v>-1362800</v>
      </c>
      <c r="V146" s="66">
        <v>-853000</v>
      </c>
    </row>
    <row r="147" spans="1:22" s="66" customFormat="1" ht="12.75" hidden="1" customHeight="1" x14ac:dyDescent="0.25">
      <c r="A147" s="169"/>
      <c r="B147" s="12" t="s">
        <v>736</v>
      </c>
      <c r="C147" s="12"/>
      <c r="D147" s="12"/>
      <c r="E147" s="12"/>
      <c r="G147" s="276"/>
      <c r="I147" s="276"/>
      <c r="K147" s="276"/>
      <c r="M147" s="277">
        <f>M148+M153</f>
        <v>195703365.16</v>
      </c>
      <c r="N147" s="277">
        <f t="shared" ref="N147:O147" si="221">N148+N153</f>
        <v>3862036.5</v>
      </c>
      <c r="O147" s="277">
        <f t="shared" si="221"/>
        <v>199565401.66</v>
      </c>
    </row>
    <row r="148" spans="1:22" ht="12.75" hidden="1" customHeight="1" x14ac:dyDescent="0.25">
      <c r="A148" s="63"/>
      <c r="B148" s="5" t="s">
        <v>583</v>
      </c>
      <c r="C148" s="5"/>
      <c r="D148" s="5"/>
      <c r="E148" s="5"/>
      <c r="M148" s="152">
        <f>SUM(M149:M152)</f>
        <v>183189312.16</v>
      </c>
      <c r="N148" s="152">
        <f t="shared" ref="N148:O148" si="222">SUM(N149:N152)</f>
        <v>3834694.5</v>
      </c>
      <c r="O148" s="152">
        <f t="shared" si="222"/>
        <v>187024006.66</v>
      </c>
    </row>
    <row r="149" spans="1:22" ht="12.75" hidden="1" customHeight="1" x14ac:dyDescent="0.25">
      <c r="A149" s="63"/>
      <c r="B149" s="5" t="s">
        <v>737</v>
      </c>
      <c r="C149" s="5"/>
      <c r="D149" s="5"/>
      <c r="E149" s="5"/>
      <c r="M149" s="152">
        <f>M86</f>
        <v>39912482</v>
      </c>
      <c r="N149" s="152">
        <f>N86</f>
        <v>0</v>
      </c>
      <c r="O149" s="152">
        <f>O86</f>
        <v>39912482</v>
      </c>
    </row>
    <row r="150" spans="1:22" ht="12.75" hidden="1" customHeight="1" x14ac:dyDescent="0.25">
      <c r="A150" s="63"/>
      <c r="B150" s="5" t="s">
        <v>738</v>
      </c>
      <c r="C150" s="5"/>
      <c r="D150" s="5"/>
      <c r="E150" s="5"/>
      <c r="M150" s="152">
        <f>M91</f>
        <v>16446370</v>
      </c>
      <c r="N150" s="152">
        <f>N91</f>
        <v>1381135.5</v>
      </c>
      <c r="O150" s="152">
        <f>O91</f>
        <v>17827505.5</v>
      </c>
    </row>
    <row r="151" spans="1:22" ht="12.75" hidden="1" customHeight="1" x14ac:dyDescent="0.25">
      <c r="A151" s="63"/>
      <c r="B151" s="5" t="s">
        <v>739</v>
      </c>
      <c r="C151" s="5"/>
      <c r="D151" s="5"/>
      <c r="E151" s="5"/>
      <c r="M151" s="152">
        <f>M107</f>
        <v>125369138.91</v>
      </c>
      <c r="N151" s="152">
        <f t="shared" ref="N151:O151" si="223">N107</f>
        <v>161639</v>
      </c>
      <c r="O151" s="152">
        <f t="shared" si="223"/>
        <v>125530777.91</v>
      </c>
    </row>
    <row r="152" spans="1:22" ht="12.75" hidden="1" customHeight="1" x14ac:dyDescent="0.25">
      <c r="A152" s="63"/>
      <c r="B152" s="5" t="s">
        <v>740</v>
      </c>
      <c r="C152" s="5"/>
      <c r="D152" s="5"/>
      <c r="E152" s="5"/>
      <c r="M152" s="152">
        <f>M139+M137</f>
        <v>1461321.25</v>
      </c>
      <c r="N152" s="152">
        <f t="shared" ref="N152:O152" si="224">N139+N137</f>
        <v>2291920</v>
      </c>
      <c r="O152" s="152">
        <f t="shared" si="224"/>
        <v>3753241.25</v>
      </c>
    </row>
    <row r="153" spans="1:22" ht="12.75" hidden="1" customHeight="1" x14ac:dyDescent="0.25">
      <c r="B153" s="64" t="s">
        <v>621</v>
      </c>
      <c r="H153" s="64">
        <v>-59619</v>
      </c>
      <c r="M153" s="152">
        <f>M135+M141</f>
        <v>12514053</v>
      </c>
      <c r="N153" s="152">
        <f t="shared" ref="N153:O153" si="225">N135+N141</f>
        <v>27342</v>
      </c>
      <c r="O153" s="152">
        <f t="shared" si="225"/>
        <v>12541395</v>
      </c>
    </row>
    <row r="154" spans="1:22" ht="12.75" hidden="1" customHeight="1" x14ac:dyDescent="0.25">
      <c r="H154" s="64">
        <v>-74105</v>
      </c>
      <c r="N154" s="64"/>
    </row>
    <row r="155" spans="1:22" ht="12.75" hidden="1" customHeight="1" x14ac:dyDescent="0.25">
      <c r="H155" s="64">
        <v>249959</v>
      </c>
      <c r="M155" s="152">
        <f>M143-M145</f>
        <v>0</v>
      </c>
      <c r="N155" s="152">
        <f t="shared" ref="N155:O155" si="226">N143-N145</f>
        <v>0</v>
      </c>
      <c r="O155" s="152">
        <f t="shared" si="226"/>
        <v>0</v>
      </c>
    </row>
    <row r="156" spans="1:22" ht="12.75" hidden="1" customHeight="1" x14ac:dyDescent="0.25">
      <c r="H156" s="64">
        <v>-46060</v>
      </c>
      <c r="N156" s="64"/>
    </row>
    <row r="157" spans="1:22" ht="12.75" hidden="1" customHeight="1" x14ac:dyDescent="0.25">
      <c r="H157" s="64">
        <v>-12145</v>
      </c>
      <c r="N157" s="64"/>
    </row>
    <row r="158" spans="1:22" ht="12.75" hidden="1" customHeight="1" x14ac:dyDescent="0.25">
      <c r="H158" s="64">
        <v>808050</v>
      </c>
      <c r="I158" s="64"/>
      <c r="K158" s="64"/>
      <c r="M158" s="64"/>
      <c r="N158" s="64"/>
      <c r="O158" s="64"/>
    </row>
    <row r="159" spans="1:22" ht="12.75" customHeight="1" x14ac:dyDescent="0.25">
      <c r="H159" s="64">
        <v>-39699</v>
      </c>
      <c r="I159" s="64"/>
      <c r="K159" s="64"/>
      <c r="M159" s="64"/>
      <c r="N159" s="64"/>
      <c r="O159" s="64"/>
    </row>
    <row r="160" spans="1:22" ht="12.75" customHeight="1" x14ac:dyDescent="0.25">
      <c r="H160" s="64">
        <v>200000</v>
      </c>
      <c r="I160" s="64"/>
      <c r="K160" s="64"/>
      <c r="M160" s="64"/>
      <c r="N160" s="64"/>
      <c r="O160" s="64"/>
    </row>
    <row r="161" spans="7:15" ht="12.75" customHeight="1" x14ac:dyDescent="0.25">
      <c r="I161" s="64"/>
      <c r="K161" s="64"/>
      <c r="M161" s="64"/>
      <c r="N161" s="64"/>
      <c r="O161" s="64"/>
    </row>
    <row r="162" spans="7:15" ht="12.75" customHeight="1" x14ac:dyDescent="0.25">
      <c r="I162" s="64"/>
      <c r="K162" s="64"/>
      <c r="M162" s="64"/>
      <c r="N162" s="64"/>
      <c r="O162" s="64"/>
    </row>
    <row r="163" spans="7:15" ht="12.75" customHeight="1" x14ac:dyDescent="0.25">
      <c r="I163" s="64"/>
      <c r="K163" s="64"/>
      <c r="M163" s="64"/>
      <c r="N163" s="64"/>
      <c r="O163" s="64"/>
    </row>
    <row r="164" spans="7:15" ht="12.75" customHeight="1" x14ac:dyDescent="0.25">
      <c r="I164" s="64"/>
      <c r="K164" s="64"/>
      <c r="M164" s="64"/>
      <c r="N164" s="64"/>
      <c r="O164" s="64"/>
    </row>
    <row r="165" spans="7:15" ht="17.25" customHeight="1" x14ac:dyDescent="0.25">
      <c r="I165" s="64"/>
      <c r="K165" s="64"/>
      <c r="M165" s="64"/>
      <c r="N165" s="64"/>
      <c r="O165" s="64"/>
    </row>
    <row r="166" spans="7:15" ht="17.25" customHeight="1" x14ac:dyDescent="0.25">
      <c r="G166" s="64"/>
      <c r="I166" s="64"/>
      <c r="K166" s="64"/>
      <c r="M166" s="64"/>
      <c r="N166" s="64"/>
      <c r="O166" s="64"/>
    </row>
    <row r="167" spans="7:15" ht="49.5" customHeight="1" x14ac:dyDescent="0.25">
      <c r="G167" s="64"/>
      <c r="I167" s="64"/>
      <c r="K167" s="64"/>
      <c r="M167" s="64"/>
      <c r="N167" s="64"/>
      <c r="O167" s="64"/>
    </row>
    <row r="168" spans="7:15" ht="50.25" customHeight="1" x14ac:dyDescent="0.25">
      <c r="G168" s="64"/>
      <c r="I168" s="64"/>
      <c r="K168" s="64"/>
      <c r="M168" s="64"/>
      <c r="N168" s="64"/>
      <c r="O168" s="64"/>
    </row>
    <row r="169" spans="7:15" ht="15" customHeight="1" x14ac:dyDescent="0.25">
      <c r="G169" s="64"/>
      <c r="I169" s="64"/>
      <c r="K169" s="64"/>
      <c r="M169" s="64"/>
      <c r="N169" s="64"/>
      <c r="O169" s="64"/>
    </row>
    <row r="170" spans="7:15" ht="15" customHeight="1" x14ac:dyDescent="0.25">
      <c r="G170" s="64"/>
      <c r="I170" s="64"/>
      <c r="K170" s="64"/>
      <c r="M170" s="64"/>
      <c r="N170" s="64"/>
      <c r="O170" s="64"/>
    </row>
    <row r="171" spans="7:15" ht="63" customHeight="1" x14ac:dyDescent="0.25">
      <c r="G171" s="64"/>
      <c r="I171" s="64"/>
      <c r="K171" s="64"/>
      <c r="M171" s="64"/>
      <c r="N171" s="64"/>
      <c r="O171" s="64"/>
    </row>
    <row r="172" spans="7:15" ht="21" customHeight="1" x14ac:dyDescent="0.25">
      <c r="G172" s="64"/>
      <c r="I172" s="64"/>
      <c r="K172" s="64"/>
      <c r="M172" s="64"/>
      <c r="N172" s="64"/>
      <c r="O172" s="64"/>
    </row>
    <row r="173" spans="7:15" ht="48" customHeight="1" x14ac:dyDescent="0.25">
      <c r="G173" s="64"/>
      <c r="I173" s="64"/>
      <c r="K173" s="64"/>
      <c r="M173" s="64"/>
      <c r="N173" s="64"/>
      <c r="O173" s="64"/>
    </row>
    <row r="174" spans="7:15" ht="48" customHeight="1" x14ac:dyDescent="0.25">
      <c r="G174" s="64"/>
      <c r="I174" s="64"/>
      <c r="K174" s="64"/>
      <c r="M174" s="64"/>
      <c r="N174" s="64"/>
      <c r="O174" s="64"/>
    </row>
    <row r="175" spans="7:15" ht="14.25" customHeight="1" x14ac:dyDescent="0.25">
      <c r="G175" s="64"/>
      <c r="I175" s="64"/>
      <c r="K175" s="64"/>
      <c r="M175" s="64"/>
      <c r="N175" s="64"/>
      <c r="O175" s="64"/>
    </row>
    <row r="176" spans="7:15" ht="27" customHeight="1" x14ac:dyDescent="0.25">
      <c r="G176" s="64"/>
      <c r="I176" s="64"/>
      <c r="K176" s="64"/>
      <c r="M176" s="64"/>
      <c r="N176" s="64"/>
      <c r="O176" s="64"/>
    </row>
    <row r="177" spans="7:15" ht="18" customHeight="1" x14ac:dyDescent="0.25">
      <c r="G177" s="64"/>
      <c r="I177" s="64"/>
      <c r="K177" s="64"/>
      <c r="M177" s="64"/>
      <c r="N177" s="64"/>
      <c r="O177" s="64"/>
    </row>
    <row r="178" spans="7:15" x14ac:dyDescent="0.25">
      <c r="N178" s="64"/>
    </row>
  </sheetData>
  <mergeCells count="3">
    <mergeCell ref="A3:O3"/>
    <mergeCell ref="M2:O2"/>
    <mergeCell ref="M1:O1"/>
  </mergeCells>
  <pageMargins left="0.62992125984251968" right="0.19685039370078741" top="0" bottom="0" header="0.31496062992125984" footer="0.31496062992125984"/>
  <pageSetup paperSize="9" scale="7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N27"/>
  <sheetViews>
    <sheetView workbookViewId="0">
      <pane xSplit="7" ySplit="7" topLeftCell="H8" activePane="bottomRight" state="frozen"/>
      <selection activeCell="B8" sqref="B8:C8"/>
      <selection pane="topRight" activeCell="B8" sqref="B8:C8"/>
      <selection pane="bottomLeft" activeCell="B8" sqref="B8:C8"/>
      <selection pane="bottomRight" activeCell="N31" sqref="N31"/>
    </sheetView>
  </sheetViews>
  <sheetFormatPr defaultRowHeight="12.75" x14ac:dyDescent="0.25"/>
  <cols>
    <col min="1" max="1" width="27.28515625" style="127" customWidth="1"/>
    <col min="2" max="2" width="21.42578125" style="127" customWidth="1"/>
    <col min="3" max="3" width="42.140625" style="127" customWidth="1"/>
    <col min="4" max="7" width="16.140625" style="127" hidden="1" customWidth="1"/>
    <col min="8" max="8" width="19" style="127" hidden="1" customWidth="1"/>
    <col min="9" max="9" width="16.42578125" style="127" hidden="1" customWidth="1"/>
    <col min="10" max="10" width="18.28515625" style="127" hidden="1" customWidth="1"/>
    <col min="11" max="11" width="16.42578125" style="127" hidden="1" customWidth="1"/>
    <col min="12" max="13" width="15.28515625" style="127" hidden="1" customWidth="1"/>
    <col min="14" max="14" width="20.140625" style="127" customWidth="1"/>
    <col min="15" max="234" width="9.140625" style="127"/>
    <col min="235" max="235" width="26" style="127" customWidth="1"/>
    <col min="236" max="236" width="17.140625" style="127" customWidth="1"/>
    <col min="237" max="237" width="47.42578125" style="127" customWidth="1"/>
    <col min="238" max="238" width="15.5703125" style="127" customWidth="1"/>
    <col min="239" max="239" width="12.7109375" style="127" customWidth="1"/>
    <col min="240" max="490" width="9.140625" style="127"/>
    <col min="491" max="491" width="26" style="127" customWidth="1"/>
    <col min="492" max="492" width="17.140625" style="127" customWidth="1"/>
    <col min="493" max="493" width="47.42578125" style="127" customWidth="1"/>
    <col min="494" max="494" width="15.5703125" style="127" customWidth="1"/>
    <col min="495" max="495" width="12.7109375" style="127" customWidth="1"/>
    <col min="496" max="746" width="9.140625" style="127"/>
    <col min="747" max="747" width="26" style="127" customWidth="1"/>
    <col min="748" max="748" width="17.140625" style="127" customWidth="1"/>
    <col min="749" max="749" width="47.42578125" style="127" customWidth="1"/>
    <col min="750" max="750" width="15.5703125" style="127" customWidth="1"/>
    <col min="751" max="751" width="12.7109375" style="127" customWidth="1"/>
    <col min="752" max="1002" width="9.140625" style="127"/>
    <col min="1003" max="1003" width="26" style="127" customWidth="1"/>
    <col min="1004" max="1004" width="17.140625" style="127" customWidth="1"/>
    <col min="1005" max="1005" width="47.42578125" style="127" customWidth="1"/>
    <col min="1006" max="1006" width="15.5703125" style="127" customWidth="1"/>
    <col min="1007" max="1007" width="12.7109375" style="127" customWidth="1"/>
    <col min="1008" max="1258" width="9.140625" style="127"/>
    <col min="1259" max="1259" width="26" style="127" customWidth="1"/>
    <col min="1260" max="1260" width="17.140625" style="127" customWidth="1"/>
    <col min="1261" max="1261" width="47.42578125" style="127" customWidth="1"/>
    <col min="1262" max="1262" width="15.5703125" style="127" customWidth="1"/>
    <col min="1263" max="1263" width="12.7109375" style="127" customWidth="1"/>
    <col min="1264" max="1514" width="9.140625" style="127"/>
    <col min="1515" max="1515" width="26" style="127" customWidth="1"/>
    <col min="1516" max="1516" width="17.140625" style="127" customWidth="1"/>
    <col min="1517" max="1517" width="47.42578125" style="127" customWidth="1"/>
    <col min="1518" max="1518" width="15.5703125" style="127" customWidth="1"/>
    <col min="1519" max="1519" width="12.7109375" style="127" customWidth="1"/>
    <col min="1520" max="1770" width="9.140625" style="127"/>
    <col min="1771" max="1771" width="26" style="127" customWidth="1"/>
    <col min="1772" max="1772" width="17.140625" style="127" customWidth="1"/>
    <col min="1773" max="1773" width="47.42578125" style="127" customWidth="1"/>
    <col min="1774" max="1774" width="15.5703125" style="127" customWidth="1"/>
    <col min="1775" max="1775" width="12.7109375" style="127" customWidth="1"/>
    <col min="1776" max="2026" width="9.140625" style="127"/>
    <col min="2027" max="2027" width="26" style="127" customWidth="1"/>
    <col min="2028" max="2028" width="17.140625" style="127" customWidth="1"/>
    <col min="2029" max="2029" width="47.42578125" style="127" customWidth="1"/>
    <col min="2030" max="2030" width="15.5703125" style="127" customWidth="1"/>
    <col min="2031" max="2031" width="12.7109375" style="127" customWidth="1"/>
    <col min="2032" max="2282" width="9.140625" style="127"/>
    <col min="2283" max="2283" width="26" style="127" customWidth="1"/>
    <col min="2284" max="2284" width="17.140625" style="127" customWidth="1"/>
    <col min="2285" max="2285" width="47.42578125" style="127" customWidth="1"/>
    <col min="2286" max="2286" width="15.5703125" style="127" customWidth="1"/>
    <col min="2287" max="2287" width="12.7109375" style="127" customWidth="1"/>
    <col min="2288" max="2538" width="9.140625" style="127"/>
    <col min="2539" max="2539" width="26" style="127" customWidth="1"/>
    <col min="2540" max="2540" width="17.140625" style="127" customWidth="1"/>
    <col min="2541" max="2541" width="47.42578125" style="127" customWidth="1"/>
    <col min="2542" max="2542" width="15.5703125" style="127" customWidth="1"/>
    <col min="2543" max="2543" width="12.7109375" style="127" customWidth="1"/>
    <col min="2544" max="2794" width="9.140625" style="127"/>
    <col min="2795" max="2795" width="26" style="127" customWidth="1"/>
    <col min="2796" max="2796" width="17.140625" style="127" customWidth="1"/>
    <col min="2797" max="2797" width="47.42578125" style="127" customWidth="1"/>
    <col min="2798" max="2798" width="15.5703125" style="127" customWidth="1"/>
    <col min="2799" max="2799" width="12.7109375" style="127" customWidth="1"/>
    <col min="2800" max="3050" width="9.140625" style="127"/>
    <col min="3051" max="3051" width="26" style="127" customWidth="1"/>
    <col min="3052" max="3052" width="17.140625" style="127" customWidth="1"/>
    <col min="3053" max="3053" width="47.42578125" style="127" customWidth="1"/>
    <col min="3054" max="3054" width="15.5703125" style="127" customWidth="1"/>
    <col min="3055" max="3055" width="12.7109375" style="127" customWidth="1"/>
    <col min="3056" max="3306" width="9.140625" style="127"/>
    <col min="3307" max="3307" width="26" style="127" customWidth="1"/>
    <col min="3308" max="3308" width="17.140625" style="127" customWidth="1"/>
    <col min="3309" max="3309" width="47.42578125" style="127" customWidth="1"/>
    <col min="3310" max="3310" width="15.5703125" style="127" customWidth="1"/>
    <col min="3311" max="3311" width="12.7109375" style="127" customWidth="1"/>
    <col min="3312" max="3562" width="9.140625" style="127"/>
    <col min="3563" max="3563" width="26" style="127" customWidth="1"/>
    <col min="3564" max="3564" width="17.140625" style="127" customWidth="1"/>
    <col min="3565" max="3565" width="47.42578125" style="127" customWidth="1"/>
    <col min="3566" max="3566" width="15.5703125" style="127" customWidth="1"/>
    <col min="3567" max="3567" width="12.7109375" style="127" customWidth="1"/>
    <col min="3568" max="3818" width="9.140625" style="127"/>
    <col min="3819" max="3819" width="26" style="127" customWidth="1"/>
    <col min="3820" max="3820" width="17.140625" style="127" customWidth="1"/>
    <col min="3821" max="3821" width="47.42578125" style="127" customWidth="1"/>
    <col min="3822" max="3822" width="15.5703125" style="127" customWidth="1"/>
    <col min="3823" max="3823" width="12.7109375" style="127" customWidth="1"/>
    <col min="3824" max="4074" width="9.140625" style="127"/>
    <col min="4075" max="4075" width="26" style="127" customWidth="1"/>
    <col min="4076" max="4076" width="17.140625" style="127" customWidth="1"/>
    <col min="4077" max="4077" width="47.42578125" style="127" customWidth="1"/>
    <col min="4078" max="4078" width="15.5703125" style="127" customWidth="1"/>
    <col min="4079" max="4079" width="12.7109375" style="127" customWidth="1"/>
    <col min="4080" max="4330" width="9.140625" style="127"/>
    <col min="4331" max="4331" width="26" style="127" customWidth="1"/>
    <col min="4332" max="4332" width="17.140625" style="127" customWidth="1"/>
    <col min="4333" max="4333" width="47.42578125" style="127" customWidth="1"/>
    <col min="4334" max="4334" width="15.5703125" style="127" customWidth="1"/>
    <col min="4335" max="4335" width="12.7109375" style="127" customWidth="1"/>
    <col min="4336" max="4586" width="9.140625" style="127"/>
    <col min="4587" max="4587" width="26" style="127" customWidth="1"/>
    <col min="4588" max="4588" width="17.140625" style="127" customWidth="1"/>
    <col min="4589" max="4589" width="47.42578125" style="127" customWidth="1"/>
    <col min="4590" max="4590" width="15.5703125" style="127" customWidth="1"/>
    <col min="4591" max="4591" width="12.7109375" style="127" customWidth="1"/>
    <col min="4592" max="4842" width="9.140625" style="127"/>
    <col min="4843" max="4843" width="26" style="127" customWidth="1"/>
    <col min="4844" max="4844" width="17.140625" style="127" customWidth="1"/>
    <col min="4845" max="4845" width="47.42578125" style="127" customWidth="1"/>
    <col min="4846" max="4846" width="15.5703125" style="127" customWidth="1"/>
    <col min="4847" max="4847" width="12.7109375" style="127" customWidth="1"/>
    <col min="4848" max="5098" width="9.140625" style="127"/>
    <col min="5099" max="5099" width="26" style="127" customWidth="1"/>
    <col min="5100" max="5100" width="17.140625" style="127" customWidth="1"/>
    <col min="5101" max="5101" width="47.42578125" style="127" customWidth="1"/>
    <col min="5102" max="5102" width="15.5703125" style="127" customWidth="1"/>
    <col min="5103" max="5103" width="12.7109375" style="127" customWidth="1"/>
    <col min="5104" max="5354" width="9.140625" style="127"/>
    <col min="5355" max="5355" width="26" style="127" customWidth="1"/>
    <col min="5356" max="5356" width="17.140625" style="127" customWidth="1"/>
    <col min="5357" max="5357" width="47.42578125" style="127" customWidth="1"/>
    <col min="5358" max="5358" width="15.5703125" style="127" customWidth="1"/>
    <col min="5359" max="5359" width="12.7109375" style="127" customWidth="1"/>
    <col min="5360" max="5610" width="9.140625" style="127"/>
    <col min="5611" max="5611" width="26" style="127" customWidth="1"/>
    <col min="5612" max="5612" width="17.140625" style="127" customWidth="1"/>
    <col min="5613" max="5613" width="47.42578125" style="127" customWidth="1"/>
    <col min="5614" max="5614" width="15.5703125" style="127" customWidth="1"/>
    <col min="5615" max="5615" width="12.7109375" style="127" customWidth="1"/>
    <col min="5616" max="5866" width="9.140625" style="127"/>
    <col min="5867" max="5867" width="26" style="127" customWidth="1"/>
    <col min="5868" max="5868" width="17.140625" style="127" customWidth="1"/>
    <col min="5869" max="5869" width="47.42578125" style="127" customWidth="1"/>
    <col min="5870" max="5870" width="15.5703125" style="127" customWidth="1"/>
    <col min="5871" max="5871" width="12.7109375" style="127" customWidth="1"/>
    <col min="5872" max="6122" width="9.140625" style="127"/>
    <col min="6123" max="6123" width="26" style="127" customWidth="1"/>
    <col min="6124" max="6124" width="17.140625" style="127" customWidth="1"/>
    <col min="6125" max="6125" width="47.42578125" style="127" customWidth="1"/>
    <col min="6126" max="6126" width="15.5703125" style="127" customWidth="1"/>
    <col min="6127" max="6127" width="12.7109375" style="127" customWidth="1"/>
    <col min="6128" max="6378" width="9.140625" style="127"/>
    <col min="6379" max="6379" width="26" style="127" customWidth="1"/>
    <col min="6380" max="6380" width="17.140625" style="127" customWidth="1"/>
    <col min="6381" max="6381" width="47.42578125" style="127" customWidth="1"/>
    <col min="6382" max="6382" width="15.5703125" style="127" customWidth="1"/>
    <col min="6383" max="6383" width="12.7109375" style="127" customWidth="1"/>
    <col min="6384" max="6634" width="9.140625" style="127"/>
    <col min="6635" max="6635" width="26" style="127" customWidth="1"/>
    <col min="6636" max="6636" width="17.140625" style="127" customWidth="1"/>
    <col min="6637" max="6637" width="47.42578125" style="127" customWidth="1"/>
    <col min="6638" max="6638" width="15.5703125" style="127" customWidth="1"/>
    <col min="6639" max="6639" width="12.7109375" style="127" customWidth="1"/>
    <col min="6640" max="6890" width="9.140625" style="127"/>
    <col min="6891" max="6891" width="26" style="127" customWidth="1"/>
    <col min="6892" max="6892" width="17.140625" style="127" customWidth="1"/>
    <col min="6893" max="6893" width="47.42578125" style="127" customWidth="1"/>
    <col min="6894" max="6894" width="15.5703125" style="127" customWidth="1"/>
    <col min="6895" max="6895" width="12.7109375" style="127" customWidth="1"/>
    <col min="6896" max="7146" width="9.140625" style="127"/>
    <col min="7147" max="7147" width="26" style="127" customWidth="1"/>
    <col min="7148" max="7148" width="17.140625" style="127" customWidth="1"/>
    <col min="7149" max="7149" width="47.42578125" style="127" customWidth="1"/>
    <col min="7150" max="7150" width="15.5703125" style="127" customWidth="1"/>
    <col min="7151" max="7151" width="12.7109375" style="127" customWidth="1"/>
    <col min="7152" max="7402" width="9.140625" style="127"/>
    <col min="7403" max="7403" width="26" style="127" customWidth="1"/>
    <col min="7404" max="7404" width="17.140625" style="127" customWidth="1"/>
    <col min="7405" max="7405" width="47.42578125" style="127" customWidth="1"/>
    <col min="7406" max="7406" width="15.5703125" style="127" customWidth="1"/>
    <col min="7407" max="7407" width="12.7109375" style="127" customWidth="1"/>
    <col min="7408" max="7658" width="9.140625" style="127"/>
    <col min="7659" max="7659" width="26" style="127" customWidth="1"/>
    <col min="7660" max="7660" width="17.140625" style="127" customWidth="1"/>
    <col min="7661" max="7661" width="47.42578125" style="127" customWidth="1"/>
    <col min="7662" max="7662" width="15.5703125" style="127" customWidth="1"/>
    <col min="7663" max="7663" width="12.7109375" style="127" customWidth="1"/>
    <col min="7664" max="7914" width="9.140625" style="127"/>
    <col min="7915" max="7915" width="26" style="127" customWidth="1"/>
    <col min="7916" max="7916" width="17.140625" style="127" customWidth="1"/>
    <col min="7917" max="7917" width="47.42578125" style="127" customWidth="1"/>
    <col min="7918" max="7918" width="15.5703125" style="127" customWidth="1"/>
    <col min="7919" max="7919" width="12.7109375" style="127" customWidth="1"/>
    <col min="7920" max="8170" width="9.140625" style="127"/>
    <col min="8171" max="8171" width="26" style="127" customWidth="1"/>
    <col min="8172" max="8172" width="17.140625" style="127" customWidth="1"/>
    <col min="8173" max="8173" width="47.42578125" style="127" customWidth="1"/>
    <col min="8174" max="8174" width="15.5703125" style="127" customWidth="1"/>
    <col min="8175" max="8175" width="12.7109375" style="127" customWidth="1"/>
    <col min="8176" max="8426" width="9.140625" style="127"/>
    <col min="8427" max="8427" width="26" style="127" customWidth="1"/>
    <col min="8428" max="8428" width="17.140625" style="127" customWidth="1"/>
    <col min="8429" max="8429" width="47.42578125" style="127" customWidth="1"/>
    <col min="8430" max="8430" width="15.5703125" style="127" customWidth="1"/>
    <col min="8431" max="8431" width="12.7109375" style="127" customWidth="1"/>
    <col min="8432" max="8682" width="9.140625" style="127"/>
    <col min="8683" max="8683" width="26" style="127" customWidth="1"/>
    <col min="8684" max="8684" width="17.140625" style="127" customWidth="1"/>
    <col min="8685" max="8685" width="47.42578125" style="127" customWidth="1"/>
    <col min="8686" max="8686" width="15.5703125" style="127" customWidth="1"/>
    <col min="8687" max="8687" width="12.7109375" style="127" customWidth="1"/>
    <col min="8688" max="8938" width="9.140625" style="127"/>
    <col min="8939" max="8939" width="26" style="127" customWidth="1"/>
    <col min="8940" max="8940" width="17.140625" style="127" customWidth="1"/>
    <col min="8941" max="8941" width="47.42578125" style="127" customWidth="1"/>
    <col min="8942" max="8942" width="15.5703125" style="127" customWidth="1"/>
    <col min="8943" max="8943" width="12.7109375" style="127" customWidth="1"/>
    <col min="8944" max="9194" width="9.140625" style="127"/>
    <col min="9195" max="9195" width="26" style="127" customWidth="1"/>
    <col min="9196" max="9196" width="17.140625" style="127" customWidth="1"/>
    <col min="9197" max="9197" width="47.42578125" style="127" customWidth="1"/>
    <col min="9198" max="9198" width="15.5703125" style="127" customWidth="1"/>
    <col min="9199" max="9199" width="12.7109375" style="127" customWidth="1"/>
    <col min="9200" max="9450" width="9.140625" style="127"/>
    <col min="9451" max="9451" width="26" style="127" customWidth="1"/>
    <col min="9452" max="9452" width="17.140625" style="127" customWidth="1"/>
    <col min="9453" max="9453" width="47.42578125" style="127" customWidth="1"/>
    <col min="9454" max="9454" width="15.5703125" style="127" customWidth="1"/>
    <col min="9455" max="9455" width="12.7109375" style="127" customWidth="1"/>
    <col min="9456" max="9706" width="9.140625" style="127"/>
    <col min="9707" max="9707" width="26" style="127" customWidth="1"/>
    <col min="9708" max="9708" width="17.140625" style="127" customWidth="1"/>
    <col min="9709" max="9709" width="47.42578125" style="127" customWidth="1"/>
    <col min="9710" max="9710" width="15.5703125" style="127" customWidth="1"/>
    <col min="9711" max="9711" width="12.7109375" style="127" customWidth="1"/>
    <col min="9712" max="9962" width="9.140625" style="127"/>
    <col min="9963" max="9963" width="26" style="127" customWidth="1"/>
    <col min="9964" max="9964" width="17.140625" style="127" customWidth="1"/>
    <col min="9965" max="9965" width="47.42578125" style="127" customWidth="1"/>
    <col min="9966" max="9966" width="15.5703125" style="127" customWidth="1"/>
    <col min="9967" max="9967" width="12.7109375" style="127" customWidth="1"/>
    <col min="9968" max="10218" width="9.140625" style="127"/>
    <col min="10219" max="10219" width="26" style="127" customWidth="1"/>
    <col min="10220" max="10220" width="17.140625" style="127" customWidth="1"/>
    <col min="10221" max="10221" width="47.42578125" style="127" customWidth="1"/>
    <col min="10222" max="10222" width="15.5703125" style="127" customWidth="1"/>
    <col min="10223" max="10223" width="12.7109375" style="127" customWidth="1"/>
    <col min="10224" max="10474" width="9.140625" style="127"/>
    <col min="10475" max="10475" width="26" style="127" customWidth="1"/>
    <col min="10476" max="10476" width="17.140625" style="127" customWidth="1"/>
    <col min="10477" max="10477" width="47.42578125" style="127" customWidth="1"/>
    <col min="10478" max="10478" width="15.5703125" style="127" customWidth="1"/>
    <col min="10479" max="10479" width="12.7109375" style="127" customWidth="1"/>
    <col min="10480" max="10730" width="9.140625" style="127"/>
    <col min="10731" max="10731" width="26" style="127" customWidth="1"/>
    <col min="10732" max="10732" width="17.140625" style="127" customWidth="1"/>
    <col min="10733" max="10733" width="47.42578125" style="127" customWidth="1"/>
    <col min="10734" max="10734" width="15.5703125" style="127" customWidth="1"/>
    <col min="10735" max="10735" width="12.7109375" style="127" customWidth="1"/>
    <col min="10736" max="10986" width="9.140625" style="127"/>
    <col min="10987" max="10987" width="26" style="127" customWidth="1"/>
    <col min="10988" max="10988" width="17.140625" style="127" customWidth="1"/>
    <col min="10989" max="10989" width="47.42578125" style="127" customWidth="1"/>
    <col min="10990" max="10990" width="15.5703125" style="127" customWidth="1"/>
    <col min="10991" max="10991" width="12.7109375" style="127" customWidth="1"/>
    <col min="10992" max="11242" width="9.140625" style="127"/>
    <col min="11243" max="11243" width="26" style="127" customWidth="1"/>
    <col min="11244" max="11244" width="17.140625" style="127" customWidth="1"/>
    <col min="11245" max="11245" width="47.42578125" style="127" customWidth="1"/>
    <col min="11246" max="11246" width="15.5703125" style="127" customWidth="1"/>
    <col min="11247" max="11247" width="12.7109375" style="127" customWidth="1"/>
    <col min="11248" max="11498" width="9.140625" style="127"/>
    <col min="11499" max="11499" width="26" style="127" customWidth="1"/>
    <col min="11500" max="11500" width="17.140625" style="127" customWidth="1"/>
    <col min="11501" max="11501" width="47.42578125" style="127" customWidth="1"/>
    <col min="11502" max="11502" width="15.5703125" style="127" customWidth="1"/>
    <col min="11503" max="11503" width="12.7109375" style="127" customWidth="1"/>
    <col min="11504" max="11754" width="9.140625" style="127"/>
    <col min="11755" max="11755" width="26" style="127" customWidth="1"/>
    <col min="11756" max="11756" width="17.140625" style="127" customWidth="1"/>
    <col min="11757" max="11757" width="47.42578125" style="127" customWidth="1"/>
    <col min="11758" max="11758" width="15.5703125" style="127" customWidth="1"/>
    <col min="11759" max="11759" width="12.7109375" style="127" customWidth="1"/>
    <col min="11760" max="12010" width="9.140625" style="127"/>
    <col min="12011" max="12011" width="26" style="127" customWidth="1"/>
    <col min="12012" max="12012" width="17.140625" style="127" customWidth="1"/>
    <col min="12013" max="12013" width="47.42578125" style="127" customWidth="1"/>
    <col min="12014" max="12014" width="15.5703125" style="127" customWidth="1"/>
    <col min="12015" max="12015" width="12.7109375" style="127" customWidth="1"/>
    <col min="12016" max="12266" width="9.140625" style="127"/>
    <col min="12267" max="12267" width="26" style="127" customWidth="1"/>
    <col min="12268" max="12268" width="17.140625" style="127" customWidth="1"/>
    <col min="12269" max="12269" width="47.42578125" style="127" customWidth="1"/>
    <col min="12270" max="12270" width="15.5703125" style="127" customWidth="1"/>
    <col min="12271" max="12271" width="12.7109375" style="127" customWidth="1"/>
    <col min="12272" max="12522" width="9.140625" style="127"/>
    <col min="12523" max="12523" width="26" style="127" customWidth="1"/>
    <col min="12524" max="12524" width="17.140625" style="127" customWidth="1"/>
    <col min="12525" max="12525" width="47.42578125" style="127" customWidth="1"/>
    <col min="12526" max="12526" width="15.5703125" style="127" customWidth="1"/>
    <col min="12527" max="12527" width="12.7109375" style="127" customWidth="1"/>
    <col min="12528" max="12778" width="9.140625" style="127"/>
    <col min="12779" max="12779" width="26" style="127" customWidth="1"/>
    <col min="12780" max="12780" width="17.140625" style="127" customWidth="1"/>
    <col min="12781" max="12781" width="47.42578125" style="127" customWidth="1"/>
    <col min="12782" max="12782" width="15.5703125" style="127" customWidth="1"/>
    <col min="12783" max="12783" width="12.7109375" style="127" customWidth="1"/>
    <col min="12784" max="13034" width="9.140625" style="127"/>
    <col min="13035" max="13035" width="26" style="127" customWidth="1"/>
    <col min="13036" max="13036" width="17.140625" style="127" customWidth="1"/>
    <col min="13037" max="13037" width="47.42578125" style="127" customWidth="1"/>
    <col min="13038" max="13038" width="15.5703125" style="127" customWidth="1"/>
    <col min="13039" max="13039" width="12.7109375" style="127" customWidth="1"/>
    <col min="13040" max="13290" width="9.140625" style="127"/>
    <col min="13291" max="13291" width="26" style="127" customWidth="1"/>
    <col min="13292" max="13292" width="17.140625" style="127" customWidth="1"/>
    <col min="13293" max="13293" width="47.42578125" style="127" customWidth="1"/>
    <col min="13294" max="13294" width="15.5703125" style="127" customWidth="1"/>
    <col min="13295" max="13295" width="12.7109375" style="127" customWidth="1"/>
    <col min="13296" max="13546" width="9.140625" style="127"/>
    <col min="13547" max="13547" width="26" style="127" customWidth="1"/>
    <col min="13548" max="13548" width="17.140625" style="127" customWidth="1"/>
    <col min="13549" max="13549" width="47.42578125" style="127" customWidth="1"/>
    <col min="13550" max="13550" width="15.5703125" style="127" customWidth="1"/>
    <col min="13551" max="13551" width="12.7109375" style="127" customWidth="1"/>
    <col min="13552" max="13802" width="9.140625" style="127"/>
    <col min="13803" max="13803" width="26" style="127" customWidth="1"/>
    <col min="13804" max="13804" width="17.140625" style="127" customWidth="1"/>
    <col min="13805" max="13805" width="47.42578125" style="127" customWidth="1"/>
    <col min="13806" max="13806" width="15.5703125" style="127" customWidth="1"/>
    <col min="13807" max="13807" width="12.7109375" style="127" customWidth="1"/>
    <col min="13808" max="14058" width="9.140625" style="127"/>
    <col min="14059" max="14059" width="26" style="127" customWidth="1"/>
    <col min="14060" max="14060" width="17.140625" style="127" customWidth="1"/>
    <col min="14061" max="14061" width="47.42578125" style="127" customWidth="1"/>
    <col min="14062" max="14062" width="15.5703125" style="127" customWidth="1"/>
    <col min="14063" max="14063" width="12.7109375" style="127" customWidth="1"/>
    <col min="14064" max="14314" width="9.140625" style="127"/>
    <col min="14315" max="14315" width="26" style="127" customWidth="1"/>
    <col min="14316" max="14316" width="17.140625" style="127" customWidth="1"/>
    <col min="14317" max="14317" width="47.42578125" style="127" customWidth="1"/>
    <col min="14318" max="14318" width="15.5703125" style="127" customWidth="1"/>
    <col min="14319" max="14319" width="12.7109375" style="127" customWidth="1"/>
    <col min="14320" max="14570" width="9.140625" style="127"/>
    <col min="14571" max="14571" width="26" style="127" customWidth="1"/>
    <col min="14572" max="14572" width="17.140625" style="127" customWidth="1"/>
    <col min="14573" max="14573" width="47.42578125" style="127" customWidth="1"/>
    <col min="14574" max="14574" width="15.5703125" style="127" customWidth="1"/>
    <col min="14575" max="14575" width="12.7109375" style="127" customWidth="1"/>
    <col min="14576" max="14826" width="9.140625" style="127"/>
    <col min="14827" max="14827" width="26" style="127" customWidth="1"/>
    <col min="14828" max="14828" width="17.140625" style="127" customWidth="1"/>
    <col min="14829" max="14829" width="47.42578125" style="127" customWidth="1"/>
    <col min="14830" max="14830" width="15.5703125" style="127" customWidth="1"/>
    <col min="14831" max="14831" width="12.7109375" style="127" customWidth="1"/>
    <col min="14832" max="15082" width="9.140625" style="127"/>
    <col min="15083" max="15083" width="26" style="127" customWidth="1"/>
    <col min="15084" max="15084" width="17.140625" style="127" customWidth="1"/>
    <col min="15085" max="15085" width="47.42578125" style="127" customWidth="1"/>
    <col min="15086" max="15086" width="15.5703125" style="127" customWidth="1"/>
    <col min="15087" max="15087" width="12.7109375" style="127" customWidth="1"/>
    <col min="15088" max="15338" width="9.140625" style="127"/>
    <col min="15339" max="15339" width="26" style="127" customWidth="1"/>
    <col min="15340" max="15340" width="17.140625" style="127" customWidth="1"/>
    <col min="15341" max="15341" width="47.42578125" style="127" customWidth="1"/>
    <col min="15342" max="15342" width="15.5703125" style="127" customWidth="1"/>
    <col min="15343" max="15343" width="12.7109375" style="127" customWidth="1"/>
    <col min="15344" max="15594" width="9.140625" style="127"/>
    <col min="15595" max="15595" width="26" style="127" customWidth="1"/>
    <col min="15596" max="15596" width="17.140625" style="127" customWidth="1"/>
    <col min="15597" max="15597" width="47.42578125" style="127" customWidth="1"/>
    <col min="15598" max="15598" width="15.5703125" style="127" customWidth="1"/>
    <col min="15599" max="15599" width="12.7109375" style="127" customWidth="1"/>
    <col min="15600" max="15850" width="9.140625" style="127"/>
    <col min="15851" max="15851" width="26" style="127" customWidth="1"/>
    <col min="15852" max="15852" width="17.140625" style="127" customWidth="1"/>
    <col min="15853" max="15853" width="47.42578125" style="127" customWidth="1"/>
    <col min="15854" max="15854" width="15.5703125" style="127" customWidth="1"/>
    <col min="15855" max="15855" width="12.7109375" style="127" customWidth="1"/>
    <col min="15856" max="16106" width="9.140625" style="127"/>
    <col min="16107" max="16107" width="26" style="127" customWidth="1"/>
    <col min="16108" max="16108" width="17.140625" style="127" customWidth="1"/>
    <col min="16109" max="16109" width="47.42578125" style="127" customWidth="1"/>
    <col min="16110" max="16110" width="15.5703125" style="127" customWidth="1"/>
    <col min="16111" max="16111" width="12.7109375" style="127" customWidth="1"/>
    <col min="16112" max="16384" width="9.140625" style="127"/>
  </cols>
  <sheetData>
    <row r="1" spans="1:14" ht="15" customHeight="1" x14ac:dyDescent="0.25">
      <c r="C1" s="342" t="s">
        <v>764</v>
      </c>
      <c r="D1" s="342"/>
      <c r="E1" s="342"/>
      <c r="F1" s="342"/>
      <c r="G1" s="342"/>
      <c r="H1" s="342"/>
      <c r="I1" s="342"/>
      <c r="J1" s="342"/>
      <c r="K1" s="342"/>
      <c r="L1" s="342"/>
    </row>
    <row r="2" spans="1:14" ht="48" customHeight="1" x14ac:dyDescent="0.25">
      <c r="C2" s="327" t="s">
        <v>592</v>
      </c>
      <c r="D2" s="327"/>
      <c r="E2" s="327"/>
      <c r="F2" s="327"/>
      <c r="G2" s="327"/>
      <c r="H2" s="327"/>
      <c r="I2" s="327"/>
      <c r="J2" s="327"/>
      <c r="K2" s="327"/>
      <c r="L2" s="327"/>
      <c r="M2" s="327"/>
      <c r="N2" s="327"/>
    </row>
    <row r="3" spans="1:14" s="97" customFormat="1" ht="18" customHeight="1" x14ac:dyDescent="0.25">
      <c r="A3" s="126"/>
      <c r="C3" s="369" t="s">
        <v>372</v>
      </c>
      <c r="D3" s="369"/>
      <c r="E3" s="369"/>
      <c r="F3" s="369"/>
      <c r="G3" s="369"/>
      <c r="H3" s="369"/>
      <c r="I3" s="369"/>
      <c r="J3" s="369"/>
      <c r="K3" s="289"/>
      <c r="L3" s="289"/>
      <c r="M3" s="289"/>
      <c r="N3" s="289"/>
    </row>
    <row r="4" spans="1:14" s="97" customFormat="1" ht="48" customHeight="1" x14ac:dyDescent="0.25">
      <c r="A4" s="126"/>
      <c r="C4" s="327" t="s">
        <v>432</v>
      </c>
      <c r="D4" s="327"/>
      <c r="E4" s="327"/>
      <c r="F4" s="327"/>
      <c r="G4" s="327"/>
      <c r="H4" s="327"/>
      <c r="I4" s="327"/>
      <c r="J4" s="327"/>
      <c r="K4" s="327"/>
      <c r="L4" s="327"/>
      <c r="M4" s="327"/>
      <c r="N4" s="327"/>
    </row>
    <row r="5" spans="1:14" s="128" customFormat="1" ht="43.5" customHeight="1" x14ac:dyDescent="0.2">
      <c r="A5" s="370" t="s">
        <v>512</v>
      </c>
      <c r="B5" s="370"/>
      <c r="C5" s="370"/>
      <c r="D5" s="370"/>
      <c r="E5" s="370"/>
      <c r="F5" s="370"/>
      <c r="G5" s="370"/>
      <c r="H5" s="370"/>
      <c r="I5" s="370"/>
      <c r="J5" s="370"/>
      <c r="K5" s="370"/>
      <c r="L5" s="370"/>
      <c r="M5" s="370"/>
      <c r="N5" s="370"/>
    </row>
    <row r="6" spans="1:14" s="128" customFormat="1" ht="20.25" customHeight="1" x14ac:dyDescent="0.2">
      <c r="A6" s="129"/>
      <c r="D6" s="130" t="s">
        <v>407</v>
      </c>
    </row>
    <row r="7" spans="1:14" s="150" customFormat="1" ht="26.25" customHeight="1" x14ac:dyDescent="0.25">
      <c r="A7" s="247" t="s">
        <v>373</v>
      </c>
      <c r="B7" s="336" t="s">
        <v>374</v>
      </c>
      <c r="C7" s="336"/>
      <c r="D7" s="247" t="s">
        <v>394</v>
      </c>
      <c r="E7" s="247" t="s">
        <v>590</v>
      </c>
      <c r="F7" s="247" t="s">
        <v>561</v>
      </c>
      <c r="G7" s="247" t="s">
        <v>624</v>
      </c>
      <c r="H7" s="247" t="s">
        <v>658</v>
      </c>
      <c r="I7" s="247" t="s">
        <v>659</v>
      </c>
      <c r="J7" s="247" t="s">
        <v>700</v>
      </c>
      <c r="K7" s="247" t="s">
        <v>761</v>
      </c>
      <c r="L7" s="247" t="s">
        <v>762</v>
      </c>
      <c r="M7" s="247" t="s">
        <v>763</v>
      </c>
      <c r="N7" s="247" t="s">
        <v>394</v>
      </c>
    </row>
    <row r="8" spans="1:14" ht="28.5" customHeight="1" x14ac:dyDescent="0.25">
      <c r="A8" s="96" t="s">
        <v>375</v>
      </c>
      <c r="B8" s="371" t="s">
        <v>376</v>
      </c>
      <c r="C8" s="371"/>
      <c r="D8" s="131">
        <f>D9+D13</f>
        <v>0</v>
      </c>
      <c r="E8" s="131">
        <f t="shared" ref="E8:N8" si="0">E9+E13</f>
        <v>3702506</v>
      </c>
      <c r="F8" s="131">
        <f t="shared" si="0"/>
        <v>3702506</v>
      </c>
      <c r="G8" s="131">
        <f t="shared" si="0"/>
        <v>4280700</v>
      </c>
      <c r="H8" s="131">
        <f t="shared" si="0"/>
        <v>7983206</v>
      </c>
      <c r="I8" s="131">
        <f t="shared" si="0"/>
        <v>25600</v>
      </c>
      <c r="J8" s="226">
        <f t="shared" si="0"/>
        <v>8008806</v>
      </c>
      <c r="K8" s="226">
        <f t="shared" si="0"/>
        <v>452200.59999999963</v>
      </c>
      <c r="L8" s="226">
        <f t="shared" si="0"/>
        <v>8461006.599999994</v>
      </c>
      <c r="M8" s="226">
        <f t="shared" si="0"/>
        <v>-8095929.8500000006</v>
      </c>
      <c r="N8" s="226">
        <f t="shared" si="0"/>
        <v>365076.75</v>
      </c>
    </row>
    <row r="9" spans="1:14" s="128" customFormat="1" ht="28.5" customHeight="1" x14ac:dyDescent="0.2">
      <c r="A9" s="96" t="s">
        <v>377</v>
      </c>
      <c r="B9" s="371" t="s">
        <v>378</v>
      </c>
      <c r="C9" s="371"/>
      <c r="D9" s="131">
        <f>D10</f>
        <v>-234246433</v>
      </c>
      <c r="E9" s="131">
        <f t="shared" ref="E9:N11" si="1">E10</f>
        <v>-4802500</v>
      </c>
      <c r="F9" s="131">
        <f t="shared" si="1"/>
        <v>-239048933</v>
      </c>
      <c r="G9" s="131">
        <f t="shared" si="1"/>
        <v>4115019</v>
      </c>
      <c r="H9" s="131">
        <f t="shared" si="1"/>
        <v>-234933914</v>
      </c>
      <c r="I9" s="131">
        <f t="shared" si="1"/>
        <v>2547950</v>
      </c>
      <c r="J9" s="226">
        <f t="shared" si="1"/>
        <v>-232385964</v>
      </c>
      <c r="K9" s="226">
        <f t="shared" si="1"/>
        <v>-16088001.16</v>
      </c>
      <c r="L9" s="226">
        <f t="shared" si="1"/>
        <v>-248473965.16</v>
      </c>
      <c r="M9" s="226">
        <f t="shared" si="1"/>
        <v>-11053351.5</v>
      </c>
      <c r="N9" s="226">
        <f t="shared" si="1"/>
        <v>-259527316.66</v>
      </c>
    </row>
    <row r="10" spans="1:14" s="128" customFormat="1" ht="28.5" customHeight="1" x14ac:dyDescent="0.2">
      <c r="A10" s="96" t="s">
        <v>379</v>
      </c>
      <c r="B10" s="371" t="s">
        <v>380</v>
      </c>
      <c r="C10" s="371"/>
      <c r="D10" s="131">
        <f>D11</f>
        <v>-234246433</v>
      </c>
      <c r="E10" s="131">
        <f t="shared" si="1"/>
        <v>-4802500</v>
      </c>
      <c r="F10" s="131">
        <f t="shared" si="1"/>
        <v>-239048933</v>
      </c>
      <c r="G10" s="131">
        <f t="shared" si="1"/>
        <v>4115019</v>
      </c>
      <c r="H10" s="131">
        <f t="shared" si="1"/>
        <v>-234933914</v>
      </c>
      <c r="I10" s="131">
        <f t="shared" si="1"/>
        <v>2547950</v>
      </c>
      <c r="J10" s="226">
        <f t="shared" si="1"/>
        <v>-232385964</v>
      </c>
      <c r="K10" s="226">
        <f t="shared" si="1"/>
        <v>-16088001.16</v>
      </c>
      <c r="L10" s="226">
        <f t="shared" si="1"/>
        <v>-248473965.16</v>
      </c>
      <c r="M10" s="226">
        <f t="shared" si="1"/>
        <v>-11053351.5</v>
      </c>
      <c r="N10" s="226">
        <f t="shared" si="1"/>
        <v>-259527316.66</v>
      </c>
    </row>
    <row r="11" spans="1:14" s="128" customFormat="1" ht="28.5" customHeight="1" x14ac:dyDescent="0.2">
      <c r="A11" s="96" t="s">
        <v>381</v>
      </c>
      <c r="B11" s="371" t="s">
        <v>382</v>
      </c>
      <c r="C11" s="371"/>
      <c r="D11" s="131">
        <f>D12</f>
        <v>-234246433</v>
      </c>
      <c r="E11" s="131">
        <f t="shared" si="1"/>
        <v>-4802500</v>
      </c>
      <c r="F11" s="131">
        <f t="shared" si="1"/>
        <v>-239048933</v>
      </c>
      <c r="G11" s="131">
        <f t="shared" si="1"/>
        <v>4115019</v>
      </c>
      <c r="H11" s="131">
        <f t="shared" si="1"/>
        <v>-234933914</v>
      </c>
      <c r="I11" s="131">
        <f t="shared" si="1"/>
        <v>2547950</v>
      </c>
      <c r="J11" s="226">
        <f t="shared" si="1"/>
        <v>-232385964</v>
      </c>
      <c r="K11" s="226">
        <f t="shared" si="1"/>
        <v>-16088001.16</v>
      </c>
      <c r="L11" s="226">
        <f t="shared" si="1"/>
        <v>-248473965.16</v>
      </c>
      <c r="M11" s="226">
        <f t="shared" si="1"/>
        <v>-11053351.5</v>
      </c>
      <c r="N11" s="226">
        <f t="shared" si="1"/>
        <v>-259527316.66</v>
      </c>
    </row>
    <row r="12" spans="1:14" s="128" customFormat="1" ht="28.5" customHeight="1" x14ac:dyDescent="0.2">
      <c r="A12" s="96" t="s">
        <v>383</v>
      </c>
      <c r="B12" s="371" t="s">
        <v>384</v>
      </c>
      <c r="C12" s="371"/>
      <c r="D12" s="131">
        <f>-'[1] Дох.15'!C143</f>
        <v>-234246433</v>
      </c>
      <c r="E12" s="131">
        <f>-'[1] Дох.15'!F143</f>
        <v>-4802500</v>
      </c>
      <c r="F12" s="131">
        <f>-'[1] Дох.15'!G143</f>
        <v>-239048933</v>
      </c>
      <c r="G12" s="131">
        <f>-'[1] Дох.15'!H143</f>
        <v>4115019</v>
      </c>
      <c r="H12" s="131">
        <f>-'[1] Дох.15'!I143</f>
        <v>-234933914</v>
      </c>
      <c r="I12" s="131">
        <f>-'[1] Дох.15'!J143</f>
        <v>2547950</v>
      </c>
      <c r="J12" s="226">
        <f>-'[1] Дох.15'!K143</f>
        <v>-232385964</v>
      </c>
      <c r="K12" s="226">
        <f>-'[1] Дох.15'!L143</f>
        <v>-16088001.16</v>
      </c>
      <c r="L12" s="226">
        <f>-'[1] Дох.15'!M143</f>
        <v>-248473965.16</v>
      </c>
      <c r="M12" s="226">
        <v>-11053351.5</v>
      </c>
      <c r="N12" s="226">
        <f>L12+M12</f>
        <v>-259527316.66</v>
      </c>
    </row>
    <row r="13" spans="1:14" s="128" customFormat="1" ht="28.5" customHeight="1" x14ac:dyDescent="0.2">
      <c r="A13" s="96" t="s">
        <v>385</v>
      </c>
      <c r="B13" s="371" t="s">
        <v>386</v>
      </c>
      <c r="C13" s="371"/>
      <c r="D13" s="131">
        <f>D14</f>
        <v>234246433</v>
      </c>
      <c r="E13" s="131">
        <f t="shared" ref="E13:N15" si="2">E14</f>
        <v>8505006</v>
      </c>
      <c r="F13" s="131">
        <f t="shared" si="2"/>
        <v>242751439</v>
      </c>
      <c r="G13" s="131">
        <f t="shared" si="2"/>
        <v>165681</v>
      </c>
      <c r="H13" s="131">
        <f t="shared" si="2"/>
        <v>242917120</v>
      </c>
      <c r="I13" s="131">
        <f t="shared" si="2"/>
        <v>-2522350</v>
      </c>
      <c r="J13" s="226">
        <f t="shared" si="2"/>
        <v>240394770</v>
      </c>
      <c r="K13" s="226">
        <f t="shared" si="2"/>
        <v>16540201.76</v>
      </c>
      <c r="L13" s="226">
        <f t="shared" si="2"/>
        <v>256934971.75999999</v>
      </c>
      <c r="M13" s="226">
        <f t="shared" si="2"/>
        <v>2957421.6499999994</v>
      </c>
      <c r="N13" s="226">
        <f t="shared" si="2"/>
        <v>259892393.41</v>
      </c>
    </row>
    <row r="14" spans="1:14" s="128" customFormat="1" ht="28.5" customHeight="1" x14ac:dyDescent="0.2">
      <c r="A14" s="96" t="s">
        <v>387</v>
      </c>
      <c r="B14" s="371" t="s">
        <v>388</v>
      </c>
      <c r="C14" s="371"/>
      <c r="D14" s="131">
        <f>D15</f>
        <v>234246433</v>
      </c>
      <c r="E14" s="131">
        <f t="shared" si="2"/>
        <v>8505006</v>
      </c>
      <c r="F14" s="131">
        <f t="shared" si="2"/>
        <v>242751439</v>
      </c>
      <c r="G14" s="131">
        <f t="shared" si="2"/>
        <v>165681</v>
      </c>
      <c r="H14" s="131">
        <f t="shared" si="2"/>
        <v>242917120</v>
      </c>
      <c r="I14" s="131">
        <f t="shared" si="2"/>
        <v>-2522350</v>
      </c>
      <c r="J14" s="226">
        <f t="shared" si="2"/>
        <v>240394770</v>
      </c>
      <c r="K14" s="226">
        <f t="shared" si="2"/>
        <v>16540201.76</v>
      </c>
      <c r="L14" s="226">
        <f t="shared" si="2"/>
        <v>256934971.75999999</v>
      </c>
      <c r="M14" s="226">
        <f t="shared" si="2"/>
        <v>2957421.6499999994</v>
      </c>
      <c r="N14" s="226">
        <f t="shared" si="2"/>
        <v>259892393.41</v>
      </c>
    </row>
    <row r="15" spans="1:14" s="128" customFormat="1" ht="28.5" customHeight="1" x14ac:dyDescent="0.2">
      <c r="A15" s="96" t="s">
        <v>389</v>
      </c>
      <c r="B15" s="371" t="s">
        <v>390</v>
      </c>
      <c r="C15" s="371"/>
      <c r="D15" s="131">
        <f>D16</f>
        <v>234246433</v>
      </c>
      <c r="E15" s="131">
        <f t="shared" si="2"/>
        <v>8505006</v>
      </c>
      <c r="F15" s="131">
        <f t="shared" si="2"/>
        <v>242751439</v>
      </c>
      <c r="G15" s="131">
        <f t="shared" si="2"/>
        <v>165681</v>
      </c>
      <c r="H15" s="131">
        <f t="shared" si="2"/>
        <v>242917120</v>
      </c>
      <c r="I15" s="131">
        <f t="shared" si="2"/>
        <v>-2522350</v>
      </c>
      <c r="J15" s="226">
        <f t="shared" si="2"/>
        <v>240394770</v>
      </c>
      <c r="K15" s="226">
        <f t="shared" si="2"/>
        <v>16540201.76</v>
      </c>
      <c r="L15" s="226">
        <f t="shared" si="2"/>
        <v>256934971.75999999</v>
      </c>
      <c r="M15" s="226">
        <f t="shared" si="2"/>
        <v>2957421.6499999994</v>
      </c>
      <c r="N15" s="226">
        <f t="shared" si="2"/>
        <v>259892393.41</v>
      </c>
    </row>
    <row r="16" spans="1:14" s="128" customFormat="1" ht="28.5" customHeight="1" x14ac:dyDescent="0.2">
      <c r="A16" s="96" t="s">
        <v>391</v>
      </c>
      <c r="B16" s="371" t="s">
        <v>392</v>
      </c>
      <c r="C16" s="371"/>
      <c r="D16" s="131">
        <f>'[1]6 Вед15'!J409</f>
        <v>234246433</v>
      </c>
      <c r="E16" s="131">
        <f>'[1]6 Вед15'!K409</f>
        <v>8505006</v>
      </c>
      <c r="F16" s="131">
        <f>'[1]6 Вед15'!L409</f>
        <v>242751439</v>
      </c>
      <c r="G16" s="131">
        <f>'[1]6 Вед15'!M409</f>
        <v>165681</v>
      </c>
      <c r="H16" s="131">
        <f>'[1]6 Вед15'!N409</f>
        <v>242917120</v>
      </c>
      <c r="I16" s="131">
        <f>'[1]6 Вед15'!O409</f>
        <v>-2522350</v>
      </c>
      <c r="J16" s="226">
        <f>'[1]6 Вед15'!P409</f>
        <v>240394770</v>
      </c>
      <c r="K16" s="226">
        <f>'[1]6 Вед15'!Q409</f>
        <v>16540201.76</v>
      </c>
      <c r="L16" s="226">
        <f>'[1]6 Вед15'!U409</f>
        <v>256934971.75999999</v>
      </c>
      <c r="M16" s="226">
        <f>'1 Вед15'!V415</f>
        <v>2957421.6499999994</v>
      </c>
      <c r="N16" s="226">
        <f>L16+M16</f>
        <v>259892393.41</v>
      </c>
    </row>
    <row r="17" spans="1:14" s="134" customFormat="1" ht="30" customHeight="1" x14ac:dyDescent="0.25">
      <c r="A17" s="132"/>
      <c r="B17" s="372" t="s">
        <v>393</v>
      </c>
      <c r="C17" s="372"/>
      <c r="D17" s="133">
        <f>D8</f>
        <v>0</v>
      </c>
      <c r="E17" s="133">
        <f t="shared" ref="E17:N17" si="3">E8</f>
        <v>3702506</v>
      </c>
      <c r="F17" s="133">
        <f t="shared" si="3"/>
        <v>3702506</v>
      </c>
      <c r="G17" s="133">
        <f t="shared" si="3"/>
        <v>4280700</v>
      </c>
      <c r="H17" s="133">
        <f t="shared" si="3"/>
        <v>7983206</v>
      </c>
      <c r="I17" s="133">
        <f t="shared" si="3"/>
        <v>25600</v>
      </c>
      <c r="J17" s="227">
        <f t="shared" si="3"/>
        <v>8008806</v>
      </c>
      <c r="K17" s="227">
        <f t="shared" si="3"/>
        <v>452200.59999999963</v>
      </c>
      <c r="L17" s="227">
        <f t="shared" si="3"/>
        <v>8461006.599999994</v>
      </c>
      <c r="M17" s="227">
        <f t="shared" si="3"/>
        <v>-8095929.8500000006</v>
      </c>
      <c r="N17" s="227">
        <f t="shared" si="3"/>
        <v>365076.75</v>
      </c>
    </row>
    <row r="19" spans="1:14" x14ac:dyDescent="0.25">
      <c r="D19" s="135"/>
    </row>
    <row r="20" spans="1:14" x14ac:dyDescent="0.25">
      <c r="D20" s="135"/>
    </row>
    <row r="21" spans="1:14" x14ac:dyDescent="0.25">
      <c r="D21" s="135"/>
      <c r="G21" s="209"/>
    </row>
    <row r="22" spans="1:14" x14ac:dyDescent="0.25">
      <c r="G22" s="210"/>
    </row>
    <row r="23" spans="1:14" x14ac:dyDescent="0.25">
      <c r="C23" s="136"/>
      <c r="D23" s="136"/>
    </row>
    <row r="27" spans="1:14" x14ac:dyDescent="0.25">
      <c r="C27" s="137"/>
      <c r="D27" s="137"/>
    </row>
  </sheetData>
  <mergeCells count="16">
    <mergeCell ref="B7:C7"/>
    <mergeCell ref="B14:C14"/>
    <mergeCell ref="B15:C15"/>
    <mergeCell ref="B16:C16"/>
    <mergeCell ref="B17:C17"/>
    <mergeCell ref="B8:C8"/>
    <mergeCell ref="B9:C9"/>
    <mergeCell ref="B10:C10"/>
    <mergeCell ref="B11:C11"/>
    <mergeCell ref="B12:C12"/>
    <mergeCell ref="B13:C13"/>
    <mergeCell ref="C3:J3"/>
    <mergeCell ref="A5:N5"/>
    <mergeCell ref="C4:N4"/>
    <mergeCell ref="C2:N2"/>
    <mergeCell ref="C1:L1"/>
  </mergeCells>
  <pageMargins left="0.9055118110236221" right="0.11811023622047245" top="0.35433070866141736" bottom="0.74803149606299213" header="0.31496062992125984" footer="0.31496062992125984"/>
  <pageSetup paperSize="9"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99"/>
  </sheetPr>
  <dimension ref="A1:AC509"/>
  <sheetViews>
    <sheetView zoomScale="90" zoomScaleNormal="90" workbookViewId="0">
      <pane xSplit="9" ySplit="7" topLeftCell="Q397" activePane="bottomRight" state="frozen"/>
      <selection activeCell="J379" sqref="J379:J380"/>
      <selection pane="topRight" activeCell="J379" sqref="J379:J380"/>
      <selection pane="bottomLeft" activeCell="J379" sqref="J379:J380"/>
      <selection pane="bottomRight" activeCell="AE2" sqref="AE2"/>
    </sheetView>
  </sheetViews>
  <sheetFormatPr defaultRowHeight="12" x14ac:dyDescent="0.25"/>
  <cols>
    <col min="1" max="1" width="1.7109375" style="5" customWidth="1"/>
    <col min="2" max="2" width="65.7109375" style="5" customWidth="1"/>
    <col min="3" max="4" width="4" style="5" hidden="1" customWidth="1"/>
    <col min="5" max="5" width="3.85546875" style="63" customWidth="1"/>
    <col min="6" max="7" width="3.7109375" style="63" customWidth="1"/>
    <col min="8" max="8" width="8.85546875" style="5" customWidth="1"/>
    <col min="9" max="9" width="4.140625" style="5" customWidth="1"/>
    <col min="10" max="10" width="14.28515625" style="5" hidden="1" customWidth="1"/>
    <col min="11" max="11" width="12.28515625" style="5" hidden="1" customWidth="1"/>
    <col min="12" max="12" width="13.140625" style="5" hidden="1" customWidth="1"/>
    <col min="13" max="13" width="12.28515625" style="5" hidden="1" customWidth="1"/>
    <col min="14" max="14" width="13.140625" style="5" hidden="1" customWidth="1"/>
    <col min="15" max="15" width="12.28515625" style="5" hidden="1" customWidth="1"/>
    <col min="16" max="16" width="14.5703125" style="5" hidden="1" customWidth="1"/>
    <col min="17" max="17" width="17.5703125" style="5" hidden="1" customWidth="1"/>
    <col min="18" max="19" width="12.28515625" style="5" hidden="1" customWidth="1"/>
    <col min="20" max="20" width="9.7109375" style="5" hidden="1" customWidth="1"/>
    <col min="21" max="21" width="13.140625" style="5" hidden="1" customWidth="1"/>
    <col min="22" max="22" width="16.28515625" style="5" customWidth="1"/>
    <col min="23" max="23" width="14.140625" style="5" hidden="1" customWidth="1"/>
    <col min="24" max="25" width="12.5703125" style="5" hidden="1" customWidth="1"/>
    <col min="26" max="26" width="13.28515625" style="5" hidden="1" customWidth="1"/>
    <col min="27" max="29" width="9.140625" style="5" hidden="1" customWidth="1"/>
    <col min="30" max="194" width="9.140625" style="5"/>
    <col min="195" max="195" width="1.42578125" style="5" customWidth="1"/>
    <col min="196" max="196" width="59.5703125" style="5" customWidth="1"/>
    <col min="197" max="197" width="9.140625" style="5" customWidth="1"/>
    <col min="198" max="199" width="3.85546875" style="5" customWidth="1"/>
    <col min="200" max="200" width="10.5703125" style="5" customWidth="1"/>
    <col min="201" max="201" width="3.85546875" style="5" customWidth="1"/>
    <col min="202" max="204" width="14.42578125" style="5" customWidth="1"/>
    <col min="205" max="205" width="4.140625" style="5" customWidth="1"/>
    <col min="206" max="206" width="15" style="5" customWidth="1"/>
    <col min="207" max="208" width="9.140625" style="5" customWidth="1"/>
    <col min="209" max="209" width="11.5703125" style="5" customWidth="1"/>
    <col min="210" max="210" width="18.140625" style="5" customWidth="1"/>
    <col min="211" max="211" width="13.140625" style="5" customWidth="1"/>
    <col min="212" max="212" width="12.28515625" style="5" customWidth="1"/>
    <col min="213" max="450" width="9.140625" style="5"/>
    <col min="451" max="451" width="1.42578125" style="5" customWidth="1"/>
    <col min="452" max="452" width="59.5703125" style="5" customWidth="1"/>
    <col min="453" max="453" width="9.140625" style="5" customWidth="1"/>
    <col min="454" max="455" width="3.85546875" style="5" customWidth="1"/>
    <col min="456" max="456" width="10.5703125" style="5" customWidth="1"/>
    <col min="457" max="457" width="3.85546875" style="5" customWidth="1"/>
    <col min="458" max="460" width="14.42578125" style="5" customWidth="1"/>
    <col min="461" max="461" width="4.140625" style="5" customWidth="1"/>
    <col min="462" max="462" width="15" style="5" customWidth="1"/>
    <col min="463" max="464" width="9.140625" style="5" customWidth="1"/>
    <col min="465" max="465" width="11.5703125" style="5" customWidth="1"/>
    <col min="466" max="466" width="18.140625" style="5" customWidth="1"/>
    <col min="467" max="467" width="13.140625" style="5" customWidth="1"/>
    <col min="468" max="468" width="12.28515625" style="5" customWidth="1"/>
    <col min="469" max="706" width="9.140625" style="5"/>
    <col min="707" max="707" width="1.42578125" style="5" customWidth="1"/>
    <col min="708" max="708" width="59.5703125" style="5" customWidth="1"/>
    <col min="709" max="709" width="9.140625" style="5" customWidth="1"/>
    <col min="710" max="711" width="3.85546875" style="5" customWidth="1"/>
    <col min="712" max="712" width="10.5703125" style="5" customWidth="1"/>
    <col min="713" max="713" width="3.85546875" style="5" customWidth="1"/>
    <col min="714" max="716" width="14.42578125" style="5" customWidth="1"/>
    <col min="717" max="717" width="4.140625" style="5" customWidth="1"/>
    <col min="718" max="718" width="15" style="5" customWidth="1"/>
    <col min="719" max="720" width="9.140625" style="5" customWidth="1"/>
    <col min="721" max="721" width="11.5703125" style="5" customWidth="1"/>
    <col min="722" max="722" width="18.140625" style="5" customWidth="1"/>
    <col min="723" max="723" width="13.140625" style="5" customWidth="1"/>
    <col min="724" max="724" width="12.28515625" style="5" customWidth="1"/>
    <col min="725" max="962" width="9.140625" style="5"/>
    <col min="963" max="963" width="1.42578125" style="5" customWidth="1"/>
    <col min="964" max="964" width="59.5703125" style="5" customWidth="1"/>
    <col min="965" max="965" width="9.140625" style="5" customWidth="1"/>
    <col min="966" max="967" width="3.85546875" style="5" customWidth="1"/>
    <col min="968" max="968" width="10.5703125" style="5" customWidth="1"/>
    <col min="969" max="969" width="3.85546875" style="5" customWidth="1"/>
    <col min="970" max="972" width="14.42578125" style="5" customWidth="1"/>
    <col min="973" max="973" width="4.140625" style="5" customWidth="1"/>
    <col min="974" max="974" width="15" style="5" customWidth="1"/>
    <col min="975" max="976" width="9.140625" style="5" customWidth="1"/>
    <col min="977" max="977" width="11.5703125" style="5" customWidth="1"/>
    <col min="978" max="978" width="18.140625" style="5" customWidth="1"/>
    <col min="979" max="979" width="13.140625" style="5" customWidth="1"/>
    <col min="980" max="980" width="12.28515625" style="5" customWidth="1"/>
    <col min="981" max="1218" width="9.140625" style="5"/>
    <col min="1219" max="1219" width="1.42578125" style="5" customWidth="1"/>
    <col min="1220" max="1220" width="59.5703125" style="5" customWidth="1"/>
    <col min="1221" max="1221" width="9.140625" style="5" customWidth="1"/>
    <col min="1222" max="1223" width="3.85546875" style="5" customWidth="1"/>
    <col min="1224" max="1224" width="10.5703125" style="5" customWidth="1"/>
    <col min="1225" max="1225" width="3.85546875" style="5" customWidth="1"/>
    <col min="1226" max="1228" width="14.42578125" style="5" customWidth="1"/>
    <col min="1229" max="1229" width="4.140625" style="5" customWidth="1"/>
    <col min="1230" max="1230" width="15" style="5" customWidth="1"/>
    <col min="1231" max="1232" width="9.140625" style="5" customWidth="1"/>
    <col min="1233" max="1233" width="11.5703125" style="5" customWidth="1"/>
    <col min="1234" max="1234" width="18.140625" style="5" customWidth="1"/>
    <col min="1235" max="1235" width="13.140625" style="5" customWidth="1"/>
    <col min="1236" max="1236" width="12.28515625" style="5" customWidth="1"/>
    <col min="1237" max="1474" width="9.140625" style="5"/>
    <col min="1475" max="1475" width="1.42578125" style="5" customWidth="1"/>
    <col min="1476" max="1476" width="59.5703125" style="5" customWidth="1"/>
    <col min="1477" max="1477" width="9.140625" style="5" customWidth="1"/>
    <col min="1478" max="1479" width="3.85546875" style="5" customWidth="1"/>
    <col min="1480" max="1480" width="10.5703125" style="5" customWidth="1"/>
    <col min="1481" max="1481" width="3.85546875" style="5" customWidth="1"/>
    <col min="1482" max="1484" width="14.42578125" style="5" customWidth="1"/>
    <col min="1485" max="1485" width="4.140625" style="5" customWidth="1"/>
    <col min="1486" max="1486" width="15" style="5" customWidth="1"/>
    <col min="1487" max="1488" width="9.140625" style="5" customWidth="1"/>
    <col min="1489" max="1489" width="11.5703125" style="5" customWidth="1"/>
    <col min="1490" max="1490" width="18.140625" style="5" customWidth="1"/>
    <col min="1491" max="1491" width="13.140625" style="5" customWidth="1"/>
    <col min="1492" max="1492" width="12.28515625" style="5" customWidth="1"/>
    <col min="1493" max="1730" width="9.140625" style="5"/>
    <col min="1731" max="1731" width="1.42578125" style="5" customWidth="1"/>
    <col min="1732" max="1732" width="59.5703125" style="5" customWidth="1"/>
    <col min="1733" max="1733" width="9.140625" style="5" customWidth="1"/>
    <col min="1734" max="1735" width="3.85546875" style="5" customWidth="1"/>
    <col min="1736" max="1736" width="10.5703125" style="5" customWidth="1"/>
    <col min="1737" max="1737" width="3.85546875" style="5" customWidth="1"/>
    <col min="1738" max="1740" width="14.42578125" style="5" customWidth="1"/>
    <col min="1741" max="1741" width="4.140625" style="5" customWidth="1"/>
    <col min="1742" max="1742" width="15" style="5" customWidth="1"/>
    <col min="1743" max="1744" width="9.140625" style="5" customWidth="1"/>
    <col min="1745" max="1745" width="11.5703125" style="5" customWidth="1"/>
    <col min="1746" max="1746" width="18.140625" style="5" customWidth="1"/>
    <col min="1747" max="1747" width="13.140625" style="5" customWidth="1"/>
    <col min="1748" max="1748" width="12.28515625" style="5" customWidth="1"/>
    <col min="1749" max="1986" width="9.140625" style="5"/>
    <col min="1987" max="1987" width="1.42578125" style="5" customWidth="1"/>
    <col min="1988" max="1988" width="59.5703125" style="5" customWidth="1"/>
    <col min="1989" max="1989" width="9.140625" style="5" customWidth="1"/>
    <col min="1990" max="1991" width="3.85546875" style="5" customWidth="1"/>
    <col min="1992" max="1992" width="10.5703125" style="5" customWidth="1"/>
    <col min="1993" max="1993" width="3.85546875" style="5" customWidth="1"/>
    <col min="1994" max="1996" width="14.42578125" style="5" customWidth="1"/>
    <col min="1997" max="1997" width="4.140625" style="5" customWidth="1"/>
    <col min="1998" max="1998" width="15" style="5" customWidth="1"/>
    <col min="1999" max="2000" width="9.140625" style="5" customWidth="1"/>
    <col min="2001" max="2001" width="11.5703125" style="5" customWidth="1"/>
    <col min="2002" max="2002" width="18.140625" style="5" customWidth="1"/>
    <col min="2003" max="2003" width="13.140625" style="5" customWidth="1"/>
    <col min="2004" max="2004" width="12.28515625" style="5" customWidth="1"/>
    <col min="2005" max="2242" width="9.140625" style="5"/>
    <col min="2243" max="2243" width="1.42578125" style="5" customWidth="1"/>
    <col min="2244" max="2244" width="59.5703125" style="5" customWidth="1"/>
    <col min="2245" max="2245" width="9.140625" style="5" customWidth="1"/>
    <col min="2246" max="2247" width="3.85546875" style="5" customWidth="1"/>
    <col min="2248" max="2248" width="10.5703125" style="5" customWidth="1"/>
    <col min="2249" max="2249" width="3.85546875" style="5" customWidth="1"/>
    <col min="2250" max="2252" width="14.42578125" style="5" customWidth="1"/>
    <col min="2253" max="2253" width="4.140625" style="5" customWidth="1"/>
    <col min="2254" max="2254" width="15" style="5" customWidth="1"/>
    <col min="2255" max="2256" width="9.140625" style="5" customWidth="1"/>
    <col min="2257" max="2257" width="11.5703125" style="5" customWidth="1"/>
    <col min="2258" max="2258" width="18.140625" style="5" customWidth="1"/>
    <col min="2259" max="2259" width="13.140625" style="5" customWidth="1"/>
    <col min="2260" max="2260" width="12.28515625" style="5" customWidth="1"/>
    <col min="2261" max="2498" width="9.140625" style="5"/>
    <col min="2499" max="2499" width="1.42578125" style="5" customWidth="1"/>
    <col min="2500" max="2500" width="59.5703125" style="5" customWidth="1"/>
    <col min="2501" max="2501" width="9.140625" style="5" customWidth="1"/>
    <col min="2502" max="2503" width="3.85546875" style="5" customWidth="1"/>
    <col min="2504" max="2504" width="10.5703125" style="5" customWidth="1"/>
    <col min="2505" max="2505" width="3.85546875" style="5" customWidth="1"/>
    <col min="2506" max="2508" width="14.42578125" style="5" customWidth="1"/>
    <col min="2509" max="2509" width="4.140625" style="5" customWidth="1"/>
    <col min="2510" max="2510" width="15" style="5" customWidth="1"/>
    <col min="2511" max="2512" width="9.140625" style="5" customWidth="1"/>
    <col min="2513" max="2513" width="11.5703125" style="5" customWidth="1"/>
    <col min="2514" max="2514" width="18.140625" style="5" customWidth="1"/>
    <col min="2515" max="2515" width="13.140625" style="5" customWidth="1"/>
    <col min="2516" max="2516" width="12.28515625" style="5" customWidth="1"/>
    <col min="2517" max="2754" width="9.140625" style="5"/>
    <col min="2755" max="2755" width="1.42578125" style="5" customWidth="1"/>
    <col min="2756" max="2756" width="59.5703125" style="5" customWidth="1"/>
    <col min="2757" max="2757" width="9.140625" style="5" customWidth="1"/>
    <col min="2758" max="2759" width="3.85546875" style="5" customWidth="1"/>
    <col min="2760" max="2760" width="10.5703125" style="5" customWidth="1"/>
    <col min="2761" max="2761" width="3.85546875" style="5" customWidth="1"/>
    <col min="2762" max="2764" width="14.42578125" style="5" customWidth="1"/>
    <col min="2765" max="2765" width="4.140625" style="5" customWidth="1"/>
    <col min="2766" max="2766" width="15" style="5" customWidth="1"/>
    <col min="2767" max="2768" width="9.140625" style="5" customWidth="1"/>
    <col min="2769" max="2769" width="11.5703125" style="5" customWidth="1"/>
    <col min="2770" max="2770" width="18.140625" style="5" customWidth="1"/>
    <col min="2771" max="2771" width="13.140625" style="5" customWidth="1"/>
    <col min="2772" max="2772" width="12.28515625" style="5" customWidth="1"/>
    <col min="2773" max="3010" width="9.140625" style="5"/>
    <col min="3011" max="3011" width="1.42578125" style="5" customWidth="1"/>
    <col min="3012" max="3012" width="59.5703125" style="5" customWidth="1"/>
    <col min="3013" max="3013" width="9.140625" style="5" customWidth="1"/>
    <col min="3014" max="3015" width="3.85546875" style="5" customWidth="1"/>
    <col min="3016" max="3016" width="10.5703125" style="5" customWidth="1"/>
    <col min="3017" max="3017" width="3.85546875" style="5" customWidth="1"/>
    <col min="3018" max="3020" width="14.42578125" style="5" customWidth="1"/>
    <col min="3021" max="3021" width="4.140625" style="5" customWidth="1"/>
    <col min="3022" max="3022" width="15" style="5" customWidth="1"/>
    <col min="3023" max="3024" width="9.140625" style="5" customWidth="1"/>
    <col min="3025" max="3025" width="11.5703125" style="5" customWidth="1"/>
    <col min="3026" max="3026" width="18.140625" style="5" customWidth="1"/>
    <col min="3027" max="3027" width="13.140625" style="5" customWidth="1"/>
    <col min="3028" max="3028" width="12.28515625" style="5" customWidth="1"/>
    <col min="3029" max="3266" width="9.140625" style="5"/>
    <col min="3267" max="3267" width="1.42578125" style="5" customWidth="1"/>
    <col min="3268" max="3268" width="59.5703125" style="5" customWidth="1"/>
    <col min="3269" max="3269" width="9.140625" style="5" customWidth="1"/>
    <col min="3270" max="3271" width="3.85546875" style="5" customWidth="1"/>
    <col min="3272" max="3272" width="10.5703125" style="5" customWidth="1"/>
    <col min="3273" max="3273" width="3.85546875" style="5" customWidth="1"/>
    <col min="3274" max="3276" width="14.42578125" style="5" customWidth="1"/>
    <col min="3277" max="3277" width="4.140625" style="5" customWidth="1"/>
    <col min="3278" max="3278" width="15" style="5" customWidth="1"/>
    <col min="3279" max="3280" width="9.140625" style="5" customWidth="1"/>
    <col min="3281" max="3281" width="11.5703125" style="5" customWidth="1"/>
    <col min="3282" max="3282" width="18.140625" style="5" customWidth="1"/>
    <col min="3283" max="3283" width="13.140625" style="5" customWidth="1"/>
    <col min="3284" max="3284" width="12.28515625" style="5" customWidth="1"/>
    <col min="3285" max="3522" width="9.140625" style="5"/>
    <col min="3523" max="3523" width="1.42578125" style="5" customWidth="1"/>
    <col min="3524" max="3524" width="59.5703125" style="5" customWidth="1"/>
    <col min="3525" max="3525" width="9.140625" style="5" customWidth="1"/>
    <col min="3526" max="3527" width="3.85546875" style="5" customWidth="1"/>
    <col min="3528" max="3528" width="10.5703125" style="5" customWidth="1"/>
    <col min="3529" max="3529" width="3.85546875" style="5" customWidth="1"/>
    <col min="3530" max="3532" width="14.42578125" style="5" customWidth="1"/>
    <col min="3533" max="3533" width="4.140625" style="5" customWidth="1"/>
    <col min="3534" max="3534" width="15" style="5" customWidth="1"/>
    <col min="3535" max="3536" width="9.140625" style="5" customWidth="1"/>
    <col min="3537" max="3537" width="11.5703125" style="5" customWidth="1"/>
    <col min="3538" max="3538" width="18.140625" style="5" customWidth="1"/>
    <col min="3539" max="3539" width="13.140625" style="5" customWidth="1"/>
    <col min="3540" max="3540" width="12.28515625" style="5" customWidth="1"/>
    <col min="3541" max="3778" width="9.140625" style="5"/>
    <col min="3779" max="3779" width="1.42578125" style="5" customWidth="1"/>
    <col min="3780" max="3780" width="59.5703125" style="5" customWidth="1"/>
    <col min="3781" max="3781" width="9.140625" style="5" customWidth="1"/>
    <col min="3782" max="3783" width="3.85546875" style="5" customWidth="1"/>
    <col min="3784" max="3784" width="10.5703125" style="5" customWidth="1"/>
    <col min="3785" max="3785" width="3.85546875" style="5" customWidth="1"/>
    <col min="3786" max="3788" width="14.42578125" style="5" customWidth="1"/>
    <col min="3789" max="3789" width="4.140625" style="5" customWidth="1"/>
    <col min="3790" max="3790" width="15" style="5" customWidth="1"/>
    <col min="3791" max="3792" width="9.140625" style="5" customWidth="1"/>
    <col min="3793" max="3793" width="11.5703125" style="5" customWidth="1"/>
    <col min="3794" max="3794" width="18.140625" style="5" customWidth="1"/>
    <col min="3795" max="3795" width="13.140625" style="5" customWidth="1"/>
    <col min="3796" max="3796" width="12.28515625" style="5" customWidth="1"/>
    <col min="3797" max="4034" width="9.140625" style="5"/>
    <col min="4035" max="4035" width="1.42578125" style="5" customWidth="1"/>
    <col min="4036" max="4036" width="59.5703125" style="5" customWidth="1"/>
    <col min="4037" max="4037" width="9.140625" style="5" customWidth="1"/>
    <col min="4038" max="4039" width="3.85546875" style="5" customWidth="1"/>
    <col min="4040" max="4040" width="10.5703125" style="5" customWidth="1"/>
    <col min="4041" max="4041" width="3.85546875" style="5" customWidth="1"/>
    <col min="4042" max="4044" width="14.42578125" style="5" customWidth="1"/>
    <col min="4045" max="4045" width="4.140625" style="5" customWidth="1"/>
    <col min="4046" max="4046" width="15" style="5" customWidth="1"/>
    <col min="4047" max="4048" width="9.140625" style="5" customWidth="1"/>
    <col min="4049" max="4049" width="11.5703125" style="5" customWidth="1"/>
    <col min="4050" max="4050" width="18.140625" style="5" customWidth="1"/>
    <col min="4051" max="4051" width="13.140625" style="5" customWidth="1"/>
    <col min="4052" max="4052" width="12.28515625" style="5" customWidth="1"/>
    <col min="4053" max="4290" width="9.140625" style="5"/>
    <col min="4291" max="4291" width="1.42578125" style="5" customWidth="1"/>
    <col min="4292" max="4292" width="59.5703125" style="5" customWidth="1"/>
    <col min="4293" max="4293" width="9.140625" style="5" customWidth="1"/>
    <col min="4294" max="4295" width="3.85546875" style="5" customWidth="1"/>
    <col min="4296" max="4296" width="10.5703125" style="5" customWidth="1"/>
    <col min="4297" max="4297" width="3.85546875" style="5" customWidth="1"/>
    <col min="4298" max="4300" width="14.42578125" style="5" customWidth="1"/>
    <col min="4301" max="4301" width="4.140625" style="5" customWidth="1"/>
    <col min="4302" max="4302" width="15" style="5" customWidth="1"/>
    <col min="4303" max="4304" width="9.140625" style="5" customWidth="1"/>
    <col min="4305" max="4305" width="11.5703125" style="5" customWidth="1"/>
    <col min="4306" max="4306" width="18.140625" style="5" customWidth="1"/>
    <col min="4307" max="4307" width="13.140625" style="5" customWidth="1"/>
    <col min="4308" max="4308" width="12.28515625" style="5" customWidth="1"/>
    <col min="4309" max="4546" width="9.140625" style="5"/>
    <col min="4547" max="4547" width="1.42578125" style="5" customWidth="1"/>
    <col min="4548" max="4548" width="59.5703125" style="5" customWidth="1"/>
    <col min="4549" max="4549" width="9.140625" style="5" customWidth="1"/>
    <col min="4550" max="4551" width="3.85546875" style="5" customWidth="1"/>
    <col min="4552" max="4552" width="10.5703125" style="5" customWidth="1"/>
    <col min="4553" max="4553" width="3.85546875" style="5" customWidth="1"/>
    <col min="4554" max="4556" width="14.42578125" style="5" customWidth="1"/>
    <col min="4557" max="4557" width="4.140625" style="5" customWidth="1"/>
    <col min="4558" max="4558" width="15" style="5" customWidth="1"/>
    <col min="4559" max="4560" width="9.140625" style="5" customWidth="1"/>
    <col min="4561" max="4561" width="11.5703125" style="5" customWidth="1"/>
    <col min="4562" max="4562" width="18.140625" style="5" customWidth="1"/>
    <col min="4563" max="4563" width="13.140625" style="5" customWidth="1"/>
    <col min="4564" max="4564" width="12.28515625" style="5" customWidth="1"/>
    <col min="4565" max="4802" width="9.140625" style="5"/>
    <col min="4803" max="4803" width="1.42578125" style="5" customWidth="1"/>
    <col min="4804" max="4804" width="59.5703125" style="5" customWidth="1"/>
    <col min="4805" max="4805" width="9.140625" style="5" customWidth="1"/>
    <col min="4806" max="4807" width="3.85546875" style="5" customWidth="1"/>
    <col min="4808" max="4808" width="10.5703125" style="5" customWidth="1"/>
    <col min="4809" max="4809" width="3.85546875" style="5" customWidth="1"/>
    <col min="4810" max="4812" width="14.42578125" style="5" customWidth="1"/>
    <col min="4813" max="4813" width="4.140625" style="5" customWidth="1"/>
    <col min="4814" max="4814" width="15" style="5" customWidth="1"/>
    <col min="4815" max="4816" width="9.140625" style="5" customWidth="1"/>
    <col min="4817" max="4817" width="11.5703125" style="5" customWidth="1"/>
    <col min="4818" max="4818" width="18.140625" style="5" customWidth="1"/>
    <col min="4819" max="4819" width="13.140625" style="5" customWidth="1"/>
    <col min="4820" max="4820" width="12.28515625" style="5" customWidth="1"/>
    <col min="4821" max="5058" width="9.140625" style="5"/>
    <col min="5059" max="5059" width="1.42578125" style="5" customWidth="1"/>
    <col min="5060" max="5060" width="59.5703125" style="5" customWidth="1"/>
    <col min="5061" max="5061" width="9.140625" style="5" customWidth="1"/>
    <col min="5062" max="5063" width="3.85546875" style="5" customWidth="1"/>
    <col min="5064" max="5064" width="10.5703125" style="5" customWidth="1"/>
    <col min="5065" max="5065" width="3.85546875" style="5" customWidth="1"/>
    <col min="5066" max="5068" width="14.42578125" style="5" customWidth="1"/>
    <col min="5069" max="5069" width="4.140625" style="5" customWidth="1"/>
    <col min="5070" max="5070" width="15" style="5" customWidth="1"/>
    <col min="5071" max="5072" width="9.140625" style="5" customWidth="1"/>
    <col min="5073" max="5073" width="11.5703125" style="5" customWidth="1"/>
    <col min="5074" max="5074" width="18.140625" style="5" customWidth="1"/>
    <col min="5075" max="5075" width="13.140625" style="5" customWidth="1"/>
    <col min="5076" max="5076" width="12.28515625" style="5" customWidth="1"/>
    <col min="5077" max="5314" width="9.140625" style="5"/>
    <col min="5315" max="5315" width="1.42578125" style="5" customWidth="1"/>
    <col min="5316" max="5316" width="59.5703125" style="5" customWidth="1"/>
    <col min="5317" max="5317" width="9.140625" style="5" customWidth="1"/>
    <col min="5318" max="5319" width="3.85546875" style="5" customWidth="1"/>
    <col min="5320" max="5320" width="10.5703125" style="5" customWidth="1"/>
    <col min="5321" max="5321" width="3.85546875" style="5" customWidth="1"/>
    <col min="5322" max="5324" width="14.42578125" style="5" customWidth="1"/>
    <col min="5325" max="5325" width="4.140625" style="5" customWidth="1"/>
    <col min="5326" max="5326" width="15" style="5" customWidth="1"/>
    <col min="5327" max="5328" width="9.140625" style="5" customWidth="1"/>
    <col min="5329" max="5329" width="11.5703125" style="5" customWidth="1"/>
    <col min="5330" max="5330" width="18.140625" style="5" customWidth="1"/>
    <col min="5331" max="5331" width="13.140625" style="5" customWidth="1"/>
    <col min="5332" max="5332" width="12.28515625" style="5" customWidth="1"/>
    <col min="5333" max="5570" width="9.140625" style="5"/>
    <col min="5571" max="5571" width="1.42578125" style="5" customWidth="1"/>
    <col min="5572" max="5572" width="59.5703125" style="5" customWidth="1"/>
    <col min="5573" max="5573" width="9.140625" style="5" customWidth="1"/>
    <col min="5574" max="5575" width="3.85546875" style="5" customWidth="1"/>
    <col min="5576" max="5576" width="10.5703125" style="5" customWidth="1"/>
    <col min="5577" max="5577" width="3.85546875" style="5" customWidth="1"/>
    <col min="5578" max="5580" width="14.42578125" style="5" customWidth="1"/>
    <col min="5581" max="5581" width="4.140625" style="5" customWidth="1"/>
    <col min="5582" max="5582" width="15" style="5" customWidth="1"/>
    <col min="5583" max="5584" width="9.140625" style="5" customWidth="1"/>
    <col min="5585" max="5585" width="11.5703125" style="5" customWidth="1"/>
    <col min="5586" max="5586" width="18.140625" style="5" customWidth="1"/>
    <col min="5587" max="5587" width="13.140625" style="5" customWidth="1"/>
    <col min="5588" max="5588" width="12.28515625" style="5" customWidth="1"/>
    <col min="5589" max="5826" width="9.140625" style="5"/>
    <col min="5827" max="5827" width="1.42578125" style="5" customWidth="1"/>
    <col min="5828" max="5828" width="59.5703125" style="5" customWidth="1"/>
    <col min="5829" max="5829" width="9.140625" style="5" customWidth="1"/>
    <col min="5830" max="5831" width="3.85546875" style="5" customWidth="1"/>
    <col min="5832" max="5832" width="10.5703125" style="5" customWidth="1"/>
    <col min="5833" max="5833" width="3.85546875" style="5" customWidth="1"/>
    <col min="5834" max="5836" width="14.42578125" style="5" customWidth="1"/>
    <col min="5837" max="5837" width="4.140625" style="5" customWidth="1"/>
    <col min="5838" max="5838" width="15" style="5" customWidth="1"/>
    <col min="5839" max="5840" width="9.140625" style="5" customWidth="1"/>
    <col min="5841" max="5841" width="11.5703125" style="5" customWidth="1"/>
    <col min="5842" max="5842" width="18.140625" style="5" customWidth="1"/>
    <col min="5843" max="5843" width="13.140625" style="5" customWidth="1"/>
    <col min="5844" max="5844" width="12.28515625" style="5" customWidth="1"/>
    <col min="5845" max="6082" width="9.140625" style="5"/>
    <col min="6083" max="6083" width="1.42578125" style="5" customWidth="1"/>
    <col min="6084" max="6084" width="59.5703125" style="5" customWidth="1"/>
    <col min="6085" max="6085" width="9.140625" style="5" customWidth="1"/>
    <col min="6086" max="6087" width="3.85546875" style="5" customWidth="1"/>
    <col min="6088" max="6088" width="10.5703125" style="5" customWidth="1"/>
    <col min="6089" max="6089" width="3.85546875" style="5" customWidth="1"/>
    <col min="6090" max="6092" width="14.42578125" style="5" customWidth="1"/>
    <col min="6093" max="6093" width="4.140625" style="5" customWidth="1"/>
    <col min="6094" max="6094" width="15" style="5" customWidth="1"/>
    <col min="6095" max="6096" width="9.140625" style="5" customWidth="1"/>
    <col min="6097" max="6097" width="11.5703125" style="5" customWidth="1"/>
    <col min="6098" max="6098" width="18.140625" style="5" customWidth="1"/>
    <col min="6099" max="6099" width="13.140625" style="5" customWidth="1"/>
    <col min="6100" max="6100" width="12.28515625" style="5" customWidth="1"/>
    <col min="6101" max="6338" width="9.140625" style="5"/>
    <col min="6339" max="6339" width="1.42578125" style="5" customWidth="1"/>
    <col min="6340" max="6340" width="59.5703125" style="5" customWidth="1"/>
    <col min="6341" max="6341" width="9.140625" style="5" customWidth="1"/>
    <col min="6342" max="6343" width="3.85546875" style="5" customWidth="1"/>
    <col min="6344" max="6344" width="10.5703125" style="5" customWidth="1"/>
    <col min="6345" max="6345" width="3.85546875" style="5" customWidth="1"/>
    <col min="6346" max="6348" width="14.42578125" style="5" customWidth="1"/>
    <col min="6349" max="6349" width="4.140625" style="5" customWidth="1"/>
    <col min="6350" max="6350" width="15" style="5" customWidth="1"/>
    <col min="6351" max="6352" width="9.140625" style="5" customWidth="1"/>
    <col min="6353" max="6353" width="11.5703125" style="5" customWidth="1"/>
    <col min="6354" max="6354" width="18.140625" style="5" customWidth="1"/>
    <col min="6355" max="6355" width="13.140625" style="5" customWidth="1"/>
    <col min="6356" max="6356" width="12.28515625" style="5" customWidth="1"/>
    <col min="6357" max="6594" width="9.140625" style="5"/>
    <col min="6595" max="6595" width="1.42578125" style="5" customWidth="1"/>
    <col min="6596" max="6596" width="59.5703125" style="5" customWidth="1"/>
    <col min="6597" max="6597" width="9.140625" style="5" customWidth="1"/>
    <col min="6598" max="6599" width="3.85546875" style="5" customWidth="1"/>
    <col min="6600" max="6600" width="10.5703125" style="5" customWidth="1"/>
    <col min="6601" max="6601" width="3.85546875" style="5" customWidth="1"/>
    <col min="6602" max="6604" width="14.42578125" style="5" customWidth="1"/>
    <col min="6605" max="6605" width="4.140625" style="5" customWidth="1"/>
    <col min="6606" max="6606" width="15" style="5" customWidth="1"/>
    <col min="6607" max="6608" width="9.140625" style="5" customWidth="1"/>
    <col min="6609" max="6609" width="11.5703125" style="5" customWidth="1"/>
    <col min="6610" max="6610" width="18.140625" style="5" customWidth="1"/>
    <col min="6611" max="6611" width="13.140625" style="5" customWidth="1"/>
    <col min="6612" max="6612" width="12.28515625" style="5" customWidth="1"/>
    <col min="6613" max="6850" width="9.140625" style="5"/>
    <col min="6851" max="6851" width="1.42578125" style="5" customWidth="1"/>
    <col min="6852" max="6852" width="59.5703125" style="5" customWidth="1"/>
    <col min="6853" max="6853" width="9.140625" style="5" customWidth="1"/>
    <col min="6854" max="6855" width="3.85546875" style="5" customWidth="1"/>
    <col min="6856" max="6856" width="10.5703125" style="5" customWidth="1"/>
    <col min="6857" max="6857" width="3.85546875" style="5" customWidth="1"/>
    <col min="6858" max="6860" width="14.42578125" style="5" customWidth="1"/>
    <col min="6861" max="6861" width="4.140625" style="5" customWidth="1"/>
    <col min="6862" max="6862" width="15" style="5" customWidth="1"/>
    <col min="6863" max="6864" width="9.140625" style="5" customWidth="1"/>
    <col min="6865" max="6865" width="11.5703125" style="5" customWidth="1"/>
    <col min="6866" max="6866" width="18.140625" style="5" customWidth="1"/>
    <col min="6867" max="6867" width="13.140625" style="5" customWidth="1"/>
    <col min="6868" max="6868" width="12.28515625" style="5" customWidth="1"/>
    <col min="6869" max="7106" width="9.140625" style="5"/>
    <col min="7107" max="7107" width="1.42578125" style="5" customWidth="1"/>
    <col min="7108" max="7108" width="59.5703125" style="5" customWidth="1"/>
    <col min="7109" max="7109" width="9.140625" style="5" customWidth="1"/>
    <col min="7110" max="7111" width="3.85546875" style="5" customWidth="1"/>
    <col min="7112" max="7112" width="10.5703125" style="5" customWidth="1"/>
    <col min="7113" max="7113" width="3.85546875" style="5" customWidth="1"/>
    <col min="7114" max="7116" width="14.42578125" style="5" customWidth="1"/>
    <col min="7117" max="7117" width="4.140625" style="5" customWidth="1"/>
    <col min="7118" max="7118" width="15" style="5" customWidth="1"/>
    <col min="7119" max="7120" width="9.140625" style="5" customWidth="1"/>
    <col min="7121" max="7121" width="11.5703125" style="5" customWidth="1"/>
    <col min="7122" max="7122" width="18.140625" style="5" customWidth="1"/>
    <col min="7123" max="7123" width="13.140625" style="5" customWidth="1"/>
    <col min="7124" max="7124" width="12.28515625" style="5" customWidth="1"/>
    <col min="7125" max="7362" width="9.140625" style="5"/>
    <col min="7363" max="7363" width="1.42578125" style="5" customWidth="1"/>
    <col min="7364" max="7364" width="59.5703125" style="5" customWidth="1"/>
    <col min="7365" max="7365" width="9.140625" style="5" customWidth="1"/>
    <col min="7366" max="7367" width="3.85546875" style="5" customWidth="1"/>
    <col min="7368" max="7368" width="10.5703125" style="5" customWidth="1"/>
    <col min="7369" max="7369" width="3.85546875" style="5" customWidth="1"/>
    <col min="7370" max="7372" width="14.42578125" style="5" customWidth="1"/>
    <col min="7373" max="7373" width="4.140625" style="5" customWidth="1"/>
    <col min="7374" max="7374" width="15" style="5" customWidth="1"/>
    <col min="7375" max="7376" width="9.140625" style="5" customWidth="1"/>
    <col min="7377" max="7377" width="11.5703125" style="5" customWidth="1"/>
    <col min="7378" max="7378" width="18.140625" style="5" customWidth="1"/>
    <col min="7379" max="7379" width="13.140625" style="5" customWidth="1"/>
    <col min="7380" max="7380" width="12.28515625" style="5" customWidth="1"/>
    <col min="7381" max="7618" width="9.140625" style="5"/>
    <col min="7619" max="7619" width="1.42578125" style="5" customWidth="1"/>
    <col min="7620" max="7620" width="59.5703125" style="5" customWidth="1"/>
    <col min="7621" max="7621" width="9.140625" style="5" customWidth="1"/>
    <col min="7622" max="7623" width="3.85546875" style="5" customWidth="1"/>
    <col min="7624" max="7624" width="10.5703125" style="5" customWidth="1"/>
    <col min="7625" max="7625" width="3.85546875" style="5" customWidth="1"/>
    <col min="7626" max="7628" width="14.42578125" style="5" customWidth="1"/>
    <col min="7629" max="7629" width="4.140625" style="5" customWidth="1"/>
    <col min="7630" max="7630" width="15" style="5" customWidth="1"/>
    <col min="7631" max="7632" width="9.140625" style="5" customWidth="1"/>
    <col min="7633" max="7633" width="11.5703125" style="5" customWidth="1"/>
    <col min="7634" max="7634" width="18.140625" style="5" customWidth="1"/>
    <col min="7635" max="7635" width="13.140625" style="5" customWidth="1"/>
    <col min="7636" max="7636" width="12.28515625" style="5" customWidth="1"/>
    <col min="7637" max="7874" width="9.140625" style="5"/>
    <col min="7875" max="7875" width="1.42578125" style="5" customWidth="1"/>
    <col min="7876" max="7876" width="59.5703125" style="5" customWidth="1"/>
    <col min="7877" max="7877" width="9.140625" style="5" customWidth="1"/>
    <col min="7878" max="7879" width="3.85546875" style="5" customWidth="1"/>
    <col min="7880" max="7880" width="10.5703125" style="5" customWidth="1"/>
    <col min="7881" max="7881" width="3.85546875" style="5" customWidth="1"/>
    <col min="7882" max="7884" width="14.42578125" style="5" customWidth="1"/>
    <col min="7885" max="7885" width="4.140625" style="5" customWidth="1"/>
    <col min="7886" max="7886" width="15" style="5" customWidth="1"/>
    <col min="7887" max="7888" width="9.140625" style="5" customWidth="1"/>
    <col min="7889" max="7889" width="11.5703125" style="5" customWidth="1"/>
    <col min="7890" max="7890" width="18.140625" style="5" customWidth="1"/>
    <col min="7891" max="7891" width="13.140625" style="5" customWidth="1"/>
    <col min="7892" max="7892" width="12.28515625" style="5" customWidth="1"/>
    <col min="7893" max="8130" width="9.140625" style="5"/>
    <col min="8131" max="8131" width="1.42578125" style="5" customWidth="1"/>
    <col min="8132" max="8132" width="59.5703125" style="5" customWidth="1"/>
    <col min="8133" max="8133" width="9.140625" style="5" customWidth="1"/>
    <col min="8134" max="8135" width="3.85546875" style="5" customWidth="1"/>
    <col min="8136" max="8136" width="10.5703125" style="5" customWidth="1"/>
    <col min="8137" max="8137" width="3.85546875" style="5" customWidth="1"/>
    <col min="8138" max="8140" width="14.42578125" style="5" customWidth="1"/>
    <col min="8141" max="8141" width="4.140625" style="5" customWidth="1"/>
    <col min="8142" max="8142" width="15" style="5" customWidth="1"/>
    <col min="8143" max="8144" width="9.140625" style="5" customWidth="1"/>
    <col min="8145" max="8145" width="11.5703125" style="5" customWidth="1"/>
    <col min="8146" max="8146" width="18.140625" style="5" customWidth="1"/>
    <col min="8147" max="8147" width="13.140625" style="5" customWidth="1"/>
    <col min="8148" max="8148" width="12.28515625" style="5" customWidth="1"/>
    <col min="8149" max="8386" width="9.140625" style="5"/>
    <col min="8387" max="8387" width="1.42578125" style="5" customWidth="1"/>
    <col min="8388" max="8388" width="59.5703125" style="5" customWidth="1"/>
    <col min="8389" max="8389" width="9.140625" style="5" customWidth="1"/>
    <col min="8390" max="8391" width="3.85546875" style="5" customWidth="1"/>
    <col min="8392" max="8392" width="10.5703125" style="5" customWidth="1"/>
    <col min="8393" max="8393" width="3.85546875" style="5" customWidth="1"/>
    <col min="8394" max="8396" width="14.42578125" style="5" customWidth="1"/>
    <col min="8397" max="8397" width="4.140625" style="5" customWidth="1"/>
    <col min="8398" max="8398" width="15" style="5" customWidth="1"/>
    <col min="8399" max="8400" width="9.140625" style="5" customWidth="1"/>
    <col min="8401" max="8401" width="11.5703125" style="5" customWidth="1"/>
    <col min="8402" max="8402" width="18.140625" style="5" customWidth="1"/>
    <col min="8403" max="8403" width="13.140625" style="5" customWidth="1"/>
    <col min="8404" max="8404" width="12.28515625" style="5" customWidth="1"/>
    <col min="8405" max="8642" width="9.140625" style="5"/>
    <col min="8643" max="8643" width="1.42578125" style="5" customWidth="1"/>
    <col min="8644" max="8644" width="59.5703125" style="5" customWidth="1"/>
    <col min="8645" max="8645" width="9.140625" style="5" customWidth="1"/>
    <col min="8646" max="8647" width="3.85546875" style="5" customWidth="1"/>
    <col min="8648" max="8648" width="10.5703125" style="5" customWidth="1"/>
    <col min="8649" max="8649" width="3.85546875" style="5" customWidth="1"/>
    <col min="8650" max="8652" width="14.42578125" style="5" customWidth="1"/>
    <col min="8653" max="8653" width="4.140625" style="5" customWidth="1"/>
    <col min="8654" max="8654" width="15" style="5" customWidth="1"/>
    <col min="8655" max="8656" width="9.140625" style="5" customWidth="1"/>
    <col min="8657" max="8657" width="11.5703125" style="5" customWidth="1"/>
    <col min="8658" max="8658" width="18.140625" style="5" customWidth="1"/>
    <col min="8659" max="8659" width="13.140625" style="5" customWidth="1"/>
    <col min="8660" max="8660" width="12.28515625" style="5" customWidth="1"/>
    <col min="8661" max="8898" width="9.140625" style="5"/>
    <col min="8899" max="8899" width="1.42578125" style="5" customWidth="1"/>
    <col min="8900" max="8900" width="59.5703125" style="5" customWidth="1"/>
    <col min="8901" max="8901" width="9.140625" style="5" customWidth="1"/>
    <col min="8902" max="8903" width="3.85546875" style="5" customWidth="1"/>
    <col min="8904" max="8904" width="10.5703125" style="5" customWidth="1"/>
    <col min="8905" max="8905" width="3.85546875" style="5" customWidth="1"/>
    <col min="8906" max="8908" width="14.42578125" style="5" customWidth="1"/>
    <col min="8909" max="8909" width="4.140625" style="5" customWidth="1"/>
    <col min="8910" max="8910" width="15" style="5" customWidth="1"/>
    <col min="8911" max="8912" width="9.140625" style="5" customWidth="1"/>
    <col min="8913" max="8913" width="11.5703125" style="5" customWidth="1"/>
    <col min="8914" max="8914" width="18.140625" style="5" customWidth="1"/>
    <col min="8915" max="8915" width="13.140625" style="5" customWidth="1"/>
    <col min="8916" max="8916" width="12.28515625" style="5" customWidth="1"/>
    <col min="8917" max="9154" width="9.140625" style="5"/>
    <col min="9155" max="9155" width="1.42578125" style="5" customWidth="1"/>
    <col min="9156" max="9156" width="59.5703125" style="5" customWidth="1"/>
    <col min="9157" max="9157" width="9.140625" style="5" customWidth="1"/>
    <col min="9158" max="9159" width="3.85546875" style="5" customWidth="1"/>
    <col min="9160" max="9160" width="10.5703125" style="5" customWidth="1"/>
    <col min="9161" max="9161" width="3.85546875" style="5" customWidth="1"/>
    <col min="9162" max="9164" width="14.42578125" style="5" customWidth="1"/>
    <col min="9165" max="9165" width="4.140625" style="5" customWidth="1"/>
    <col min="9166" max="9166" width="15" style="5" customWidth="1"/>
    <col min="9167" max="9168" width="9.140625" style="5" customWidth="1"/>
    <col min="9169" max="9169" width="11.5703125" style="5" customWidth="1"/>
    <col min="9170" max="9170" width="18.140625" style="5" customWidth="1"/>
    <col min="9171" max="9171" width="13.140625" style="5" customWidth="1"/>
    <col min="9172" max="9172" width="12.28515625" style="5" customWidth="1"/>
    <col min="9173" max="9410" width="9.140625" style="5"/>
    <col min="9411" max="9411" width="1.42578125" style="5" customWidth="1"/>
    <col min="9412" max="9412" width="59.5703125" style="5" customWidth="1"/>
    <col min="9413" max="9413" width="9.140625" style="5" customWidth="1"/>
    <col min="9414" max="9415" width="3.85546875" style="5" customWidth="1"/>
    <col min="9416" max="9416" width="10.5703125" style="5" customWidth="1"/>
    <col min="9417" max="9417" width="3.85546875" style="5" customWidth="1"/>
    <col min="9418" max="9420" width="14.42578125" style="5" customWidth="1"/>
    <col min="9421" max="9421" width="4.140625" style="5" customWidth="1"/>
    <col min="9422" max="9422" width="15" style="5" customWidth="1"/>
    <col min="9423" max="9424" width="9.140625" style="5" customWidth="1"/>
    <col min="9425" max="9425" width="11.5703125" style="5" customWidth="1"/>
    <col min="9426" max="9426" width="18.140625" style="5" customWidth="1"/>
    <col min="9427" max="9427" width="13.140625" style="5" customWidth="1"/>
    <col min="9428" max="9428" width="12.28515625" style="5" customWidth="1"/>
    <col min="9429" max="9666" width="9.140625" style="5"/>
    <col min="9667" max="9667" width="1.42578125" style="5" customWidth="1"/>
    <col min="9668" max="9668" width="59.5703125" style="5" customWidth="1"/>
    <col min="9669" max="9669" width="9.140625" style="5" customWidth="1"/>
    <col min="9670" max="9671" width="3.85546875" style="5" customWidth="1"/>
    <col min="9672" max="9672" width="10.5703125" style="5" customWidth="1"/>
    <col min="9673" max="9673" width="3.85546875" style="5" customWidth="1"/>
    <col min="9674" max="9676" width="14.42578125" style="5" customWidth="1"/>
    <col min="9677" max="9677" width="4.140625" style="5" customWidth="1"/>
    <col min="9678" max="9678" width="15" style="5" customWidth="1"/>
    <col min="9679" max="9680" width="9.140625" style="5" customWidth="1"/>
    <col min="9681" max="9681" width="11.5703125" style="5" customWidth="1"/>
    <col min="9682" max="9682" width="18.140625" style="5" customWidth="1"/>
    <col min="9683" max="9683" width="13.140625" style="5" customWidth="1"/>
    <col min="9684" max="9684" width="12.28515625" style="5" customWidth="1"/>
    <col min="9685" max="9922" width="9.140625" style="5"/>
    <col min="9923" max="9923" width="1.42578125" style="5" customWidth="1"/>
    <col min="9924" max="9924" width="59.5703125" style="5" customWidth="1"/>
    <col min="9925" max="9925" width="9.140625" style="5" customWidth="1"/>
    <col min="9926" max="9927" width="3.85546875" style="5" customWidth="1"/>
    <col min="9928" max="9928" width="10.5703125" style="5" customWidth="1"/>
    <col min="9929" max="9929" width="3.85546875" style="5" customWidth="1"/>
    <col min="9930" max="9932" width="14.42578125" style="5" customWidth="1"/>
    <col min="9933" max="9933" width="4.140625" style="5" customWidth="1"/>
    <col min="9934" max="9934" width="15" style="5" customWidth="1"/>
    <col min="9935" max="9936" width="9.140625" style="5" customWidth="1"/>
    <col min="9937" max="9937" width="11.5703125" style="5" customWidth="1"/>
    <col min="9938" max="9938" width="18.140625" style="5" customWidth="1"/>
    <col min="9939" max="9939" width="13.140625" style="5" customWidth="1"/>
    <col min="9940" max="9940" width="12.28515625" style="5" customWidth="1"/>
    <col min="9941" max="10178" width="9.140625" style="5"/>
    <col min="10179" max="10179" width="1.42578125" style="5" customWidth="1"/>
    <col min="10180" max="10180" width="59.5703125" style="5" customWidth="1"/>
    <col min="10181" max="10181" width="9.140625" style="5" customWidth="1"/>
    <col min="10182" max="10183" width="3.85546875" style="5" customWidth="1"/>
    <col min="10184" max="10184" width="10.5703125" style="5" customWidth="1"/>
    <col min="10185" max="10185" width="3.85546875" style="5" customWidth="1"/>
    <col min="10186" max="10188" width="14.42578125" style="5" customWidth="1"/>
    <col min="10189" max="10189" width="4.140625" style="5" customWidth="1"/>
    <col min="10190" max="10190" width="15" style="5" customWidth="1"/>
    <col min="10191" max="10192" width="9.140625" style="5" customWidth="1"/>
    <col min="10193" max="10193" width="11.5703125" style="5" customWidth="1"/>
    <col min="10194" max="10194" width="18.140625" style="5" customWidth="1"/>
    <col min="10195" max="10195" width="13.140625" style="5" customWidth="1"/>
    <col min="10196" max="10196" width="12.28515625" style="5" customWidth="1"/>
    <col min="10197" max="10434" width="9.140625" style="5"/>
    <col min="10435" max="10435" width="1.42578125" style="5" customWidth="1"/>
    <col min="10436" max="10436" width="59.5703125" style="5" customWidth="1"/>
    <col min="10437" max="10437" width="9.140625" style="5" customWidth="1"/>
    <col min="10438" max="10439" width="3.85546875" style="5" customWidth="1"/>
    <col min="10440" max="10440" width="10.5703125" style="5" customWidth="1"/>
    <col min="10441" max="10441" width="3.85546875" style="5" customWidth="1"/>
    <col min="10442" max="10444" width="14.42578125" style="5" customWidth="1"/>
    <col min="10445" max="10445" width="4.140625" style="5" customWidth="1"/>
    <col min="10446" max="10446" width="15" style="5" customWidth="1"/>
    <col min="10447" max="10448" width="9.140625" style="5" customWidth="1"/>
    <col min="10449" max="10449" width="11.5703125" style="5" customWidth="1"/>
    <col min="10450" max="10450" width="18.140625" style="5" customWidth="1"/>
    <col min="10451" max="10451" width="13.140625" style="5" customWidth="1"/>
    <col min="10452" max="10452" width="12.28515625" style="5" customWidth="1"/>
    <col min="10453" max="10690" width="9.140625" style="5"/>
    <col min="10691" max="10691" width="1.42578125" style="5" customWidth="1"/>
    <col min="10692" max="10692" width="59.5703125" style="5" customWidth="1"/>
    <col min="10693" max="10693" width="9.140625" style="5" customWidth="1"/>
    <col min="10694" max="10695" width="3.85546875" style="5" customWidth="1"/>
    <col min="10696" max="10696" width="10.5703125" style="5" customWidth="1"/>
    <col min="10697" max="10697" width="3.85546875" style="5" customWidth="1"/>
    <col min="10698" max="10700" width="14.42578125" style="5" customWidth="1"/>
    <col min="10701" max="10701" width="4.140625" style="5" customWidth="1"/>
    <col min="10702" max="10702" width="15" style="5" customWidth="1"/>
    <col min="10703" max="10704" width="9.140625" style="5" customWidth="1"/>
    <col min="10705" max="10705" width="11.5703125" style="5" customWidth="1"/>
    <col min="10706" max="10706" width="18.140625" style="5" customWidth="1"/>
    <col min="10707" max="10707" width="13.140625" style="5" customWidth="1"/>
    <col min="10708" max="10708" width="12.28515625" style="5" customWidth="1"/>
    <col min="10709" max="10946" width="9.140625" style="5"/>
    <col min="10947" max="10947" width="1.42578125" style="5" customWidth="1"/>
    <col min="10948" max="10948" width="59.5703125" style="5" customWidth="1"/>
    <col min="10949" max="10949" width="9.140625" style="5" customWidth="1"/>
    <col min="10950" max="10951" width="3.85546875" style="5" customWidth="1"/>
    <col min="10952" max="10952" width="10.5703125" style="5" customWidth="1"/>
    <col min="10953" max="10953" width="3.85546875" style="5" customWidth="1"/>
    <col min="10954" max="10956" width="14.42578125" style="5" customWidth="1"/>
    <col min="10957" max="10957" width="4.140625" style="5" customWidth="1"/>
    <col min="10958" max="10958" width="15" style="5" customWidth="1"/>
    <col min="10959" max="10960" width="9.140625" style="5" customWidth="1"/>
    <col min="10961" max="10961" width="11.5703125" style="5" customWidth="1"/>
    <col min="10962" max="10962" width="18.140625" style="5" customWidth="1"/>
    <col min="10963" max="10963" width="13.140625" style="5" customWidth="1"/>
    <col min="10964" max="10964" width="12.28515625" style="5" customWidth="1"/>
    <col min="10965" max="11202" width="9.140625" style="5"/>
    <col min="11203" max="11203" width="1.42578125" style="5" customWidth="1"/>
    <col min="11204" max="11204" width="59.5703125" style="5" customWidth="1"/>
    <col min="11205" max="11205" width="9.140625" style="5" customWidth="1"/>
    <col min="11206" max="11207" width="3.85546875" style="5" customWidth="1"/>
    <col min="11208" max="11208" width="10.5703125" style="5" customWidth="1"/>
    <col min="11209" max="11209" width="3.85546875" style="5" customWidth="1"/>
    <col min="11210" max="11212" width="14.42578125" style="5" customWidth="1"/>
    <col min="11213" max="11213" width="4.140625" style="5" customWidth="1"/>
    <col min="11214" max="11214" width="15" style="5" customWidth="1"/>
    <col min="11215" max="11216" width="9.140625" style="5" customWidth="1"/>
    <col min="11217" max="11217" width="11.5703125" style="5" customWidth="1"/>
    <col min="11218" max="11218" width="18.140625" style="5" customWidth="1"/>
    <col min="11219" max="11219" width="13.140625" style="5" customWidth="1"/>
    <col min="11220" max="11220" width="12.28515625" style="5" customWidth="1"/>
    <col min="11221" max="11458" width="9.140625" style="5"/>
    <col min="11459" max="11459" width="1.42578125" style="5" customWidth="1"/>
    <col min="11460" max="11460" width="59.5703125" style="5" customWidth="1"/>
    <col min="11461" max="11461" width="9.140625" style="5" customWidth="1"/>
    <col min="11462" max="11463" width="3.85546875" style="5" customWidth="1"/>
    <col min="11464" max="11464" width="10.5703125" style="5" customWidth="1"/>
    <col min="11465" max="11465" width="3.85546875" style="5" customWidth="1"/>
    <col min="11466" max="11468" width="14.42578125" style="5" customWidth="1"/>
    <col min="11469" max="11469" width="4.140625" style="5" customWidth="1"/>
    <col min="11470" max="11470" width="15" style="5" customWidth="1"/>
    <col min="11471" max="11472" width="9.140625" style="5" customWidth="1"/>
    <col min="11473" max="11473" width="11.5703125" style="5" customWidth="1"/>
    <col min="11474" max="11474" width="18.140625" style="5" customWidth="1"/>
    <col min="11475" max="11475" width="13.140625" style="5" customWidth="1"/>
    <col min="11476" max="11476" width="12.28515625" style="5" customWidth="1"/>
    <col min="11477" max="11714" width="9.140625" style="5"/>
    <col min="11715" max="11715" width="1.42578125" style="5" customWidth="1"/>
    <col min="11716" max="11716" width="59.5703125" style="5" customWidth="1"/>
    <col min="11717" max="11717" width="9.140625" style="5" customWidth="1"/>
    <col min="11718" max="11719" width="3.85546875" style="5" customWidth="1"/>
    <col min="11720" max="11720" width="10.5703125" style="5" customWidth="1"/>
    <col min="11721" max="11721" width="3.85546875" style="5" customWidth="1"/>
    <col min="11722" max="11724" width="14.42578125" style="5" customWidth="1"/>
    <col min="11725" max="11725" width="4.140625" style="5" customWidth="1"/>
    <col min="11726" max="11726" width="15" style="5" customWidth="1"/>
    <col min="11727" max="11728" width="9.140625" style="5" customWidth="1"/>
    <col min="11729" max="11729" width="11.5703125" style="5" customWidth="1"/>
    <col min="11730" max="11730" width="18.140625" style="5" customWidth="1"/>
    <col min="11731" max="11731" width="13.140625" style="5" customWidth="1"/>
    <col min="11732" max="11732" width="12.28515625" style="5" customWidth="1"/>
    <col min="11733" max="11970" width="9.140625" style="5"/>
    <col min="11971" max="11971" width="1.42578125" style="5" customWidth="1"/>
    <col min="11972" max="11972" width="59.5703125" style="5" customWidth="1"/>
    <col min="11973" max="11973" width="9.140625" style="5" customWidth="1"/>
    <col min="11974" max="11975" width="3.85546875" style="5" customWidth="1"/>
    <col min="11976" max="11976" width="10.5703125" style="5" customWidth="1"/>
    <col min="11977" max="11977" width="3.85546875" style="5" customWidth="1"/>
    <col min="11978" max="11980" width="14.42578125" style="5" customWidth="1"/>
    <col min="11981" max="11981" width="4.140625" style="5" customWidth="1"/>
    <col min="11982" max="11982" width="15" style="5" customWidth="1"/>
    <col min="11983" max="11984" width="9.140625" style="5" customWidth="1"/>
    <col min="11985" max="11985" width="11.5703125" style="5" customWidth="1"/>
    <col min="11986" max="11986" width="18.140625" style="5" customWidth="1"/>
    <col min="11987" max="11987" width="13.140625" style="5" customWidth="1"/>
    <col min="11988" max="11988" width="12.28515625" style="5" customWidth="1"/>
    <col min="11989" max="12226" width="9.140625" style="5"/>
    <col min="12227" max="12227" width="1.42578125" style="5" customWidth="1"/>
    <col min="12228" max="12228" width="59.5703125" style="5" customWidth="1"/>
    <col min="12229" max="12229" width="9.140625" style="5" customWidth="1"/>
    <col min="12230" max="12231" width="3.85546875" style="5" customWidth="1"/>
    <col min="12232" max="12232" width="10.5703125" style="5" customWidth="1"/>
    <col min="12233" max="12233" width="3.85546875" style="5" customWidth="1"/>
    <col min="12234" max="12236" width="14.42578125" style="5" customWidth="1"/>
    <col min="12237" max="12237" width="4.140625" style="5" customWidth="1"/>
    <col min="12238" max="12238" width="15" style="5" customWidth="1"/>
    <col min="12239" max="12240" width="9.140625" style="5" customWidth="1"/>
    <col min="12241" max="12241" width="11.5703125" style="5" customWidth="1"/>
    <col min="12242" max="12242" width="18.140625" style="5" customWidth="1"/>
    <col min="12243" max="12243" width="13.140625" style="5" customWidth="1"/>
    <col min="12244" max="12244" width="12.28515625" style="5" customWidth="1"/>
    <col min="12245" max="12482" width="9.140625" style="5"/>
    <col min="12483" max="12483" width="1.42578125" style="5" customWidth="1"/>
    <col min="12484" max="12484" width="59.5703125" style="5" customWidth="1"/>
    <col min="12485" max="12485" width="9.140625" style="5" customWidth="1"/>
    <col min="12486" max="12487" width="3.85546875" style="5" customWidth="1"/>
    <col min="12488" max="12488" width="10.5703125" style="5" customWidth="1"/>
    <col min="12489" max="12489" width="3.85546875" style="5" customWidth="1"/>
    <col min="12490" max="12492" width="14.42578125" style="5" customWidth="1"/>
    <col min="12493" max="12493" width="4.140625" style="5" customWidth="1"/>
    <col min="12494" max="12494" width="15" style="5" customWidth="1"/>
    <col min="12495" max="12496" width="9.140625" style="5" customWidth="1"/>
    <col min="12497" max="12497" width="11.5703125" style="5" customWidth="1"/>
    <col min="12498" max="12498" width="18.140625" style="5" customWidth="1"/>
    <col min="12499" max="12499" width="13.140625" style="5" customWidth="1"/>
    <col min="12500" max="12500" width="12.28515625" style="5" customWidth="1"/>
    <col min="12501" max="12738" width="9.140625" style="5"/>
    <col min="12739" max="12739" width="1.42578125" style="5" customWidth="1"/>
    <col min="12740" max="12740" width="59.5703125" style="5" customWidth="1"/>
    <col min="12741" max="12741" width="9.140625" style="5" customWidth="1"/>
    <col min="12742" max="12743" width="3.85546875" style="5" customWidth="1"/>
    <col min="12744" max="12744" width="10.5703125" style="5" customWidth="1"/>
    <col min="12745" max="12745" width="3.85546875" style="5" customWidth="1"/>
    <col min="12746" max="12748" width="14.42578125" style="5" customWidth="1"/>
    <col min="12749" max="12749" width="4.140625" style="5" customWidth="1"/>
    <col min="12750" max="12750" width="15" style="5" customWidth="1"/>
    <col min="12751" max="12752" width="9.140625" style="5" customWidth="1"/>
    <col min="12753" max="12753" width="11.5703125" style="5" customWidth="1"/>
    <col min="12754" max="12754" width="18.140625" style="5" customWidth="1"/>
    <col min="12755" max="12755" width="13.140625" style="5" customWidth="1"/>
    <col min="12756" max="12756" width="12.28515625" style="5" customWidth="1"/>
    <col min="12757" max="12994" width="9.140625" style="5"/>
    <col min="12995" max="12995" width="1.42578125" style="5" customWidth="1"/>
    <col min="12996" max="12996" width="59.5703125" style="5" customWidth="1"/>
    <col min="12997" max="12997" width="9.140625" style="5" customWidth="1"/>
    <col min="12998" max="12999" width="3.85546875" style="5" customWidth="1"/>
    <col min="13000" max="13000" width="10.5703125" style="5" customWidth="1"/>
    <col min="13001" max="13001" width="3.85546875" style="5" customWidth="1"/>
    <col min="13002" max="13004" width="14.42578125" style="5" customWidth="1"/>
    <col min="13005" max="13005" width="4.140625" style="5" customWidth="1"/>
    <col min="13006" max="13006" width="15" style="5" customWidth="1"/>
    <col min="13007" max="13008" width="9.140625" style="5" customWidth="1"/>
    <col min="13009" max="13009" width="11.5703125" style="5" customWidth="1"/>
    <col min="13010" max="13010" width="18.140625" style="5" customWidth="1"/>
    <col min="13011" max="13011" width="13.140625" style="5" customWidth="1"/>
    <col min="13012" max="13012" width="12.28515625" style="5" customWidth="1"/>
    <col min="13013" max="13250" width="9.140625" style="5"/>
    <col min="13251" max="13251" width="1.42578125" style="5" customWidth="1"/>
    <col min="13252" max="13252" width="59.5703125" style="5" customWidth="1"/>
    <col min="13253" max="13253" width="9.140625" style="5" customWidth="1"/>
    <col min="13254" max="13255" width="3.85546875" style="5" customWidth="1"/>
    <col min="13256" max="13256" width="10.5703125" style="5" customWidth="1"/>
    <col min="13257" max="13257" width="3.85546875" style="5" customWidth="1"/>
    <col min="13258" max="13260" width="14.42578125" style="5" customWidth="1"/>
    <col min="13261" max="13261" width="4.140625" style="5" customWidth="1"/>
    <col min="13262" max="13262" width="15" style="5" customWidth="1"/>
    <col min="13263" max="13264" width="9.140625" style="5" customWidth="1"/>
    <col min="13265" max="13265" width="11.5703125" style="5" customWidth="1"/>
    <col min="13266" max="13266" width="18.140625" style="5" customWidth="1"/>
    <col min="13267" max="13267" width="13.140625" style="5" customWidth="1"/>
    <col min="13268" max="13268" width="12.28515625" style="5" customWidth="1"/>
    <col min="13269" max="13506" width="9.140625" style="5"/>
    <col min="13507" max="13507" width="1.42578125" style="5" customWidth="1"/>
    <col min="13508" max="13508" width="59.5703125" style="5" customWidth="1"/>
    <col min="13509" max="13509" width="9.140625" style="5" customWidth="1"/>
    <col min="13510" max="13511" width="3.85546875" style="5" customWidth="1"/>
    <col min="13512" max="13512" width="10.5703125" style="5" customWidth="1"/>
    <col min="13513" max="13513" width="3.85546875" style="5" customWidth="1"/>
    <col min="13514" max="13516" width="14.42578125" style="5" customWidth="1"/>
    <col min="13517" max="13517" width="4.140625" style="5" customWidth="1"/>
    <col min="13518" max="13518" width="15" style="5" customWidth="1"/>
    <col min="13519" max="13520" width="9.140625" style="5" customWidth="1"/>
    <col min="13521" max="13521" width="11.5703125" style="5" customWidth="1"/>
    <col min="13522" max="13522" width="18.140625" style="5" customWidth="1"/>
    <col min="13523" max="13523" width="13.140625" style="5" customWidth="1"/>
    <col min="13524" max="13524" width="12.28515625" style="5" customWidth="1"/>
    <col min="13525" max="13762" width="9.140625" style="5"/>
    <col min="13763" max="13763" width="1.42578125" style="5" customWidth="1"/>
    <col min="13764" max="13764" width="59.5703125" style="5" customWidth="1"/>
    <col min="13765" max="13765" width="9.140625" style="5" customWidth="1"/>
    <col min="13766" max="13767" width="3.85546875" style="5" customWidth="1"/>
    <col min="13768" max="13768" width="10.5703125" style="5" customWidth="1"/>
    <col min="13769" max="13769" width="3.85546875" style="5" customWidth="1"/>
    <col min="13770" max="13772" width="14.42578125" style="5" customWidth="1"/>
    <col min="13773" max="13773" width="4.140625" style="5" customWidth="1"/>
    <col min="13774" max="13774" width="15" style="5" customWidth="1"/>
    <col min="13775" max="13776" width="9.140625" style="5" customWidth="1"/>
    <col min="13777" max="13777" width="11.5703125" style="5" customWidth="1"/>
    <col min="13778" max="13778" width="18.140625" style="5" customWidth="1"/>
    <col min="13779" max="13779" width="13.140625" style="5" customWidth="1"/>
    <col min="13780" max="13780" width="12.28515625" style="5" customWidth="1"/>
    <col min="13781" max="14018" width="9.140625" style="5"/>
    <col min="14019" max="14019" width="1.42578125" style="5" customWidth="1"/>
    <col min="14020" max="14020" width="59.5703125" style="5" customWidth="1"/>
    <col min="14021" max="14021" width="9.140625" style="5" customWidth="1"/>
    <col min="14022" max="14023" width="3.85546875" style="5" customWidth="1"/>
    <col min="14024" max="14024" width="10.5703125" style="5" customWidth="1"/>
    <col min="14025" max="14025" width="3.85546875" style="5" customWidth="1"/>
    <col min="14026" max="14028" width="14.42578125" style="5" customWidth="1"/>
    <col min="14029" max="14029" width="4.140625" style="5" customWidth="1"/>
    <col min="14030" max="14030" width="15" style="5" customWidth="1"/>
    <col min="14031" max="14032" width="9.140625" style="5" customWidth="1"/>
    <col min="14033" max="14033" width="11.5703125" style="5" customWidth="1"/>
    <col min="14034" max="14034" width="18.140625" style="5" customWidth="1"/>
    <col min="14035" max="14035" width="13.140625" style="5" customWidth="1"/>
    <col min="14036" max="14036" width="12.28515625" style="5" customWidth="1"/>
    <col min="14037" max="14274" width="9.140625" style="5"/>
    <col min="14275" max="14275" width="1.42578125" style="5" customWidth="1"/>
    <col min="14276" max="14276" width="59.5703125" style="5" customWidth="1"/>
    <col min="14277" max="14277" width="9.140625" style="5" customWidth="1"/>
    <col min="14278" max="14279" width="3.85546875" style="5" customWidth="1"/>
    <col min="14280" max="14280" width="10.5703125" style="5" customWidth="1"/>
    <col min="14281" max="14281" width="3.85546875" style="5" customWidth="1"/>
    <col min="14282" max="14284" width="14.42578125" style="5" customWidth="1"/>
    <col min="14285" max="14285" width="4.140625" style="5" customWidth="1"/>
    <col min="14286" max="14286" width="15" style="5" customWidth="1"/>
    <col min="14287" max="14288" width="9.140625" style="5" customWidth="1"/>
    <col min="14289" max="14289" width="11.5703125" style="5" customWidth="1"/>
    <col min="14290" max="14290" width="18.140625" style="5" customWidth="1"/>
    <col min="14291" max="14291" width="13.140625" style="5" customWidth="1"/>
    <col min="14292" max="14292" width="12.28515625" style="5" customWidth="1"/>
    <col min="14293" max="14530" width="9.140625" style="5"/>
    <col min="14531" max="14531" width="1.42578125" style="5" customWidth="1"/>
    <col min="14532" max="14532" width="59.5703125" style="5" customWidth="1"/>
    <col min="14533" max="14533" width="9.140625" style="5" customWidth="1"/>
    <col min="14534" max="14535" width="3.85546875" style="5" customWidth="1"/>
    <col min="14536" max="14536" width="10.5703125" style="5" customWidth="1"/>
    <col min="14537" max="14537" width="3.85546875" style="5" customWidth="1"/>
    <col min="14538" max="14540" width="14.42578125" style="5" customWidth="1"/>
    <col min="14541" max="14541" width="4.140625" style="5" customWidth="1"/>
    <col min="14542" max="14542" width="15" style="5" customWidth="1"/>
    <col min="14543" max="14544" width="9.140625" style="5" customWidth="1"/>
    <col min="14545" max="14545" width="11.5703125" style="5" customWidth="1"/>
    <col min="14546" max="14546" width="18.140625" style="5" customWidth="1"/>
    <col min="14547" max="14547" width="13.140625" style="5" customWidth="1"/>
    <col min="14548" max="14548" width="12.28515625" style="5" customWidth="1"/>
    <col min="14549" max="14786" width="9.140625" style="5"/>
    <col min="14787" max="14787" width="1.42578125" style="5" customWidth="1"/>
    <col min="14788" max="14788" width="59.5703125" style="5" customWidth="1"/>
    <col min="14789" max="14789" width="9.140625" style="5" customWidth="1"/>
    <col min="14790" max="14791" width="3.85546875" style="5" customWidth="1"/>
    <col min="14792" max="14792" width="10.5703125" style="5" customWidth="1"/>
    <col min="14793" max="14793" width="3.85546875" style="5" customWidth="1"/>
    <col min="14794" max="14796" width="14.42578125" style="5" customWidth="1"/>
    <col min="14797" max="14797" width="4.140625" style="5" customWidth="1"/>
    <col min="14798" max="14798" width="15" style="5" customWidth="1"/>
    <col min="14799" max="14800" width="9.140625" style="5" customWidth="1"/>
    <col min="14801" max="14801" width="11.5703125" style="5" customWidth="1"/>
    <col min="14802" max="14802" width="18.140625" style="5" customWidth="1"/>
    <col min="14803" max="14803" width="13.140625" style="5" customWidth="1"/>
    <col min="14804" max="14804" width="12.28515625" style="5" customWidth="1"/>
    <col min="14805" max="15042" width="9.140625" style="5"/>
    <col min="15043" max="15043" width="1.42578125" style="5" customWidth="1"/>
    <col min="15044" max="15044" width="59.5703125" style="5" customWidth="1"/>
    <col min="15045" max="15045" width="9.140625" style="5" customWidth="1"/>
    <col min="15046" max="15047" width="3.85546875" style="5" customWidth="1"/>
    <col min="15048" max="15048" width="10.5703125" style="5" customWidth="1"/>
    <col min="15049" max="15049" width="3.85546875" style="5" customWidth="1"/>
    <col min="15050" max="15052" width="14.42578125" style="5" customWidth="1"/>
    <col min="15053" max="15053" width="4.140625" style="5" customWidth="1"/>
    <col min="15054" max="15054" width="15" style="5" customWidth="1"/>
    <col min="15055" max="15056" width="9.140625" style="5" customWidth="1"/>
    <col min="15057" max="15057" width="11.5703125" style="5" customWidth="1"/>
    <col min="15058" max="15058" width="18.140625" style="5" customWidth="1"/>
    <col min="15059" max="15059" width="13.140625" style="5" customWidth="1"/>
    <col min="15060" max="15060" width="12.28515625" style="5" customWidth="1"/>
    <col min="15061" max="15298" width="9.140625" style="5"/>
    <col min="15299" max="15299" width="1.42578125" style="5" customWidth="1"/>
    <col min="15300" max="15300" width="59.5703125" style="5" customWidth="1"/>
    <col min="15301" max="15301" width="9.140625" style="5" customWidth="1"/>
    <col min="15302" max="15303" width="3.85546875" style="5" customWidth="1"/>
    <col min="15304" max="15304" width="10.5703125" style="5" customWidth="1"/>
    <col min="15305" max="15305" width="3.85546875" style="5" customWidth="1"/>
    <col min="15306" max="15308" width="14.42578125" style="5" customWidth="1"/>
    <col min="15309" max="15309" width="4.140625" style="5" customWidth="1"/>
    <col min="15310" max="15310" width="15" style="5" customWidth="1"/>
    <col min="15311" max="15312" width="9.140625" style="5" customWidth="1"/>
    <col min="15313" max="15313" width="11.5703125" style="5" customWidth="1"/>
    <col min="15314" max="15314" width="18.140625" style="5" customWidth="1"/>
    <col min="15315" max="15315" width="13.140625" style="5" customWidth="1"/>
    <col min="15316" max="15316" width="12.28515625" style="5" customWidth="1"/>
    <col min="15317" max="15554" width="9.140625" style="5"/>
    <col min="15555" max="15555" width="1.42578125" style="5" customWidth="1"/>
    <col min="15556" max="15556" width="59.5703125" style="5" customWidth="1"/>
    <col min="15557" max="15557" width="9.140625" style="5" customWidth="1"/>
    <col min="15558" max="15559" width="3.85546875" style="5" customWidth="1"/>
    <col min="15560" max="15560" width="10.5703125" style="5" customWidth="1"/>
    <col min="15561" max="15561" width="3.85546875" style="5" customWidth="1"/>
    <col min="15562" max="15564" width="14.42578125" style="5" customWidth="1"/>
    <col min="15565" max="15565" width="4.140625" style="5" customWidth="1"/>
    <col min="15566" max="15566" width="15" style="5" customWidth="1"/>
    <col min="15567" max="15568" width="9.140625" style="5" customWidth="1"/>
    <col min="15569" max="15569" width="11.5703125" style="5" customWidth="1"/>
    <col min="15570" max="15570" width="18.140625" style="5" customWidth="1"/>
    <col min="15571" max="15571" width="13.140625" style="5" customWidth="1"/>
    <col min="15572" max="15572" width="12.28515625" style="5" customWidth="1"/>
    <col min="15573" max="15810" width="9.140625" style="5"/>
    <col min="15811" max="15811" width="1.42578125" style="5" customWidth="1"/>
    <col min="15812" max="15812" width="59.5703125" style="5" customWidth="1"/>
    <col min="15813" max="15813" width="9.140625" style="5" customWidth="1"/>
    <col min="15814" max="15815" width="3.85546875" style="5" customWidth="1"/>
    <col min="15816" max="15816" width="10.5703125" style="5" customWidth="1"/>
    <col min="15817" max="15817" width="3.85546875" style="5" customWidth="1"/>
    <col min="15818" max="15820" width="14.42578125" style="5" customWidth="1"/>
    <col min="15821" max="15821" width="4.140625" style="5" customWidth="1"/>
    <col min="15822" max="15822" width="15" style="5" customWidth="1"/>
    <col min="15823" max="15824" width="9.140625" style="5" customWidth="1"/>
    <col min="15825" max="15825" width="11.5703125" style="5" customWidth="1"/>
    <col min="15826" max="15826" width="18.140625" style="5" customWidth="1"/>
    <col min="15827" max="15827" width="13.140625" style="5" customWidth="1"/>
    <col min="15828" max="15828" width="12.28515625" style="5" customWidth="1"/>
    <col min="15829" max="16066" width="9.140625" style="5"/>
    <col min="16067" max="16067" width="1.42578125" style="5" customWidth="1"/>
    <col min="16068" max="16068" width="59.5703125" style="5" customWidth="1"/>
    <col min="16069" max="16069" width="9.140625" style="5" customWidth="1"/>
    <col min="16070" max="16071" width="3.85546875" style="5" customWidth="1"/>
    <col min="16072" max="16072" width="10.5703125" style="5" customWidth="1"/>
    <col min="16073" max="16073" width="3.85546875" style="5" customWidth="1"/>
    <col min="16074" max="16076" width="14.42578125" style="5" customWidth="1"/>
    <col min="16077" max="16077" width="4.140625" style="5" customWidth="1"/>
    <col min="16078" max="16078" width="15" style="5" customWidth="1"/>
    <col min="16079" max="16080" width="9.140625" style="5" customWidth="1"/>
    <col min="16081" max="16081" width="11.5703125" style="5" customWidth="1"/>
    <col min="16082" max="16082" width="18.140625" style="5" customWidth="1"/>
    <col min="16083" max="16083" width="13.140625" style="5" customWidth="1"/>
    <col min="16084" max="16084" width="12.28515625" style="5" customWidth="1"/>
    <col min="16085" max="16384" width="9.140625" style="5"/>
  </cols>
  <sheetData>
    <row r="1" spans="1:29" x14ac:dyDescent="0.25">
      <c r="F1" s="290" t="s">
        <v>396</v>
      </c>
    </row>
    <row r="2" spans="1:29" ht="49.5" customHeight="1" x14ac:dyDescent="0.25">
      <c r="F2" s="327" t="s">
        <v>592</v>
      </c>
      <c r="G2" s="327"/>
      <c r="H2" s="327"/>
      <c r="I2" s="327"/>
      <c r="J2" s="327"/>
      <c r="K2" s="327"/>
      <c r="L2" s="327"/>
      <c r="M2" s="327"/>
      <c r="N2" s="327"/>
      <c r="O2" s="327"/>
      <c r="P2" s="327"/>
      <c r="Q2" s="327"/>
      <c r="R2" s="327"/>
      <c r="S2" s="327"/>
      <c r="T2" s="327"/>
      <c r="U2" s="327"/>
      <c r="V2" s="327"/>
      <c r="W2" s="327"/>
      <c r="X2" s="327"/>
      <c r="Y2" s="327"/>
      <c r="Z2" s="327"/>
    </row>
    <row r="3" spans="1:29" s="235" customFormat="1" ht="15" customHeight="1" x14ac:dyDescent="0.25">
      <c r="A3" s="234"/>
      <c r="B3" s="234"/>
      <c r="E3" s="236"/>
      <c r="F3" s="342" t="s">
        <v>769</v>
      </c>
      <c r="G3" s="342"/>
      <c r="H3" s="342"/>
      <c r="I3" s="342"/>
      <c r="J3" s="286"/>
      <c r="K3" s="287"/>
      <c r="L3" s="287"/>
      <c r="M3" s="287"/>
      <c r="N3" s="287"/>
      <c r="O3" s="287"/>
      <c r="P3" s="287"/>
      <c r="Q3" s="287"/>
      <c r="R3" s="287"/>
      <c r="S3" s="287"/>
      <c r="T3" s="287"/>
      <c r="U3" s="287"/>
      <c r="V3" s="286"/>
      <c r="W3" s="286"/>
      <c r="X3" s="286"/>
      <c r="Y3" s="286"/>
      <c r="Z3" s="286"/>
    </row>
    <row r="4" spans="1:29" s="235" customFormat="1" ht="40.5" customHeight="1" x14ac:dyDescent="0.25">
      <c r="A4" s="234"/>
      <c r="B4" s="234"/>
      <c r="E4" s="236"/>
      <c r="F4" s="327" t="s">
        <v>432</v>
      </c>
      <c r="G4" s="327"/>
      <c r="H4" s="327"/>
      <c r="I4" s="327"/>
      <c r="J4" s="327"/>
      <c r="K4" s="327"/>
      <c r="L4" s="327"/>
      <c r="M4" s="327"/>
      <c r="N4" s="327"/>
      <c r="O4" s="327"/>
      <c r="P4" s="327"/>
      <c r="Q4" s="327"/>
      <c r="R4" s="327"/>
      <c r="S4" s="327"/>
      <c r="T4" s="327"/>
      <c r="U4" s="327"/>
      <c r="V4" s="327"/>
      <c r="W4" s="327"/>
      <c r="X4" s="327"/>
      <c r="Y4" s="327"/>
      <c r="Z4" s="327"/>
    </row>
    <row r="5" spans="1:29" s="97" customFormat="1" ht="58.5" customHeight="1" x14ac:dyDescent="0.25">
      <c r="A5" s="326" t="s">
        <v>546</v>
      </c>
      <c r="B5" s="326"/>
      <c r="C5" s="326"/>
      <c r="D5" s="326"/>
      <c r="E5" s="326"/>
      <c r="F5" s="326"/>
      <c r="G5" s="326"/>
      <c r="H5" s="326"/>
      <c r="I5" s="326"/>
      <c r="J5" s="326"/>
      <c r="K5" s="326"/>
      <c r="L5" s="326"/>
      <c r="M5" s="326"/>
      <c r="N5" s="326"/>
      <c r="O5" s="326"/>
      <c r="P5" s="326"/>
      <c r="Q5" s="326"/>
      <c r="R5" s="326"/>
      <c r="S5" s="326"/>
      <c r="T5" s="326"/>
      <c r="U5" s="326"/>
      <c r="V5" s="326"/>
      <c r="W5" s="326"/>
      <c r="X5" s="326"/>
      <c r="Y5" s="326"/>
      <c r="Z5" s="326"/>
    </row>
    <row r="6" spans="1:29" s="72" customFormat="1" x14ac:dyDescent="0.25">
      <c r="A6" s="147"/>
      <c r="B6" s="147"/>
      <c r="C6" s="147"/>
      <c r="D6" s="147"/>
      <c r="E6" s="148"/>
      <c r="F6" s="148"/>
      <c r="G6" s="148"/>
      <c r="H6" s="147"/>
      <c r="I6" s="147"/>
      <c r="J6" s="71"/>
      <c r="K6" s="71"/>
      <c r="L6" s="71"/>
      <c r="M6" s="71"/>
      <c r="N6" s="71"/>
      <c r="O6" s="71"/>
      <c r="P6" s="71"/>
      <c r="Q6" s="71"/>
      <c r="R6" s="71"/>
      <c r="S6" s="71"/>
      <c r="T6" s="71"/>
      <c r="U6" s="71"/>
    </row>
    <row r="7" spans="1:29" s="98" customFormat="1" ht="38.25" customHeight="1" x14ac:dyDescent="0.25">
      <c r="A7" s="336" t="s">
        <v>10</v>
      </c>
      <c r="B7" s="336"/>
      <c r="C7" s="293"/>
      <c r="D7" s="293"/>
      <c r="E7" s="293"/>
      <c r="F7" s="93" t="s">
        <v>11</v>
      </c>
      <c r="G7" s="93" t="s">
        <v>12</v>
      </c>
      <c r="H7" s="93" t="s">
        <v>13</v>
      </c>
      <c r="I7" s="93" t="s">
        <v>14</v>
      </c>
      <c r="J7" s="293" t="s">
        <v>394</v>
      </c>
      <c r="K7" s="293" t="s">
        <v>611</v>
      </c>
      <c r="L7" s="293" t="s">
        <v>561</v>
      </c>
      <c r="M7" s="293" t="s">
        <v>612</v>
      </c>
      <c r="N7" s="293" t="s">
        <v>613</v>
      </c>
      <c r="O7" s="293" t="s">
        <v>655</v>
      </c>
      <c r="P7" s="293" t="s">
        <v>700</v>
      </c>
      <c r="Q7" s="293" t="s">
        <v>741</v>
      </c>
      <c r="R7" s="293" t="s">
        <v>483</v>
      </c>
      <c r="S7" s="293" t="s">
        <v>507</v>
      </c>
      <c r="T7" s="293" t="s">
        <v>694</v>
      </c>
      <c r="U7" s="293" t="s">
        <v>695</v>
      </c>
      <c r="V7" s="293" t="s">
        <v>773</v>
      </c>
      <c r="W7" s="293" t="s">
        <v>483</v>
      </c>
      <c r="X7" s="293" t="s">
        <v>507</v>
      </c>
      <c r="Y7" s="293" t="s">
        <v>694</v>
      </c>
      <c r="Z7" s="293" t="s">
        <v>703</v>
      </c>
      <c r="AA7" s="293" t="s">
        <v>483</v>
      </c>
      <c r="AB7" s="293" t="s">
        <v>507</v>
      </c>
      <c r="AC7" s="293" t="s">
        <v>694</v>
      </c>
    </row>
    <row r="8" spans="1:29" ht="15" customHeight="1" x14ac:dyDescent="0.25">
      <c r="A8" s="337" t="s">
        <v>15</v>
      </c>
      <c r="B8" s="338"/>
      <c r="C8" s="302"/>
      <c r="D8" s="302"/>
      <c r="E8" s="302">
        <v>851</v>
      </c>
      <c r="F8" s="1"/>
      <c r="G8" s="1"/>
      <c r="H8" s="1"/>
      <c r="I8" s="1"/>
      <c r="J8" s="99">
        <f t="shared" ref="J8:AC8" si="0">J9+J71+J78+J85+J124+J148+J158+J189+J214</f>
        <v>64255337</v>
      </c>
      <c r="K8" s="99">
        <f t="shared" si="0"/>
        <v>8179526</v>
      </c>
      <c r="L8" s="99">
        <f t="shared" si="0"/>
        <v>72434863</v>
      </c>
      <c r="M8" s="99">
        <f t="shared" si="0"/>
        <v>-201418</v>
      </c>
      <c r="N8" s="99">
        <f t="shared" si="0"/>
        <v>72233445</v>
      </c>
      <c r="O8" s="99">
        <f t="shared" si="0"/>
        <v>-2761900</v>
      </c>
      <c r="P8" s="99">
        <f t="shared" si="0"/>
        <v>69471545</v>
      </c>
      <c r="Q8" s="99">
        <f t="shared" si="0"/>
        <v>12182878.25</v>
      </c>
      <c r="R8" s="99">
        <f t="shared" si="0"/>
        <v>3367141.25</v>
      </c>
      <c r="S8" s="99">
        <f t="shared" si="0"/>
        <v>-2684263</v>
      </c>
      <c r="T8" s="99">
        <f t="shared" si="0"/>
        <v>0</v>
      </c>
      <c r="U8" s="99">
        <f t="shared" si="0"/>
        <v>81654423.25</v>
      </c>
      <c r="V8" s="99">
        <f t="shared" si="0"/>
        <v>4475177.0399999991</v>
      </c>
      <c r="W8" s="99">
        <f t="shared" si="0"/>
        <v>10455585.5</v>
      </c>
      <c r="X8" s="99">
        <f t="shared" si="0"/>
        <v>-5777750.459999999</v>
      </c>
      <c r="Y8" s="99">
        <f t="shared" si="0"/>
        <v>-202658</v>
      </c>
      <c r="Z8" s="99">
        <f t="shared" si="0"/>
        <v>86129600.289999992</v>
      </c>
      <c r="AA8" s="99">
        <f t="shared" si="0"/>
        <v>27926130.75</v>
      </c>
      <c r="AB8" s="99">
        <f t="shared" si="0"/>
        <v>44010074.539999999</v>
      </c>
      <c r="AC8" s="99">
        <f t="shared" si="0"/>
        <v>12293395</v>
      </c>
    </row>
    <row r="9" spans="1:29" s="9" customFormat="1" x14ac:dyDescent="0.25">
      <c r="A9" s="325" t="s">
        <v>16</v>
      </c>
      <c r="B9" s="325"/>
      <c r="C9" s="292"/>
      <c r="D9" s="292"/>
      <c r="E9" s="173">
        <v>851</v>
      </c>
      <c r="F9" s="6" t="s">
        <v>17</v>
      </c>
      <c r="G9" s="6"/>
      <c r="H9" s="6"/>
      <c r="I9" s="6"/>
      <c r="J9" s="7">
        <f>J10+J26+J34+J38</f>
        <v>23774080</v>
      </c>
      <c r="K9" s="7">
        <f>K10+K26+K34+K38</f>
        <v>803088</v>
      </c>
      <c r="L9" s="7">
        <f>L10+L26+L34+L38</f>
        <v>24577168</v>
      </c>
      <c r="M9" s="7">
        <f>M10+M26+M34+M38</f>
        <v>-23856</v>
      </c>
      <c r="N9" s="7">
        <f>N10+N26+N30+N34+N38</f>
        <v>24553312</v>
      </c>
      <c r="O9" s="7">
        <f t="shared" ref="O9:AC9" si="1">O10+O26+O30+O34+O38</f>
        <v>1166600</v>
      </c>
      <c r="P9" s="7">
        <f t="shared" si="1"/>
        <v>25719912</v>
      </c>
      <c r="Q9" s="7">
        <f t="shared" si="1"/>
        <v>-34484</v>
      </c>
      <c r="R9" s="7">
        <f t="shared" si="1"/>
        <v>0</v>
      </c>
      <c r="S9" s="7">
        <f t="shared" si="1"/>
        <v>-34484</v>
      </c>
      <c r="T9" s="7">
        <f t="shared" si="1"/>
        <v>0</v>
      </c>
      <c r="U9" s="7">
        <f t="shared" si="1"/>
        <v>25685428</v>
      </c>
      <c r="V9" s="7">
        <f t="shared" si="1"/>
        <v>63664.109999999753</v>
      </c>
      <c r="W9" s="7">
        <f t="shared" si="1"/>
        <v>2291920</v>
      </c>
      <c r="X9" s="7">
        <f t="shared" si="1"/>
        <v>-2228255.8899999997</v>
      </c>
      <c r="Y9" s="7">
        <f t="shared" si="1"/>
        <v>0</v>
      </c>
      <c r="Z9" s="7">
        <f t="shared" si="1"/>
        <v>25749092.109999999</v>
      </c>
      <c r="AA9" s="7">
        <f t="shared" si="1"/>
        <v>3808764</v>
      </c>
      <c r="AB9" s="7">
        <f t="shared" si="1"/>
        <v>21937828.109999999</v>
      </c>
      <c r="AC9" s="7">
        <f t="shared" si="1"/>
        <v>2500</v>
      </c>
    </row>
    <row r="10" spans="1:29" s="12" customFormat="1" ht="36" customHeight="1" x14ac:dyDescent="0.25">
      <c r="A10" s="328" t="s">
        <v>18</v>
      </c>
      <c r="B10" s="328"/>
      <c r="C10" s="295"/>
      <c r="D10" s="295"/>
      <c r="E10" s="173">
        <v>851</v>
      </c>
      <c r="F10" s="10" t="s">
        <v>17</v>
      </c>
      <c r="G10" s="10" t="s">
        <v>6</v>
      </c>
      <c r="H10" s="10"/>
      <c r="I10" s="10"/>
      <c r="J10" s="11">
        <f t="shared" ref="J10:AC10" si="2">J11+J14+J23</f>
        <v>17336380</v>
      </c>
      <c r="K10" s="11">
        <f t="shared" si="2"/>
        <v>0</v>
      </c>
      <c r="L10" s="11">
        <f t="shared" si="2"/>
        <v>17336380</v>
      </c>
      <c r="M10" s="11">
        <f t="shared" si="2"/>
        <v>0</v>
      </c>
      <c r="N10" s="11">
        <f t="shared" si="2"/>
        <v>17336380</v>
      </c>
      <c r="O10" s="11">
        <f t="shared" si="2"/>
        <v>0</v>
      </c>
      <c r="P10" s="11">
        <f t="shared" si="2"/>
        <v>17336380</v>
      </c>
      <c r="Q10" s="11">
        <f t="shared" si="2"/>
        <v>0</v>
      </c>
      <c r="R10" s="11">
        <f>SUM(R11:R25)</f>
        <v>0</v>
      </c>
      <c r="S10" s="11">
        <f t="shared" ref="S10:T10" si="3">SUM(S11:S25)</f>
        <v>0</v>
      </c>
      <c r="T10" s="11">
        <f t="shared" si="3"/>
        <v>0</v>
      </c>
      <c r="U10" s="11">
        <f t="shared" si="2"/>
        <v>17336380</v>
      </c>
      <c r="V10" s="11">
        <f t="shared" si="2"/>
        <v>-762768.53</v>
      </c>
      <c r="W10" s="11">
        <f t="shared" si="2"/>
        <v>0</v>
      </c>
      <c r="X10" s="11">
        <f t="shared" si="2"/>
        <v>-762768.53</v>
      </c>
      <c r="Y10" s="11">
        <f t="shared" si="2"/>
        <v>0</v>
      </c>
      <c r="Z10" s="11">
        <f t="shared" si="2"/>
        <v>16573611.469999999</v>
      </c>
      <c r="AA10" s="11">
        <f t="shared" si="2"/>
        <v>0</v>
      </c>
      <c r="AB10" s="11">
        <f t="shared" si="2"/>
        <v>16571111.469999999</v>
      </c>
      <c r="AC10" s="11">
        <f t="shared" si="2"/>
        <v>2500</v>
      </c>
    </row>
    <row r="11" spans="1:29" ht="27" hidden="1" customHeight="1" x14ac:dyDescent="0.25">
      <c r="A11" s="324" t="s">
        <v>19</v>
      </c>
      <c r="B11" s="324"/>
      <c r="C11" s="291"/>
      <c r="D11" s="291"/>
      <c r="E11" s="173">
        <v>851</v>
      </c>
      <c r="F11" s="1" t="s">
        <v>17</v>
      </c>
      <c r="G11" s="1" t="s">
        <v>6</v>
      </c>
      <c r="H11" s="1" t="s">
        <v>20</v>
      </c>
      <c r="I11" s="1"/>
      <c r="J11" s="2">
        <f t="shared" ref="J11:V12" si="4">J12</f>
        <v>946200</v>
      </c>
      <c r="K11" s="2">
        <f t="shared" si="4"/>
        <v>0</v>
      </c>
      <c r="L11" s="2">
        <f t="shared" si="4"/>
        <v>946200</v>
      </c>
      <c r="M11" s="2">
        <f t="shared" si="4"/>
        <v>0</v>
      </c>
      <c r="N11" s="2">
        <f t="shared" si="4"/>
        <v>946200</v>
      </c>
      <c r="O11" s="2">
        <f t="shared" si="4"/>
        <v>0</v>
      </c>
      <c r="P11" s="2">
        <f t="shared" si="4"/>
        <v>946200</v>
      </c>
      <c r="Q11" s="2">
        <f t="shared" si="4"/>
        <v>0</v>
      </c>
      <c r="R11" s="2"/>
      <c r="S11" s="2"/>
      <c r="T11" s="2"/>
      <c r="U11" s="2">
        <f t="shared" si="4"/>
        <v>946200</v>
      </c>
      <c r="V11" s="2">
        <f t="shared" si="4"/>
        <v>0</v>
      </c>
      <c r="W11" s="2"/>
      <c r="X11" s="2"/>
      <c r="Y11" s="2"/>
      <c r="Z11" s="2">
        <f t="shared" ref="V11:AC12" si="5">Z12</f>
        <v>946200</v>
      </c>
      <c r="AA11" s="2">
        <f t="shared" si="5"/>
        <v>0</v>
      </c>
      <c r="AB11" s="2">
        <f t="shared" si="5"/>
        <v>946200</v>
      </c>
      <c r="AC11" s="2">
        <f t="shared" si="5"/>
        <v>0</v>
      </c>
    </row>
    <row r="12" spans="1:29" ht="36" hidden="1" customHeight="1" x14ac:dyDescent="0.25">
      <c r="A12" s="291"/>
      <c r="B12" s="301" t="s">
        <v>21</v>
      </c>
      <c r="C12" s="291"/>
      <c r="D12" s="291"/>
      <c r="E12" s="173">
        <v>851</v>
      </c>
      <c r="F12" s="1" t="s">
        <v>22</v>
      </c>
      <c r="G12" s="1" t="s">
        <v>6</v>
      </c>
      <c r="H12" s="1" t="s">
        <v>20</v>
      </c>
      <c r="I12" s="1" t="s">
        <v>23</v>
      </c>
      <c r="J12" s="2">
        <f t="shared" si="4"/>
        <v>946200</v>
      </c>
      <c r="K12" s="2">
        <f t="shared" si="4"/>
        <v>0</v>
      </c>
      <c r="L12" s="2">
        <f t="shared" si="4"/>
        <v>946200</v>
      </c>
      <c r="M12" s="2">
        <f t="shared" si="4"/>
        <v>0</v>
      </c>
      <c r="N12" s="2">
        <f t="shared" si="4"/>
        <v>946200</v>
      </c>
      <c r="O12" s="2">
        <f t="shared" si="4"/>
        <v>0</v>
      </c>
      <c r="P12" s="2">
        <f t="shared" si="4"/>
        <v>946200</v>
      </c>
      <c r="Q12" s="2">
        <f t="shared" si="4"/>
        <v>0</v>
      </c>
      <c r="R12" s="2"/>
      <c r="S12" s="2"/>
      <c r="T12" s="2"/>
      <c r="U12" s="2">
        <f t="shared" si="4"/>
        <v>946200</v>
      </c>
      <c r="V12" s="2">
        <f t="shared" si="5"/>
        <v>0</v>
      </c>
      <c r="W12" s="2"/>
      <c r="X12" s="2"/>
      <c r="Y12" s="2"/>
      <c r="Z12" s="2">
        <f t="shared" si="5"/>
        <v>946200</v>
      </c>
      <c r="AA12" s="2">
        <f t="shared" si="5"/>
        <v>0</v>
      </c>
      <c r="AB12" s="2">
        <f t="shared" si="5"/>
        <v>946200</v>
      </c>
      <c r="AC12" s="2">
        <f t="shared" si="5"/>
        <v>0</v>
      </c>
    </row>
    <row r="13" spans="1:29" ht="15" hidden="1" customHeight="1" x14ac:dyDescent="0.25">
      <c r="A13" s="14"/>
      <c r="B13" s="301" t="s">
        <v>24</v>
      </c>
      <c r="C13" s="301"/>
      <c r="D13" s="301"/>
      <c r="E13" s="173">
        <v>851</v>
      </c>
      <c r="F13" s="1" t="s">
        <v>17</v>
      </c>
      <c r="G13" s="1" t="s">
        <v>6</v>
      </c>
      <c r="H13" s="1" t="s">
        <v>20</v>
      </c>
      <c r="I13" s="1" t="s">
        <v>25</v>
      </c>
      <c r="J13" s="2">
        <v>946200</v>
      </c>
      <c r="K13" s="2"/>
      <c r="L13" s="2">
        <f t="shared" ref="L13:L92" si="6">J13+K13</f>
        <v>946200</v>
      </c>
      <c r="M13" s="2"/>
      <c r="N13" s="2">
        <f t="shared" ref="N13:N29" si="7">L13+M13</f>
        <v>946200</v>
      </c>
      <c r="O13" s="2"/>
      <c r="P13" s="2">
        <f>N13+O13</f>
        <v>946200</v>
      </c>
      <c r="Q13" s="2"/>
      <c r="R13" s="2"/>
      <c r="S13" s="2"/>
      <c r="T13" s="2"/>
      <c r="U13" s="2">
        <f>P13+Q13</f>
        <v>946200</v>
      </c>
      <c r="V13" s="2"/>
      <c r="W13" s="2"/>
      <c r="X13" s="2"/>
      <c r="Y13" s="2"/>
      <c r="Z13" s="2">
        <f t="shared" ref="Z13" si="8">U13+V13</f>
        <v>946200</v>
      </c>
      <c r="AA13" s="14"/>
      <c r="AB13" s="2">
        <f>Z13</f>
        <v>946200</v>
      </c>
      <c r="AC13" s="14"/>
    </row>
    <row r="14" spans="1:29" ht="26.25" customHeight="1" x14ac:dyDescent="0.25">
      <c r="A14" s="324" t="s">
        <v>26</v>
      </c>
      <c r="B14" s="324"/>
      <c r="C14" s="173"/>
      <c r="D14" s="173"/>
      <c r="E14" s="173">
        <v>851</v>
      </c>
      <c r="F14" s="1" t="s">
        <v>22</v>
      </c>
      <c r="G14" s="1" t="s">
        <v>6</v>
      </c>
      <c r="H14" s="1" t="s">
        <v>404</v>
      </c>
      <c r="I14" s="1"/>
      <c r="J14" s="2">
        <f>J15+J17+J19</f>
        <v>16387680</v>
      </c>
      <c r="K14" s="2">
        <f t="shared" ref="K14:AC14" si="9">K15+K17+K19</f>
        <v>0</v>
      </c>
      <c r="L14" s="2">
        <f t="shared" si="9"/>
        <v>16387680</v>
      </c>
      <c r="M14" s="2">
        <f t="shared" si="9"/>
        <v>0</v>
      </c>
      <c r="N14" s="2">
        <f t="shared" si="9"/>
        <v>16387680</v>
      </c>
      <c r="O14" s="2">
        <f t="shared" si="9"/>
        <v>0</v>
      </c>
      <c r="P14" s="2">
        <f t="shared" si="9"/>
        <v>16387680</v>
      </c>
      <c r="Q14" s="2">
        <f t="shared" si="9"/>
        <v>0</v>
      </c>
      <c r="R14" s="2"/>
      <c r="S14" s="2"/>
      <c r="T14" s="2"/>
      <c r="U14" s="2">
        <f t="shared" si="9"/>
        <v>16387680</v>
      </c>
      <c r="V14" s="2">
        <f t="shared" si="9"/>
        <v>-762768.53</v>
      </c>
      <c r="W14" s="2">
        <f t="shared" si="9"/>
        <v>0</v>
      </c>
      <c r="X14" s="2">
        <f t="shared" si="9"/>
        <v>-762768.53</v>
      </c>
      <c r="Y14" s="2">
        <f t="shared" si="9"/>
        <v>0</v>
      </c>
      <c r="Z14" s="2">
        <f t="shared" si="9"/>
        <v>15624911.469999999</v>
      </c>
      <c r="AA14" s="2">
        <f t="shared" si="9"/>
        <v>0</v>
      </c>
      <c r="AB14" s="2">
        <f t="shared" si="9"/>
        <v>15624911.469999999</v>
      </c>
      <c r="AC14" s="2">
        <f t="shared" si="9"/>
        <v>0</v>
      </c>
    </row>
    <row r="15" spans="1:29" ht="36" customHeight="1" x14ac:dyDescent="0.25">
      <c r="A15" s="14"/>
      <c r="B15" s="301" t="s">
        <v>21</v>
      </c>
      <c r="C15" s="173"/>
      <c r="D15" s="173"/>
      <c r="E15" s="173">
        <v>851</v>
      </c>
      <c r="F15" s="1" t="s">
        <v>17</v>
      </c>
      <c r="G15" s="1" t="s">
        <v>6</v>
      </c>
      <c r="H15" s="1" t="s">
        <v>404</v>
      </c>
      <c r="I15" s="1" t="s">
        <v>23</v>
      </c>
      <c r="J15" s="2">
        <f t="shared" ref="J15:Q15" si="10">J16</f>
        <v>11544100</v>
      </c>
      <c r="K15" s="2">
        <f t="shared" si="10"/>
        <v>0</v>
      </c>
      <c r="L15" s="2">
        <f t="shared" si="10"/>
        <v>11544100</v>
      </c>
      <c r="M15" s="2">
        <f t="shared" si="10"/>
        <v>0</v>
      </c>
      <c r="N15" s="2">
        <f t="shared" si="10"/>
        <v>11544100</v>
      </c>
      <c r="O15" s="2">
        <f t="shared" si="10"/>
        <v>0</v>
      </c>
      <c r="P15" s="2">
        <f t="shared" si="10"/>
        <v>11544100</v>
      </c>
      <c r="Q15" s="2">
        <f t="shared" si="10"/>
        <v>76094</v>
      </c>
      <c r="R15" s="2"/>
      <c r="S15" s="2"/>
      <c r="T15" s="2"/>
      <c r="U15" s="2">
        <f t="shared" ref="U15:AC15" si="11">U16</f>
        <v>11620194</v>
      </c>
      <c r="V15" s="2">
        <f t="shared" si="11"/>
        <v>-288155.15000000002</v>
      </c>
      <c r="W15" s="2">
        <f t="shared" si="11"/>
        <v>0</v>
      </c>
      <c r="X15" s="2">
        <f t="shared" si="11"/>
        <v>-288155.15000000002</v>
      </c>
      <c r="Y15" s="2">
        <f t="shared" si="11"/>
        <v>0</v>
      </c>
      <c r="Z15" s="2">
        <f t="shared" si="11"/>
        <v>11332038.85</v>
      </c>
      <c r="AA15" s="2">
        <f t="shared" si="11"/>
        <v>0</v>
      </c>
      <c r="AB15" s="2">
        <f t="shared" si="11"/>
        <v>11332038.85</v>
      </c>
      <c r="AC15" s="2">
        <f t="shared" si="11"/>
        <v>0</v>
      </c>
    </row>
    <row r="16" spans="1:29" ht="14.25" customHeight="1" x14ac:dyDescent="0.25">
      <c r="A16" s="14"/>
      <c r="B16" s="301" t="s">
        <v>24</v>
      </c>
      <c r="C16" s="173"/>
      <c r="D16" s="173"/>
      <c r="E16" s="173">
        <v>851</v>
      </c>
      <c r="F16" s="1" t="s">
        <v>17</v>
      </c>
      <c r="G16" s="1" t="s">
        <v>6</v>
      </c>
      <c r="H16" s="1" t="s">
        <v>404</v>
      </c>
      <c r="I16" s="1" t="s">
        <v>25</v>
      </c>
      <c r="J16" s="2">
        <f>11904900-187900-172900</f>
        <v>11544100</v>
      </c>
      <c r="K16" s="2"/>
      <c r="L16" s="2">
        <f t="shared" si="6"/>
        <v>11544100</v>
      </c>
      <c r="M16" s="2"/>
      <c r="N16" s="2">
        <f t="shared" si="7"/>
        <v>11544100</v>
      </c>
      <c r="O16" s="2"/>
      <c r="P16" s="2">
        <f>N16+O16</f>
        <v>11544100</v>
      </c>
      <c r="Q16" s="2">
        <f>39614+36480</f>
        <v>76094</v>
      </c>
      <c r="R16" s="2"/>
      <c r="S16" s="2">
        <f>Q16</f>
        <v>76094</v>
      </c>
      <c r="T16" s="2"/>
      <c r="U16" s="2">
        <f>P16+Q16</f>
        <v>11620194</v>
      </c>
      <c r="V16" s="2">
        <v>-288155.15000000002</v>
      </c>
      <c r="W16" s="2"/>
      <c r="X16" s="2">
        <f>V16</f>
        <v>-288155.15000000002</v>
      </c>
      <c r="Y16" s="2"/>
      <c r="Z16" s="2">
        <f t="shared" ref="Z16" si="12">U16+V16</f>
        <v>11332038.85</v>
      </c>
      <c r="AA16" s="14"/>
      <c r="AB16" s="2">
        <f>Z16</f>
        <v>11332038.85</v>
      </c>
      <c r="AC16" s="14"/>
    </row>
    <row r="17" spans="1:29" ht="14.25" customHeight="1" x14ac:dyDescent="0.25">
      <c r="A17" s="14"/>
      <c r="B17" s="291" t="s">
        <v>27</v>
      </c>
      <c r="C17" s="173"/>
      <c r="D17" s="173"/>
      <c r="E17" s="173">
        <v>851</v>
      </c>
      <c r="F17" s="1" t="s">
        <v>17</v>
      </c>
      <c r="G17" s="1" t="s">
        <v>6</v>
      </c>
      <c r="H17" s="1" t="s">
        <v>404</v>
      </c>
      <c r="I17" s="1" t="s">
        <v>28</v>
      </c>
      <c r="J17" s="2">
        <f t="shared" ref="J17:Q17" si="13">J18</f>
        <v>3777580</v>
      </c>
      <c r="K17" s="2">
        <f t="shared" si="13"/>
        <v>0</v>
      </c>
      <c r="L17" s="2">
        <f t="shared" si="13"/>
        <v>3777580</v>
      </c>
      <c r="M17" s="2">
        <f t="shared" si="13"/>
        <v>0</v>
      </c>
      <c r="N17" s="2">
        <f t="shared" si="13"/>
        <v>3777580</v>
      </c>
      <c r="O17" s="2">
        <f t="shared" si="13"/>
        <v>0</v>
      </c>
      <c r="P17" s="2">
        <f t="shared" si="13"/>
        <v>3777580</v>
      </c>
      <c r="Q17" s="2">
        <f t="shared" si="13"/>
        <v>-39614</v>
      </c>
      <c r="R17" s="2"/>
      <c r="S17" s="2"/>
      <c r="T17" s="2"/>
      <c r="U17" s="2">
        <f t="shared" ref="U17:AC17" si="14">U18</f>
        <v>3737966</v>
      </c>
      <c r="V17" s="2">
        <f t="shared" si="14"/>
        <v>-114916.38</v>
      </c>
      <c r="W17" s="2">
        <f t="shared" si="14"/>
        <v>0</v>
      </c>
      <c r="X17" s="2">
        <f t="shared" si="14"/>
        <v>-114916.38</v>
      </c>
      <c r="Y17" s="2">
        <f t="shared" si="14"/>
        <v>0</v>
      </c>
      <c r="Z17" s="2">
        <f t="shared" si="14"/>
        <v>3623049.62</v>
      </c>
      <c r="AA17" s="2">
        <f t="shared" si="14"/>
        <v>0</v>
      </c>
      <c r="AB17" s="2">
        <f t="shared" si="14"/>
        <v>3623049.62</v>
      </c>
      <c r="AC17" s="2">
        <f t="shared" si="14"/>
        <v>0</v>
      </c>
    </row>
    <row r="18" spans="1:29" ht="12" customHeight="1" x14ac:dyDescent="0.25">
      <c r="A18" s="14"/>
      <c r="B18" s="291" t="s">
        <v>29</v>
      </c>
      <c r="C18" s="173"/>
      <c r="D18" s="173"/>
      <c r="E18" s="173">
        <v>851</v>
      </c>
      <c r="F18" s="1" t="s">
        <v>17</v>
      </c>
      <c r="G18" s="1" t="s">
        <v>6</v>
      </c>
      <c r="H18" s="1" t="s">
        <v>404</v>
      </c>
      <c r="I18" s="1" t="s">
        <v>30</v>
      </c>
      <c r="J18" s="2">
        <f>3816480-151600+112700</f>
        <v>3777580</v>
      </c>
      <c r="K18" s="2"/>
      <c r="L18" s="2">
        <f t="shared" si="6"/>
        <v>3777580</v>
      </c>
      <c r="M18" s="2"/>
      <c r="N18" s="2">
        <f t="shared" si="7"/>
        <v>3777580</v>
      </c>
      <c r="O18" s="2"/>
      <c r="P18" s="2">
        <f>N18+O18</f>
        <v>3777580</v>
      </c>
      <c r="Q18" s="2">
        <v>-39614</v>
      </c>
      <c r="R18" s="2"/>
      <c r="S18" s="2">
        <f>Q18</f>
        <v>-39614</v>
      </c>
      <c r="T18" s="2"/>
      <c r="U18" s="2">
        <f>P18+Q18</f>
        <v>3737966</v>
      </c>
      <c r="V18" s="2">
        <v>-114916.38</v>
      </c>
      <c r="W18" s="2"/>
      <c r="X18" s="2">
        <f>V18</f>
        <v>-114916.38</v>
      </c>
      <c r="Y18" s="2"/>
      <c r="Z18" s="2">
        <f t="shared" ref="Z18" si="15">U18+V18</f>
        <v>3623049.62</v>
      </c>
      <c r="AA18" s="14"/>
      <c r="AB18" s="2">
        <f>Z18</f>
        <v>3623049.62</v>
      </c>
      <c r="AC18" s="14"/>
    </row>
    <row r="19" spans="1:29" x14ac:dyDescent="0.25">
      <c r="A19" s="14"/>
      <c r="B19" s="291" t="s">
        <v>31</v>
      </c>
      <c r="C19" s="173"/>
      <c r="D19" s="173"/>
      <c r="E19" s="173">
        <v>851</v>
      </c>
      <c r="F19" s="1" t="s">
        <v>17</v>
      </c>
      <c r="G19" s="1" t="s">
        <v>6</v>
      </c>
      <c r="H19" s="1" t="s">
        <v>404</v>
      </c>
      <c r="I19" s="1" t="s">
        <v>32</v>
      </c>
      <c r="J19" s="2">
        <f t="shared" ref="J19:Q19" si="16">J20+J21+J22</f>
        <v>1066000</v>
      </c>
      <c r="K19" s="2">
        <f t="shared" si="16"/>
        <v>0</v>
      </c>
      <c r="L19" s="2">
        <f t="shared" si="16"/>
        <v>1066000</v>
      </c>
      <c r="M19" s="2">
        <f t="shared" si="16"/>
        <v>0</v>
      </c>
      <c r="N19" s="2">
        <f t="shared" si="16"/>
        <v>1066000</v>
      </c>
      <c r="O19" s="2">
        <f t="shared" si="16"/>
        <v>0</v>
      </c>
      <c r="P19" s="2">
        <f t="shared" si="16"/>
        <v>1066000</v>
      </c>
      <c r="Q19" s="2">
        <f t="shared" si="16"/>
        <v>-36480</v>
      </c>
      <c r="R19" s="2"/>
      <c r="S19" s="2"/>
      <c r="T19" s="2"/>
      <c r="U19" s="2">
        <f t="shared" ref="U19:AC19" si="17">U20+U21+U22</f>
        <v>1029520</v>
      </c>
      <c r="V19" s="2">
        <f t="shared" si="17"/>
        <v>-359697</v>
      </c>
      <c r="W19" s="2">
        <f t="shared" si="17"/>
        <v>0</v>
      </c>
      <c r="X19" s="2">
        <f t="shared" si="17"/>
        <v>-359697</v>
      </c>
      <c r="Y19" s="2">
        <f t="shared" si="17"/>
        <v>0</v>
      </c>
      <c r="Z19" s="2">
        <f t="shared" si="17"/>
        <v>669823</v>
      </c>
      <c r="AA19" s="2">
        <f t="shared" si="17"/>
        <v>0</v>
      </c>
      <c r="AB19" s="2">
        <f t="shared" si="17"/>
        <v>669823</v>
      </c>
      <c r="AC19" s="2">
        <f t="shared" si="17"/>
        <v>0</v>
      </c>
    </row>
    <row r="20" spans="1:29" ht="14.25" customHeight="1" x14ac:dyDescent="0.25">
      <c r="A20" s="14"/>
      <c r="B20" s="291" t="s">
        <v>33</v>
      </c>
      <c r="C20" s="173"/>
      <c r="D20" s="173"/>
      <c r="E20" s="173">
        <v>851</v>
      </c>
      <c r="F20" s="1" t="s">
        <v>17</v>
      </c>
      <c r="G20" s="1" t="s">
        <v>6</v>
      </c>
      <c r="H20" s="1" t="s">
        <v>404</v>
      </c>
      <c r="I20" s="1" t="s">
        <v>34</v>
      </c>
      <c r="J20" s="2">
        <v>945200</v>
      </c>
      <c r="K20" s="2"/>
      <c r="L20" s="2">
        <f t="shared" si="6"/>
        <v>945200</v>
      </c>
      <c r="M20" s="2"/>
      <c r="N20" s="2">
        <f t="shared" si="7"/>
        <v>945200</v>
      </c>
      <c r="O20" s="2"/>
      <c r="P20" s="2">
        <f>N20+O20</f>
        <v>945200</v>
      </c>
      <c r="Q20" s="2">
        <v>-36480</v>
      </c>
      <c r="R20" s="2"/>
      <c r="S20" s="2">
        <f>Q20</f>
        <v>-36480</v>
      </c>
      <c r="T20" s="2"/>
      <c r="U20" s="2">
        <f>P20+Q20</f>
        <v>908720</v>
      </c>
      <c r="V20" s="2">
        <v>-359697</v>
      </c>
      <c r="W20" s="2"/>
      <c r="X20" s="2">
        <f>V20</f>
        <v>-359697</v>
      </c>
      <c r="Y20" s="2"/>
      <c r="Z20" s="2">
        <f t="shared" ref="Z20:Z22" si="18">U20+V20</f>
        <v>549023</v>
      </c>
      <c r="AA20" s="14"/>
      <c r="AB20" s="2">
        <f>Z20</f>
        <v>549023</v>
      </c>
      <c r="AC20" s="14"/>
    </row>
    <row r="21" spans="1:29" ht="14.25" hidden="1" customHeight="1" x14ac:dyDescent="0.25">
      <c r="A21" s="14"/>
      <c r="B21" s="301" t="s">
        <v>435</v>
      </c>
      <c r="C21" s="173"/>
      <c r="D21" s="173"/>
      <c r="E21" s="173">
        <v>851</v>
      </c>
      <c r="F21" s="1" t="s">
        <v>22</v>
      </c>
      <c r="G21" s="1" t="s">
        <v>6</v>
      </c>
      <c r="H21" s="1" t="s">
        <v>404</v>
      </c>
      <c r="I21" s="1" t="s">
        <v>35</v>
      </c>
      <c r="J21" s="2">
        <f>71120-320</f>
        <v>70800</v>
      </c>
      <c r="K21" s="2"/>
      <c r="L21" s="2">
        <f t="shared" si="6"/>
        <v>70800</v>
      </c>
      <c r="M21" s="2"/>
      <c r="N21" s="2">
        <f t="shared" si="7"/>
        <v>70800</v>
      </c>
      <c r="O21" s="2"/>
      <c r="P21" s="2">
        <f>N21+O21</f>
        <v>70800</v>
      </c>
      <c r="Q21" s="2"/>
      <c r="R21" s="2"/>
      <c r="S21" s="2"/>
      <c r="T21" s="2"/>
      <c r="U21" s="2">
        <f>P21+Q21</f>
        <v>70800</v>
      </c>
      <c r="V21" s="2"/>
      <c r="W21" s="2"/>
      <c r="X21" s="2">
        <f>V21</f>
        <v>0</v>
      </c>
      <c r="Y21" s="2"/>
      <c r="Z21" s="2">
        <f t="shared" si="18"/>
        <v>70800</v>
      </c>
      <c r="AA21" s="14"/>
      <c r="AB21" s="2">
        <f>Z21</f>
        <v>70800</v>
      </c>
      <c r="AC21" s="14"/>
    </row>
    <row r="22" spans="1:29" ht="14.25" hidden="1" customHeight="1" x14ac:dyDescent="0.25">
      <c r="A22" s="14"/>
      <c r="B22" s="291" t="s">
        <v>434</v>
      </c>
      <c r="C22" s="173"/>
      <c r="D22" s="173"/>
      <c r="E22" s="173">
        <v>851</v>
      </c>
      <c r="F22" s="1" t="s">
        <v>22</v>
      </c>
      <c r="G22" s="1" t="s">
        <v>6</v>
      </c>
      <c r="H22" s="1" t="s">
        <v>404</v>
      </c>
      <c r="I22" s="1" t="s">
        <v>433</v>
      </c>
      <c r="J22" s="2">
        <v>50000</v>
      </c>
      <c r="K22" s="2"/>
      <c r="L22" s="2">
        <f t="shared" si="6"/>
        <v>50000</v>
      </c>
      <c r="M22" s="2"/>
      <c r="N22" s="2">
        <f t="shared" si="7"/>
        <v>50000</v>
      </c>
      <c r="O22" s="2"/>
      <c r="P22" s="2">
        <f>N22+O22</f>
        <v>50000</v>
      </c>
      <c r="Q22" s="2"/>
      <c r="R22" s="2"/>
      <c r="S22" s="2"/>
      <c r="T22" s="2"/>
      <c r="U22" s="2">
        <f>P22+Q22</f>
        <v>50000</v>
      </c>
      <c r="V22" s="2"/>
      <c r="W22" s="2"/>
      <c r="X22" s="2">
        <f>V22</f>
        <v>0</v>
      </c>
      <c r="Y22" s="2"/>
      <c r="Z22" s="2">
        <f t="shared" si="18"/>
        <v>50000</v>
      </c>
      <c r="AA22" s="14"/>
      <c r="AB22" s="2">
        <f>Z22</f>
        <v>50000</v>
      </c>
      <c r="AC22" s="14"/>
    </row>
    <row r="23" spans="1:29" ht="38.25" hidden="1" customHeight="1" x14ac:dyDescent="0.25">
      <c r="A23" s="324" t="s">
        <v>445</v>
      </c>
      <c r="B23" s="324"/>
      <c r="C23" s="291"/>
      <c r="D23" s="291"/>
      <c r="E23" s="173">
        <v>851</v>
      </c>
      <c r="F23" s="1" t="s">
        <v>17</v>
      </c>
      <c r="G23" s="1" t="s">
        <v>6</v>
      </c>
      <c r="H23" s="1" t="s">
        <v>448</v>
      </c>
      <c r="I23" s="1"/>
      <c r="J23" s="2">
        <f t="shared" ref="J23:Q24" si="19">J24</f>
        <v>2500</v>
      </c>
      <c r="K23" s="2">
        <f t="shared" si="19"/>
        <v>0</v>
      </c>
      <c r="L23" s="2">
        <f t="shared" si="19"/>
        <v>2500</v>
      </c>
      <c r="M23" s="2">
        <f t="shared" si="19"/>
        <v>0</v>
      </c>
      <c r="N23" s="2">
        <f t="shared" si="19"/>
        <v>2500</v>
      </c>
      <c r="O23" s="2">
        <f t="shared" si="19"/>
        <v>0</v>
      </c>
      <c r="P23" s="2">
        <f t="shared" si="19"/>
        <v>2500</v>
      </c>
      <c r="Q23" s="2">
        <f t="shared" si="19"/>
        <v>0</v>
      </c>
      <c r="R23" s="2"/>
      <c r="S23" s="2"/>
      <c r="T23" s="2"/>
      <c r="U23" s="2">
        <f t="shared" ref="U23:AC24" si="20">U24</f>
        <v>2500</v>
      </c>
      <c r="V23" s="2">
        <f t="shared" si="20"/>
        <v>0</v>
      </c>
      <c r="W23" s="2">
        <f t="shared" si="20"/>
        <v>0</v>
      </c>
      <c r="X23" s="2">
        <f t="shared" si="20"/>
        <v>0</v>
      </c>
      <c r="Y23" s="2">
        <f t="shared" si="20"/>
        <v>0</v>
      </c>
      <c r="Z23" s="2">
        <f t="shared" si="20"/>
        <v>2500</v>
      </c>
      <c r="AA23" s="2">
        <f t="shared" si="20"/>
        <v>0</v>
      </c>
      <c r="AB23" s="2">
        <f t="shared" si="20"/>
        <v>0</v>
      </c>
      <c r="AC23" s="2">
        <f t="shared" si="20"/>
        <v>2500</v>
      </c>
    </row>
    <row r="24" spans="1:29" ht="15.75" hidden="1" customHeight="1" x14ac:dyDescent="0.25">
      <c r="A24" s="14"/>
      <c r="B24" s="291" t="s">
        <v>27</v>
      </c>
      <c r="C24" s="301"/>
      <c r="D24" s="301"/>
      <c r="E24" s="173">
        <v>851</v>
      </c>
      <c r="F24" s="1" t="s">
        <v>17</v>
      </c>
      <c r="G24" s="1" t="s">
        <v>6</v>
      </c>
      <c r="H24" s="1" t="s">
        <v>448</v>
      </c>
      <c r="I24" s="1" t="s">
        <v>28</v>
      </c>
      <c r="J24" s="2">
        <f t="shared" si="19"/>
        <v>2500</v>
      </c>
      <c r="K24" s="2">
        <f t="shared" si="19"/>
        <v>0</v>
      </c>
      <c r="L24" s="2">
        <f t="shared" si="19"/>
        <v>2500</v>
      </c>
      <c r="M24" s="2">
        <f t="shared" si="19"/>
        <v>0</v>
      </c>
      <c r="N24" s="2">
        <f t="shared" si="19"/>
        <v>2500</v>
      </c>
      <c r="O24" s="2">
        <f t="shared" si="19"/>
        <v>0</v>
      </c>
      <c r="P24" s="2">
        <f t="shared" si="19"/>
        <v>2500</v>
      </c>
      <c r="Q24" s="2">
        <f t="shared" si="19"/>
        <v>0</v>
      </c>
      <c r="R24" s="2"/>
      <c r="S24" s="2"/>
      <c r="T24" s="2"/>
      <c r="U24" s="2">
        <f t="shared" si="20"/>
        <v>2500</v>
      </c>
      <c r="V24" s="2">
        <f t="shared" si="20"/>
        <v>0</v>
      </c>
      <c r="W24" s="2">
        <f t="shared" si="20"/>
        <v>0</v>
      </c>
      <c r="X24" s="2">
        <f t="shared" si="20"/>
        <v>0</v>
      </c>
      <c r="Y24" s="2">
        <f t="shared" si="20"/>
        <v>0</v>
      </c>
      <c r="Z24" s="2">
        <f t="shared" si="20"/>
        <v>2500</v>
      </c>
      <c r="AA24" s="2">
        <f t="shared" si="20"/>
        <v>0</v>
      </c>
      <c r="AB24" s="2">
        <f t="shared" si="20"/>
        <v>0</v>
      </c>
      <c r="AC24" s="2">
        <f t="shared" si="20"/>
        <v>2500</v>
      </c>
    </row>
    <row r="25" spans="1:29" ht="23.25" hidden="1" customHeight="1" x14ac:dyDescent="0.25">
      <c r="A25" s="14"/>
      <c r="B25" s="291" t="s">
        <v>29</v>
      </c>
      <c r="C25" s="291"/>
      <c r="D25" s="291"/>
      <c r="E25" s="173">
        <v>851</v>
      </c>
      <c r="F25" s="1" t="s">
        <v>17</v>
      </c>
      <c r="G25" s="1" t="s">
        <v>6</v>
      </c>
      <c r="H25" s="1" t="s">
        <v>448</v>
      </c>
      <c r="I25" s="1" t="s">
        <v>30</v>
      </c>
      <c r="J25" s="2">
        <f>2500</f>
        <v>2500</v>
      </c>
      <c r="K25" s="2"/>
      <c r="L25" s="2">
        <f t="shared" si="6"/>
        <v>2500</v>
      </c>
      <c r="M25" s="2"/>
      <c r="N25" s="2">
        <f t="shared" si="7"/>
        <v>2500</v>
      </c>
      <c r="O25" s="2"/>
      <c r="P25" s="2">
        <f>N25+O25</f>
        <v>2500</v>
      </c>
      <c r="Q25" s="2"/>
      <c r="R25" s="2"/>
      <c r="S25" s="2"/>
      <c r="T25" s="2"/>
      <c r="U25" s="2">
        <f>P25+Q25</f>
        <v>2500</v>
      </c>
      <c r="V25" s="2"/>
      <c r="W25" s="2"/>
      <c r="X25" s="2">
        <f>V24</f>
        <v>0</v>
      </c>
      <c r="Y25" s="2"/>
      <c r="Z25" s="2">
        <f t="shared" ref="Z25:Z29" si="21">U25+V25</f>
        <v>2500</v>
      </c>
      <c r="AA25" s="14"/>
      <c r="AB25" s="14"/>
      <c r="AC25" s="2">
        <f>Z25</f>
        <v>2500</v>
      </c>
    </row>
    <row r="26" spans="1:29" hidden="1" x14ac:dyDescent="0.25">
      <c r="A26" s="328" t="s">
        <v>486</v>
      </c>
      <c r="B26" s="328"/>
      <c r="C26" s="291"/>
      <c r="D26" s="291"/>
      <c r="E26" s="15">
        <v>851</v>
      </c>
      <c r="F26" s="10" t="s">
        <v>17</v>
      </c>
      <c r="G26" s="10" t="s">
        <v>63</v>
      </c>
      <c r="H26" s="10"/>
      <c r="I26" s="10"/>
      <c r="J26" s="11">
        <f>J27</f>
        <v>0</v>
      </c>
      <c r="K26" s="11">
        <f t="shared" ref="K26:Q28" si="22">K27</f>
        <v>0</v>
      </c>
      <c r="L26" s="2">
        <f t="shared" si="6"/>
        <v>0</v>
      </c>
      <c r="M26" s="11">
        <f t="shared" si="22"/>
        <v>0</v>
      </c>
      <c r="N26" s="2">
        <f t="shared" si="7"/>
        <v>0</v>
      </c>
      <c r="O26" s="11">
        <f t="shared" si="22"/>
        <v>0</v>
      </c>
      <c r="P26" s="2">
        <f>N26+O26</f>
        <v>0</v>
      </c>
      <c r="Q26" s="11">
        <f t="shared" si="22"/>
        <v>0</v>
      </c>
      <c r="R26" s="11"/>
      <c r="S26" s="11"/>
      <c r="T26" s="11"/>
      <c r="U26" s="2">
        <f>P26+Q26</f>
        <v>0</v>
      </c>
      <c r="V26" s="11">
        <f t="shared" ref="V26:V28" si="23">V27</f>
        <v>0</v>
      </c>
      <c r="W26" s="11"/>
      <c r="X26" s="11"/>
      <c r="Y26" s="11"/>
      <c r="Z26" s="2">
        <f t="shared" si="21"/>
        <v>0</v>
      </c>
      <c r="AA26" s="14"/>
      <c r="AB26" s="14"/>
      <c r="AC26" s="14"/>
    </row>
    <row r="27" spans="1:29" ht="49.5" hidden="1" customHeight="1" x14ac:dyDescent="0.25">
      <c r="A27" s="324" t="s">
        <v>487</v>
      </c>
      <c r="B27" s="324"/>
      <c r="C27" s="291"/>
      <c r="D27" s="291"/>
      <c r="E27" s="173">
        <v>851</v>
      </c>
      <c r="F27" s="1" t="s">
        <v>17</v>
      </c>
      <c r="G27" s="1" t="s">
        <v>63</v>
      </c>
      <c r="H27" s="1" t="s">
        <v>488</v>
      </c>
      <c r="I27" s="1"/>
      <c r="J27" s="2">
        <f>J28</f>
        <v>0</v>
      </c>
      <c r="K27" s="2">
        <f t="shared" si="22"/>
        <v>0</v>
      </c>
      <c r="L27" s="2">
        <f t="shared" si="6"/>
        <v>0</v>
      </c>
      <c r="M27" s="2">
        <f t="shared" si="22"/>
        <v>0</v>
      </c>
      <c r="N27" s="2">
        <f t="shared" si="7"/>
        <v>0</v>
      </c>
      <c r="O27" s="2">
        <f t="shared" si="22"/>
        <v>0</v>
      </c>
      <c r="P27" s="2">
        <f>N27+O27</f>
        <v>0</v>
      </c>
      <c r="Q27" s="2">
        <f t="shared" si="22"/>
        <v>0</v>
      </c>
      <c r="R27" s="2"/>
      <c r="S27" s="2"/>
      <c r="T27" s="2"/>
      <c r="U27" s="2">
        <f>P27+Q27</f>
        <v>0</v>
      </c>
      <c r="V27" s="2">
        <f t="shared" si="23"/>
        <v>0</v>
      </c>
      <c r="W27" s="2"/>
      <c r="X27" s="2"/>
      <c r="Y27" s="2"/>
      <c r="Z27" s="2">
        <f t="shared" si="21"/>
        <v>0</v>
      </c>
      <c r="AA27" s="14"/>
      <c r="AB27" s="14"/>
      <c r="AC27" s="14"/>
    </row>
    <row r="28" spans="1:29" hidden="1" x14ac:dyDescent="0.25">
      <c r="A28" s="14"/>
      <c r="B28" s="291" t="s">
        <v>27</v>
      </c>
      <c r="C28" s="301"/>
      <c r="D28" s="301"/>
      <c r="E28" s="173">
        <v>851</v>
      </c>
      <c r="F28" s="1" t="s">
        <v>17</v>
      </c>
      <c r="G28" s="1" t="s">
        <v>63</v>
      </c>
      <c r="H28" s="1" t="s">
        <v>488</v>
      </c>
      <c r="I28" s="1" t="s">
        <v>28</v>
      </c>
      <c r="J28" s="2">
        <f>J29</f>
        <v>0</v>
      </c>
      <c r="K28" s="2">
        <f t="shared" si="22"/>
        <v>0</v>
      </c>
      <c r="L28" s="2">
        <f t="shared" si="6"/>
        <v>0</v>
      </c>
      <c r="M28" s="2">
        <f t="shared" si="22"/>
        <v>0</v>
      </c>
      <c r="N28" s="2">
        <f t="shared" si="7"/>
        <v>0</v>
      </c>
      <c r="O28" s="2">
        <f t="shared" si="22"/>
        <v>0</v>
      </c>
      <c r="P28" s="2">
        <f>N28+O28</f>
        <v>0</v>
      </c>
      <c r="Q28" s="2">
        <f t="shared" si="22"/>
        <v>0</v>
      </c>
      <c r="R28" s="2"/>
      <c r="S28" s="2"/>
      <c r="T28" s="2"/>
      <c r="U28" s="2">
        <f>P28+Q28</f>
        <v>0</v>
      </c>
      <c r="V28" s="2">
        <f t="shared" si="23"/>
        <v>0</v>
      </c>
      <c r="W28" s="2"/>
      <c r="X28" s="2"/>
      <c r="Y28" s="2"/>
      <c r="Z28" s="2">
        <f t="shared" si="21"/>
        <v>0</v>
      </c>
      <c r="AA28" s="14"/>
      <c r="AB28" s="14"/>
      <c r="AC28" s="14"/>
    </row>
    <row r="29" spans="1:29" ht="24" hidden="1" x14ac:dyDescent="0.25">
      <c r="A29" s="14"/>
      <c r="B29" s="291" t="s">
        <v>29</v>
      </c>
      <c r="C29" s="291"/>
      <c r="D29" s="291"/>
      <c r="E29" s="173">
        <v>851</v>
      </c>
      <c r="F29" s="1" t="s">
        <v>17</v>
      </c>
      <c r="G29" s="1" t="s">
        <v>63</v>
      </c>
      <c r="H29" s="1" t="s">
        <v>488</v>
      </c>
      <c r="I29" s="1" t="s">
        <v>30</v>
      </c>
      <c r="J29" s="2">
        <v>0</v>
      </c>
      <c r="K29" s="2">
        <v>0</v>
      </c>
      <c r="L29" s="2">
        <f t="shared" si="6"/>
        <v>0</v>
      </c>
      <c r="M29" s="2">
        <v>0</v>
      </c>
      <c r="N29" s="2">
        <f t="shared" si="7"/>
        <v>0</v>
      </c>
      <c r="O29" s="2">
        <v>0</v>
      </c>
      <c r="P29" s="2">
        <f>N29+O29</f>
        <v>0</v>
      </c>
      <c r="Q29" s="2">
        <v>0</v>
      </c>
      <c r="R29" s="2"/>
      <c r="S29" s="2"/>
      <c r="T29" s="2"/>
      <c r="U29" s="2">
        <f>P29+Q29</f>
        <v>0</v>
      </c>
      <c r="V29" s="2">
        <v>0</v>
      </c>
      <c r="W29" s="2"/>
      <c r="X29" s="2"/>
      <c r="Y29" s="2"/>
      <c r="Z29" s="2">
        <f t="shared" si="21"/>
        <v>0</v>
      </c>
      <c r="AA29" s="14"/>
      <c r="AB29" s="14"/>
      <c r="AC29" s="14"/>
    </row>
    <row r="30" spans="1:29" hidden="1" x14ac:dyDescent="0.25">
      <c r="A30" s="335" t="s">
        <v>648</v>
      </c>
      <c r="B30" s="335"/>
      <c r="C30" s="295"/>
      <c r="D30" s="295"/>
      <c r="E30" s="15">
        <v>851</v>
      </c>
      <c r="F30" s="10" t="s">
        <v>17</v>
      </c>
      <c r="G30" s="10" t="s">
        <v>36</v>
      </c>
      <c r="H30" s="10"/>
      <c r="I30" s="10"/>
      <c r="J30" s="2"/>
      <c r="K30" s="2"/>
      <c r="L30" s="2"/>
      <c r="M30" s="2"/>
      <c r="N30" s="11">
        <f>N31</f>
        <v>0</v>
      </c>
      <c r="O30" s="11">
        <f t="shared" ref="O30:AC32" si="24">O31</f>
        <v>25600</v>
      </c>
      <c r="P30" s="11">
        <f t="shared" si="24"/>
        <v>25600</v>
      </c>
      <c r="Q30" s="11">
        <f t="shared" si="24"/>
        <v>0</v>
      </c>
      <c r="R30" s="11"/>
      <c r="S30" s="11"/>
      <c r="T30" s="11"/>
      <c r="U30" s="11">
        <f t="shared" si="24"/>
        <v>25600</v>
      </c>
      <c r="V30" s="11">
        <f t="shared" si="24"/>
        <v>0</v>
      </c>
      <c r="W30" s="11">
        <f t="shared" si="24"/>
        <v>0</v>
      </c>
      <c r="X30" s="11">
        <f t="shared" si="24"/>
        <v>0</v>
      </c>
      <c r="Y30" s="11">
        <f t="shared" si="24"/>
        <v>0</v>
      </c>
      <c r="Z30" s="11">
        <f t="shared" si="24"/>
        <v>25600</v>
      </c>
      <c r="AA30" s="11">
        <f t="shared" si="24"/>
        <v>0</v>
      </c>
      <c r="AB30" s="11">
        <f t="shared" si="24"/>
        <v>25600</v>
      </c>
      <c r="AC30" s="11">
        <f t="shared" si="24"/>
        <v>0</v>
      </c>
    </row>
    <row r="31" spans="1:29" hidden="1" x14ac:dyDescent="0.25">
      <c r="A31" s="346" t="s">
        <v>649</v>
      </c>
      <c r="B31" s="346"/>
      <c r="C31" s="291"/>
      <c r="D31" s="291"/>
      <c r="E31" s="173">
        <v>851</v>
      </c>
      <c r="F31" s="1" t="s">
        <v>17</v>
      </c>
      <c r="G31" s="1" t="s">
        <v>36</v>
      </c>
      <c r="H31" s="1" t="s">
        <v>650</v>
      </c>
      <c r="I31" s="1"/>
      <c r="J31" s="2"/>
      <c r="K31" s="2"/>
      <c r="L31" s="2"/>
      <c r="M31" s="2"/>
      <c r="N31" s="2">
        <f>N32</f>
        <v>0</v>
      </c>
      <c r="O31" s="2">
        <f t="shared" si="24"/>
        <v>25600</v>
      </c>
      <c r="P31" s="2">
        <f t="shared" si="24"/>
        <v>25600</v>
      </c>
      <c r="Q31" s="2">
        <f t="shared" si="24"/>
        <v>0</v>
      </c>
      <c r="R31" s="2"/>
      <c r="S31" s="2"/>
      <c r="T31" s="2"/>
      <c r="U31" s="2">
        <f t="shared" si="24"/>
        <v>25600</v>
      </c>
      <c r="V31" s="2">
        <f t="shared" si="24"/>
        <v>0</v>
      </c>
      <c r="W31" s="2">
        <f t="shared" si="24"/>
        <v>0</v>
      </c>
      <c r="X31" s="2">
        <f t="shared" si="24"/>
        <v>0</v>
      </c>
      <c r="Y31" s="2">
        <f t="shared" si="24"/>
        <v>0</v>
      </c>
      <c r="Z31" s="2">
        <f t="shared" si="24"/>
        <v>25600</v>
      </c>
      <c r="AA31" s="2">
        <f t="shared" si="24"/>
        <v>0</v>
      </c>
      <c r="AB31" s="2">
        <f t="shared" si="24"/>
        <v>25600</v>
      </c>
      <c r="AC31" s="2">
        <f t="shared" si="24"/>
        <v>0</v>
      </c>
    </row>
    <row r="32" spans="1:29" hidden="1" x14ac:dyDescent="0.25">
      <c r="A32" s="14"/>
      <c r="B32" s="291" t="s">
        <v>31</v>
      </c>
      <c r="C32" s="291"/>
      <c r="D32" s="291"/>
      <c r="E32" s="173">
        <v>851</v>
      </c>
      <c r="F32" s="1" t="s">
        <v>17</v>
      </c>
      <c r="G32" s="1" t="s">
        <v>36</v>
      </c>
      <c r="H32" s="1" t="s">
        <v>650</v>
      </c>
      <c r="I32" s="1" t="s">
        <v>32</v>
      </c>
      <c r="J32" s="2"/>
      <c r="K32" s="2"/>
      <c r="L32" s="2"/>
      <c r="M32" s="2"/>
      <c r="N32" s="2">
        <f>N33</f>
        <v>0</v>
      </c>
      <c r="O32" s="2">
        <f t="shared" si="24"/>
        <v>25600</v>
      </c>
      <c r="P32" s="2">
        <f t="shared" si="24"/>
        <v>25600</v>
      </c>
      <c r="Q32" s="2">
        <f t="shared" si="24"/>
        <v>0</v>
      </c>
      <c r="R32" s="2"/>
      <c r="S32" s="2"/>
      <c r="T32" s="2"/>
      <c r="U32" s="2">
        <f t="shared" si="24"/>
        <v>25600</v>
      </c>
      <c r="V32" s="2">
        <f t="shared" si="24"/>
        <v>0</v>
      </c>
      <c r="W32" s="2">
        <f t="shared" si="24"/>
        <v>0</v>
      </c>
      <c r="X32" s="2">
        <f t="shared" si="24"/>
        <v>0</v>
      </c>
      <c r="Y32" s="2">
        <f t="shared" si="24"/>
        <v>0</v>
      </c>
      <c r="Z32" s="2">
        <f t="shared" si="24"/>
        <v>25600</v>
      </c>
      <c r="AA32" s="2">
        <f t="shared" si="24"/>
        <v>0</v>
      </c>
      <c r="AB32" s="2">
        <f t="shared" si="24"/>
        <v>25600</v>
      </c>
      <c r="AC32" s="2">
        <f t="shared" si="24"/>
        <v>0</v>
      </c>
    </row>
    <row r="33" spans="1:29" hidden="1" x14ac:dyDescent="0.25">
      <c r="A33" s="14"/>
      <c r="B33" s="291" t="s">
        <v>651</v>
      </c>
      <c r="C33" s="291"/>
      <c r="D33" s="291"/>
      <c r="E33" s="173">
        <v>851</v>
      </c>
      <c r="F33" s="1" t="s">
        <v>17</v>
      </c>
      <c r="G33" s="1" t="s">
        <v>36</v>
      </c>
      <c r="H33" s="1" t="s">
        <v>650</v>
      </c>
      <c r="I33" s="1" t="s">
        <v>652</v>
      </c>
      <c r="J33" s="2"/>
      <c r="K33" s="2"/>
      <c r="L33" s="2"/>
      <c r="M33" s="2"/>
      <c r="N33" s="2"/>
      <c r="O33" s="2">
        <v>25600</v>
      </c>
      <c r="P33" s="2">
        <f>N33+O33</f>
        <v>25600</v>
      </c>
      <c r="Q33" s="2"/>
      <c r="R33" s="2"/>
      <c r="S33" s="2"/>
      <c r="T33" s="2"/>
      <c r="U33" s="2">
        <f>P33+Q33</f>
        <v>25600</v>
      </c>
      <c r="V33" s="2"/>
      <c r="W33" s="2"/>
      <c r="X33" s="2"/>
      <c r="Y33" s="2"/>
      <c r="Z33" s="2">
        <f>U33+V33</f>
        <v>25600</v>
      </c>
      <c r="AA33" s="14"/>
      <c r="AB33" s="2">
        <f>Z33</f>
        <v>25600</v>
      </c>
      <c r="AC33" s="14"/>
    </row>
    <row r="34" spans="1:29" s="12" customFormat="1" ht="13.5" customHeight="1" x14ac:dyDescent="0.25">
      <c r="A34" s="328" t="s">
        <v>37</v>
      </c>
      <c r="B34" s="328"/>
      <c r="C34" s="295"/>
      <c r="D34" s="295"/>
      <c r="E34" s="173">
        <v>851</v>
      </c>
      <c r="F34" s="10" t="s">
        <v>17</v>
      </c>
      <c r="G34" s="10" t="s">
        <v>38</v>
      </c>
      <c r="H34" s="10"/>
      <c r="I34" s="10"/>
      <c r="J34" s="11">
        <f t="shared" ref="J34:Y36" si="25">J35</f>
        <v>200000</v>
      </c>
      <c r="K34" s="11">
        <f t="shared" si="25"/>
        <v>0</v>
      </c>
      <c r="L34" s="11">
        <f t="shared" si="25"/>
        <v>200000</v>
      </c>
      <c r="M34" s="11">
        <f t="shared" si="25"/>
        <v>0</v>
      </c>
      <c r="N34" s="11">
        <f t="shared" si="25"/>
        <v>200000</v>
      </c>
      <c r="O34" s="11">
        <f t="shared" si="25"/>
        <v>-59000</v>
      </c>
      <c r="P34" s="11">
        <f t="shared" si="25"/>
        <v>141000</v>
      </c>
      <c r="Q34" s="11">
        <f t="shared" si="25"/>
        <v>-20000</v>
      </c>
      <c r="R34" s="11">
        <f>SUM(R35:R37)</f>
        <v>0</v>
      </c>
      <c r="S34" s="11">
        <f t="shared" ref="S34:T34" si="26">SUM(S35:S37)</f>
        <v>-20000</v>
      </c>
      <c r="T34" s="11">
        <f t="shared" si="26"/>
        <v>0</v>
      </c>
      <c r="U34" s="11">
        <f t="shared" si="25"/>
        <v>121000</v>
      </c>
      <c r="V34" s="11">
        <f t="shared" si="25"/>
        <v>-15000</v>
      </c>
      <c r="W34" s="11">
        <f t="shared" si="25"/>
        <v>0</v>
      </c>
      <c r="X34" s="11">
        <f t="shared" si="25"/>
        <v>-15000</v>
      </c>
      <c r="Y34" s="11">
        <f t="shared" si="25"/>
        <v>0</v>
      </c>
      <c r="Z34" s="11">
        <f t="shared" ref="V34:AC36" si="27">Z35</f>
        <v>106000</v>
      </c>
      <c r="AA34" s="11">
        <f t="shared" si="27"/>
        <v>0</v>
      </c>
      <c r="AB34" s="11">
        <f t="shared" si="27"/>
        <v>106000</v>
      </c>
      <c r="AC34" s="11">
        <f t="shared" si="27"/>
        <v>0</v>
      </c>
    </row>
    <row r="35" spans="1:29" ht="13.5" customHeight="1" x14ac:dyDescent="0.25">
      <c r="A35" s="324" t="s">
        <v>40</v>
      </c>
      <c r="B35" s="324"/>
      <c r="C35" s="291"/>
      <c r="D35" s="291"/>
      <c r="E35" s="173">
        <v>851</v>
      </c>
      <c r="F35" s="1" t="s">
        <v>17</v>
      </c>
      <c r="G35" s="1" t="s">
        <v>38</v>
      </c>
      <c r="H35" s="1" t="s">
        <v>39</v>
      </c>
      <c r="I35" s="1"/>
      <c r="J35" s="2">
        <f t="shared" si="25"/>
        <v>200000</v>
      </c>
      <c r="K35" s="2">
        <f t="shared" si="25"/>
        <v>0</v>
      </c>
      <c r="L35" s="2">
        <f t="shared" si="25"/>
        <v>200000</v>
      </c>
      <c r="M35" s="2">
        <f t="shared" si="25"/>
        <v>0</v>
      </c>
      <c r="N35" s="2">
        <f t="shared" si="25"/>
        <v>200000</v>
      </c>
      <c r="O35" s="2">
        <f t="shared" si="25"/>
        <v>-59000</v>
      </c>
      <c r="P35" s="2">
        <f t="shared" si="25"/>
        <v>141000</v>
      </c>
      <c r="Q35" s="2">
        <f t="shared" si="25"/>
        <v>-20000</v>
      </c>
      <c r="R35" s="2"/>
      <c r="S35" s="2"/>
      <c r="T35" s="2"/>
      <c r="U35" s="2">
        <f t="shared" si="25"/>
        <v>121000</v>
      </c>
      <c r="V35" s="2">
        <f t="shared" si="25"/>
        <v>-15000</v>
      </c>
      <c r="W35" s="2">
        <f t="shared" si="25"/>
        <v>0</v>
      </c>
      <c r="X35" s="2">
        <f t="shared" si="25"/>
        <v>-15000</v>
      </c>
      <c r="Y35" s="2">
        <f t="shared" si="25"/>
        <v>0</v>
      </c>
      <c r="Z35" s="2">
        <f t="shared" si="27"/>
        <v>106000</v>
      </c>
      <c r="AA35" s="2">
        <f t="shared" si="27"/>
        <v>0</v>
      </c>
      <c r="AB35" s="2">
        <f t="shared" si="27"/>
        <v>106000</v>
      </c>
      <c r="AC35" s="2">
        <f t="shared" si="27"/>
        <v>0</v>
      </c>
    </row>
    <row r="36" spans="1:29" ht="13.5" customHeight="1" x14ac:dyDescent="0.25">
      <c r="A36" s="14"/>
      <c r="B36" s="291" t="s">
        <v>31</v>
      </c>
      <c r="C36" s="291"/>
      <c r="D36" s="291"/>
      <c r="E36" s="173">
        <v>851</v>
      </c>
      <c r="F36" s="1" t="s">
        <v>17</v>
      </c>
      <c r="G36" s="1" t="s">
        <v>38</v>
      </c>
      <c r="H36" s="1" t="s">
        <v>39</v>
      </c>
      <c r="I36" s="1" t="s">
        <v>32</v>
      </c>
      <c r="J36" s="2">
        <f t="shared" si="25"/>
        <v>200000</v>
      </c>
      <c r="K36" s="2">
        <f t="shared" si="25"/>
        <v>0</v>
      </c>
      <c r="L36" s="2">
        <f t="shared" si="25"/>
        <v>200000</v>
      </c>
      <c r="M36" s="2">
        <f t="shared" si="25"/>
        <v>0</v>
      </c>
      <c r="N36" s="2">
        <f t="shared" si="25"/>
        <v>200000</v>
      </c>
      <c r="O36" s="2">
        <f t="shared" si="25"/>
        <v>-59000</v>
      </c>
      <c r="P36" s="2">
        <f t="shared" si="25"/>
        <v>141000</v>
      </c>
      <c r="Q36" s="2">
        <f t="shared" si="25"/>
        <v>-20000</v>
      </c>
      <c r="R36" s="2"/>
      <c r="S36" s="2"/>
      <c r="T36" s="2"/>
      <c r="U36" s="2">
        <f t="shared" si="25"/>
        <v>121000</v>
      </c>
      <c r="V36" s="2">
        <f t="shared" si="27"/>
        <v>-15000</v>
      </c>
      <c r="W36" s="2">
        <f t="shared" si="27"/>
        <v>0</v>
      </c>
      <c r="X36" s="2">
        <f t="shared" si="27"/>
        <v>-15000</v>
      </c>
      <c r="Y36" s="2">
        <f t="shared" si="27"/>
        <v>0</v>
      </c>
      <c r="Z36" s="2">
        <f t="shared" si="27"/>
        <v>106000</v>
      </c>
      <c r="AA36" s="2">
        <f t="shared" si="27"/>
        <v>0</v>
      </c>
      <c r="AB36" s="2">
        <f t="shared" si="27"/>
        <v>106000</v>
      </c>
      <c r="AC36" s="2">
        <f t="shared" si="27"/>
        <v>0</v>
      </c>
    </row>
    <row r="37" spans="1:29" ht="13.5" customHeight="1" x14ac:dyDescent="0.25">
      <c r="A37" s="14"/>
      <c r="B37" s="301" t="s">
        <v>41</v>
      </c>
      <c r="C37" s="301"/>
      <c r="D37" s="301"/>
      <c r="E37" s="173">
        <v>851</v>
      </c>
      <c r="F37" s="1" t="s">
        <v>17</v>
      </c>
      <c r="G37" s="1" t="s">
        <v>38</v>
      </c>
      <c r="H37" s="1" t="s">
        <v>39</v>
      </c>
      <c r="I37" s="1" t="s">
        <v>42</v>
      </c>
      <c r="J37" s="2">
        <v>200000</v>
      </c>
      <c r="K37" s="2"/>
      <c r="L37" s="2">
        <f t="shared" si="6"/>
        <v>200000</v>
      </c>
      <c r="M37" s="2"/>
      <c r="N37" s="2">
        <f t="shared" ref="N37" si="28">L37+M37</f>
        <v>200000</v>
      </c>
      <c r="O37" s="2">
        <v>-59000</v>
      </c>
      <c r="P37" s="2">
        <f>N37+O37</f>
        <v>141000</v>
      </c>
      <c r="Q37" s="2">
        <v>-20000</v>
      </c>
      <c r="R37" s="2"/>
      <c r="S37" s="2">
        <f>Q37</f>
        <v>-20000</v>
      </c>
      <c r="T37" s="2"/>
      <c r="U37" s="2">
        <f>P37+Q37</f>
        <v>121000</v>
      </c>
      <c r="V37" s="2">
        <v>-15000</v>
      </c>
      <c r="W37" s="2"/>
      <c r="X37" s="2">
        <f>V37</f>
        <v>-15000</v>
      </c>
      <c r="Y37" s="2"/>
      <c r="Z37" s="2">
        <f t="shared" ref="Z37" si="29">U37+V37</f>
        <v>106000</v>
      </c>
      <c r="AA37" s="14"/>
      <c r="AB37" s="2">
        <f>Z37</f>
        <v>106000</v>
      </c>
      <c r="AC37" s="14"/>
    </row>
    <row r="38" spans="1:29" s="12" customFormat="1" ht="14.25" customHeight="1" x14ac:dyDescent="0.25">
      <c r="A38" s="328" t="s">
        <v>43</v>
      </c>
      <c r="B38" s="328"/>
      <c r="C38" s="295"/>
      <c r="D38" s="295"/>
      <c r="E38" s="173">
        <v>851</v>
      </c>
      <c r="F38" s="10" t="s">
        <v>17</v>
      </c>
      <c r="G38" s="10" t="s">
        <v>44</v>
      </c>
      <c r="H38" s="10"/>
      <c r="I38" s="10"/>
      <c r="J38" s="11">
        <f>J39+J44+J47+J53+J60+J63</f>
        <v>6237700</v>
      </c>
      <c r="K38" s="11">
        <f>K39+K44+K47+K53+K60+K63</f>
        <v>803088</v>
      </c>
      <c r="L38" s="11">
        <f>L39+L44+L47+L53+L60+L63+L66</f>
        <v>7040788</v>
      </c>
      <c r="M38" s="11">
        <f t="shared" ref="M38:U38" si="30">M39+M44+M47+M53+M60+M63+M66</f>
        <v>-23856</v>
      </c>
      <c r="N38" s="11">
        <f t="shared" si="30"/>
        <v>7016932</v>
      </c>
      <c r="O38" s="11">
        <f t="shared" si="30"/>
        <v>1200000</v>
      </c>
      <c r="P38" s="11">
        <f t="shared" si="30"/>
        <v>8216932</v>
      </c>
      <c r="Q38" s="11">
        <f t="shared" si="30"/>
        <v>-14484</v>
      </c>
      <c r="R38" s="11">
        <f>SUM(R39:R70)</f>
        <v>0</v>
      </c>
      <c r="S38" s="11">
        <f t="shared" ref="S38:T38" si="31">SUM(S39:S70)</f>
        <v>-14484</v>
      </c>
      <c r="T38" s="11">
        <f t="shared" si="31"/>
        <v>0</v>
      </c>
      <c r="U38" s="11">
        <f t="shared" si="30"/>
        <v>8202448</v>
      </c>
      <c r="V38" s="11">
        <f>V39+V44+V47+V50+V53+V60+V63+V66</f>
        <v>841432.63999999978</v>
      </c>
      <c r="W38" s="11">
        <f t="shared" ref="W38:AC38" si="32">W39+W44+W47+W50+W53+W60+W63+W66</f>
        <v>2291920</v>
      </c>
      <c r="X38" s="11">
        <f t="shared" si="32"/>
        <v>-1450487.3599999999</v>
      </c>
      <c r="Y38" s="11">
        <f t="shared" si="32"/>
        <v>0</v>
      </c>
      <c r="Z38" s="11">
        <f t="shared" si="32"/>
        <v>9043880.6399999987</v>
      </c>
      <c r="AA38" s="11">
        <f t="shared" si="32"/>
        <v>3808764</v>
      </c>
      <c r="AB38" s="11">
        <f t="shared" si="32"/>
        <v>5235116.6400000006</v>
      </c>
      <c r="AC38" s="11">
        <f t="shared" si="32"/>
        <v>0</v>
      </c>
    </row>
    <row r="39" spans="1:29" ht="37.5" customHeight="1" x14ac:dyDescent="0.25">
      <c r="A39" s="324" t="s">
        <v>45</v>
      </c>
      <c r="B39" s="324"/>
      <c r="C39" s="173"/>
      <c r="D39" s="173"/>
      <c r="E39" s="173">
        <v>851</v>
      </c>
      <c r="F39" s="1" t="s">
        <v>17</v>
      </c>
      <c r="G39" s="1" t="s">
        <v>44</v>
      </c>
      <c r="H39" s="1" t="s">
        <v>46</v>
      </c>
      <c r="I39" s="1"/>
      <c r="J39" s="2">
        <f>J40+J42</f>
        <v>340700</v>
      </c>
      <c r="K39" s="2">
        <f t="shared" ref="K39:AC39" si="33">K40+K42</f>
        <v>0</v>
      </c>
      <c r="L39" s="2">
        <f t="shared" si="33"/>
        <v>340700</v>
      </c>
      <c r="M39" s="2">
        <f t="shared" si="33"/>
        <v>-23856</v>
      </c>
      <c r="N39" s="2">
        <f t="shared" si="33"/>
        <v>316844</v>
      </c>
      <c r="O39" s="2">
        <f t="shared" si="33"/>
        <v>0</v>
      </c>
      <c r="P39" s="2">
        <f t="shared" si="33"/>
        <v>316844</v>
      </c>
      <c r="Q39" s="2">
        <f t="shared" si="33"/>
        <v>0</v>
      </c>
      <c r="R39" s="2"/>
      <c r="S39" s="2"/>
      <c r="T39" s="2"/>
      <c r="U39" s="2">
        <f t="shared" si="33"/>
        <v>316844</v>
      </c>
      <c r="V39" s="2">
        <f t="shared" si="33"/>
        <v>0</v>
      </c>
      <c r="W39" s="2">
        <f t="shared" si="33"/>
        <v>0</v>
      </c>
      <c r="X39" s="2">
        <f t="shared" si="33"/>
        <v>0</v>
      </c>
      <c r="Y39" s="2">
        <f t="shared" si="33"/>
        <v>0</v>
      </c>
      <c r="Z39" s="2">
        <f t="shared" si="33"/>
        <v>316844</v>
      </c>
      <c r="AA39" s="2">
        <f t="shared" si="33"/>
        <v>316844</v>
      </c>
      <c r="AB39" s="2">
        <f t="shared" si="33"/>
        <v>0</v>
      </c>
      <c r="AC39" s="2">
        <f t="shared" si="33"/>
        <v>0</v>
      </c>
    </row>
    <row r="40" spans="1:29" ht="36.75" customHeight="1" x14ac:dyDescent="0.25">
      <c r="A40" s="14"/>
      <c r="B40" s="301" t="s">
        <v>21</v>
      </c>
      <c r="C40" s="173"/>
      <c r="D40" s="173"/>
      <c r="E40" s="173">
        <v>851</v>
      </c>
      <c r="F40" s="1" t="s">
        <v>17</v>
      </c>
      <c r="G40" s="1" t="s">
        <v>44</v>
      </c>
      <c r="H40" s="1" t="s">
        <v>46</v>
      </c>
      <c r="I40" s="1" t="s">
        <v>23</v>
      </c>
      <c r="J40" s="2">
        <f t="shared" ref="J40:Q40" si="34">J41</f>
        <v>216840</v>
      </c>
      <c r="K40" s="2">
        <f t="shared" si="34"/>
        <v>0</v>
      </c>
      <c r="L40" s="2">
        <f t="shared" si="34"/>
        <v>216840</v>
      </c>
      <c r="M40" s="2">
        <f t="shared" si="34"/>
        <v>0</v>
      </c>
      <c r="N40" s="2">
        <f t="shared" si="34"/>
        <v>216840</v>
      </c>
      <c r="O40" s="2">
        <f t="shared" si="34"/>
        <v>0</v>
      </c>
      <c r="P40" s="2">
        <f t="shared" si="34"/>
        <v>216840</v>
      </c>
      <c r="Q40" s="2">
        <f t="shared" si="34"/>
        <v>0</v>
      </c>
      <c r="R40" s="2"/>
      <c r="S40" s="2"/>
      <c r="T40" s="2"/>
      <c r="U40" s="2">
        <f t="shared" ref="U40:AC40" si="35">U41</f>
        <v>216840</v>
      </c>
      <c r="V40" s="2">
        <f t="shared" si="35"/>
        <v>-19769.82</v>
      </c>
      <c r="W40" s="2">
        <f t="shared" si="35"/>
        <v>-19769.82</v>
      </c>
      <c r="X40" s="2">
        <f t="shared" si="35"/>
        <v>0</v>
      </c>
      <c r="Y40" s="2">
        <f t="shared" si="35"/>
        <v>0</v>
      </c>
      <c r="Z40" s="2">
        <f t="shared" si="35"/>
        <v>197070.18</v>
      </c>
      <c r="AA40" s="2">
        <f t="shared" si="35"/>
        <v>197070.18</v>
      </c>
      <c r="AB40" s="2">
        <f t="shared" si="35"/>
        <v>0</v>
      </c>
      <c r="AC40" s="2">
        <f t="shared" si="35"/>
        <v>0</v>
      </c>
    </row>
    <row r="41" spans="1:29" ht="13.5" customHeight="1" x14ac:dyDescent="0.25">
      <c r="A41" s="14"/>
      <c r="B41" s="301" t="s">
        <v>24</v>
      </c>
      <c r="C41" s="173"/>
      <c r="D41" s="173"/>
      <c r="E41" s="173">
        <v>851</v>
      </c>
      <c r="F41" s="1" t="s">
        <v>17</v>
      </c>
      <c r="G41" s="1" t="s">
        <v>44</v>
      </c>
      <c r="H41" s="1" t="s">
        <v>46</v>
      </c>
      <c r="I41" s="1" t="s">
        <v>25</v>
      </c>
      <c r="J41" s="2">
        <v>216840</v>
      </c>
      <c r="K41" s="2"/>
      <c r="L41" s="2">
        <f t="shared" si="6"/>
        <v>216840</v>
      </c>
      <c r="M41" s="278"/>
      <c r="N41" s="2">
        <f t="shared" ref="N41:N65" si="36">L41+M41</f>
        <v>216840</v>
      </c>
      <c r="O41" s="2"/>
      <c r="P41" s="2">
        <f>N41+O41</f>
        <v>216840</v>
      </c>
      <c r="Q41" s="2"/>
      <c r="R41" s="2"/>
      <c r="S41" s="2"/>
      <c r="T41" s="2"/>
      <c r="U41" s="2">
        <f>P41+Q41</f>
        <v>216840</v>
      </c>
      <c r="V41" s="2">
        <v>-19769.82</v>
      </c>
      <c r="W41" s="2">
        <f>V41</f>
        <v>-19769.82</v>
      </c>
      <c r="X41" s="2"/>
      <c r="Y41" s="2"/>
      <c r="Z41" s="2">
        <f t="shared" ref="Z41" si="37">U41+V41</f>
        <v>197070.18</v>
      </c>
      <c r="AA41" s="2">
        <f>Z41</f>
        <v>197070.18</v>
      </c>
      <c r="AB41" s="14"/>
      <c r="AC41" s="14"/>
    </row>
    <row r="42" spans="1:29" ht="14.25" customHeight="1" x14ac:dyDescent="0.25">
      <c r="A42" s="14"/>
      <c r="B42" s="291" t="s">
        <v>27</v>
      </c>
      <c r="C42" s="173"/>
      <c r="D42" s="173"/>
      <c r="E42" s="173">
        <v>851</v>
      </c>
      <c r="F42" s="1" t="s">
        <v>17</v>
      </c>
      <c r="G42" s="1" t="s">
        <v>44</v>
      </c>
      <c r="H42" s="1" t="s">
        <v>46</v>
      </c>
      <c r="I42" s="1" t="s">
        <v>28</v>
      </c>
      <c r="J42" s="2">
        <f t="shared" ref="J42:Q42" si="38">J43</f>
        <v>123860</v>
      </c>
      <c r="K42" s="2">
        <f t="shared" si="38"/>
        <v>0</v>
      </c>
      <c r="L42" s="2">
        <f t="shared" si="38"/>
        <v>123860</v>
      </c>
      <c r="M42" s="2">
        <f t="shared" si="38"/>
        <v>-23856</v>
      </c>
      <c r="N42" s="2">
        <f t="shared" si="38"/>
        <v>100004</v>
      </c>
      <c r="O42" s="2">
        <f t="shared" si="38"/>
        <v>0</v>
      </c>
      <c r="P42" s="2">
        <f t="shared" si="38"/>
        <v>100004</v>
      </c>
      <c r="Q42" s="2">
        <f t="shared" si="38"/>
        <v>0</v>
      </c>
      <c r="R42" s="2"/>
      <c r="S42" s="2"/>
      <c r="T42" s="2"/>
      <c r="U42" s="2">
        <f t="shared" ref="U42:AC42" si="39">U43</f>
        <v>100004</v>
      </c>
      <c r="V42" s="2">
        <f t="shared" si="39"/>
        <v>19769.82</v>
      </c>
      <c r="W42" s="2">
        <f t="shared" si="39"/>
        <v>19769.82</v>
      </c>
      <c r="X42" s="2">
        <f t="shared" si="39"/>
        <v>0</v>
      </c>
      <c r="Y42" s="2">
        <f t="shared" si="39"/>
        <v>0</v>
      </c>
      <c r="Z42" s="2">
        <f t="shared" si="39"/>
        <v>119773.82</v>
      </c>
      <c r="AA42" s="2">
        <f t="shared" si="39"/>
        <v>119773.82</v>
      </c>
      <c r="AB42" s="2">
        <f t="shared" si="39"/>
        <v>0</v>
      </c>
      <c r="AC42" s="2">
        <f t="shared" si="39"/>
        <v>0</v>
      </c>
    </row>
    <row r="43" spans="1:29" ht="13.5" customHeight="1" x14ac:dyDescent="0.25">
      <c r="A43" s="14"/>
      <c r="B43" s="291" t="s">
        <v>29</v>
      </c>
      <c r="C43" s="173"/>
      <c r="D43" s="173"/>
      <c r="E43" s="173">
        <v>851</v>
      </c>
      <c r="F43" s="1" t="s">
        <v>17</v>
      </c>
      <c r="G43" s="1" t="s">
        <v>44</v>
      </c>
      <c r="H43" s="1" t="s">
        <v>46</v>
      </c>
      <c r="I43" s="1" t="s">
        <v>30</v>
      </c>
      <c r="J43" s="2">
        <f>123860</f>
        <v>123860</v>
      </c>
      <c r="K43" s="2"/>
      <c r="L43" s="2">
        <f t="shared" si="6"/>
        <v>123860</v>
      </c>
      <c r="M43" s="278">
        <f>-23849-7</f>
        <v>-23856</v>
      </c>
      <c r="N43" s="2">
        <f t="shared" si="36"/>
        <v>100004</v>
      </c>
      <c r="O43" s="278"/>
      <c r="P43" s="2">
        <f>N43+O43</f>
        <v>100004</v>
      </c>
      <c r="Q43" s="278"/>
      <c r="R43" s="278"/>
      <c r="S43" s="278"/>
      <c r="T43" s="278"/>
      <c r="U43" s="2">
        <f>P43+Q43</f>
        <v>100004</v>
      </c>
      <c r="V43" s="2">
        <v>19769.82</v>
      </c>
      <c r="W43" s="278">
        <f>V43</f>
        <v>19769.82</v>
      </c>
      <c r="X43" s="278"/>
      <c r="Y43" s="278"/>
      <c r="Z43" s="2">
        <f t="shared" ref="Z43" si="40">U43+V43</f>
        <v>119773.82</v>
      </c>
      <c r="AA43" s="2">
        <f>Z43</f>
        <v>119773.82</v>
      </c>
      <c r="AB43" s="14"/>
      <c r="AC43" s="14"/>
    </row>
    <row r="44" spans="1:29" ht="26.25" customHeight="1" x14ac:dyDescent="0.25">
      <c r="A44" s="324" t="s">
        <v>51</v>
      </c>
      <c r="B44" s="324"/>
      <c r="C44" s="291"/>
      <c r="D44" s="291"/>
      <c r="E44" s="173">
        <v>851</v>
      </c>
      <c r="F44" s="1" t="s">
        <v>22</v>
      </c>
      <c r="G44" s="17" t="s">
        <v>44</v>
      </c>
      <c r="H44" s="1" t="s">
        <v>52</v>
      </c>
      <c r="I44" s="1"/>
      <c r="J44" s="2">
        <f t="shared" ref="J44:Q45" si="41">J45</f>
        <v>450000</v>
      </c>
      <c r="K44" s="2">
        <f t="shared" si="41"/>
        <v>0</v>
      </c>
      <c r="L44" s="2">
        <f t="shared" si="41"/>
        <v>450000</v>
      </c>
      <c r="M44" s="2">
        <f t="shared" si="41"/>
        <v>0</v>
      </c>
      <c r="N44" s="2">
        <f t="shared" si="41"/>
        <v>450000</v>
      </c>
      <c r="O44" s="2">
        <f t="shared" si="41"/>
        <v>0</v>
      </c>
      <c r="P44" s="2">
        <f t="shared" si="41"/>
        <v>450000</v>
      </c>
      <c r="Q44" s="2">
        <f t="shared" si="41"/>
        <v>0</v>
      </c>
      <c r="R44" s="2"/>
      <c r="S44" s="2"/>
      <c r="T44" s="2"/>
      <c r="U44" s="2">
        <f t="shared" ref="U44:AC45" si="42">U45</f>
        <v>450000</v>
      </c>
      <c r="V44" s="2">
        <f t="shared" si="42"/>
        <v>-108603</v>
      </c>
      <c r="W44" s="2">
        <f t="shared" si="42"/>
        <v>0</v>
      </c>
      <c r="X44" s="2">
        <f t="shared" si="42"/>
        <v>-108603</v>
      </c>
      <c r="Y44" s="2">
        <f t="shared" si="42"/>
        <v>0</v>
      </c>
      <c r="Z44" s="2">
        <f t="shared" si="42"/>
        <v>341397</v>
      </c>
      <c r="AA44" s="2">
        <f t="shared" si="42"/>
        <v>0</v>
      </c>
      <c r="AB44" s="2">
        <f t="shared" si="42"/>
        <v>341397</v>
      </c>
      <c r="AC44" s="2">
        <f t="shared" si="42"/>
        <v>0</v>
      </c>
    </row>
    <row r="45" spans="1:29" ht="15" customHeight="1" x14ac:dyDescent="0.25">
      <c r="A45" s="14"/>
      <c r="B45" s="291" t="s">
        <v>27</v>
      </c>
      <c r="C45" s="301"/>
      <c r="D45" s="301"/>
      <c r="E45" s="173">
        <v>851</v>
      </c>
      <c r="F45" s="1" t="s">
        <v>17</v>
      </c>
      <c r="G45" s="1" t="s">
        <v>44</v>
      </c>
      <c r="H45" s="1" t="s">
        <v>52</v>
      </c>
      <c r="I45" s="1" t="s">
        <v>28</v>
      </c>
      <c r="J45" s="2">
        <f t="shared" si="41"/>
        <v>450000</v>
      </c>
      <c r="K45" s="2">
        <f t="shared" si="41"/>
        <v>0</v>
      </c>
      <c r="L45" s="2">
        <f t="shared" si="41"/>
        <v>450000</v>
      </c>
      <c r="M45" s="2">
        <f t="shared" si="41"/>
        <v>0</v>
      </c>
      <c r="N45" s="2">
        <f t="shared" si="41"/>
        <v>450000</v>
      </c>
      <c r="O45" s="2">
        <f t="shared" si="41"/>
        <v>0</v>
      </c>
      <c r="P45" s="2">
        <f t="shared" si="41"/>
        <v>450000</v>
      </c>
      <c r="Q45" s="2">
        <f t="shared" si="41"/>
        <v>0</v>
      </c>
      <c r="R45" s="2"/>
      <c r="S45" s="2"/>
      <c r="T45" s="2"/>
      <c r="U45" s="2">
        <f t="shared" si="42"/>
        <v>450000</v>
      </c>
      <c r="V45" s="2">
        <f t="shared" si="42"/>
        <v>-108603</v>
      </c>
      <c r="W45" s="2">
        <f t="shared" si="42"/>
        <v>0</v>
      </c>
      <c r="X45" s="2">
        <f t="shared" si="42"/>
        <v>-108603</v>
      </c>
      <c r="Y45" s="2">
        <f t="shared" si="42"/>
        <v>0</v>
      </c>
      <c r="Z45" s="2">
        <f t="shared" si="42"/>
        <v>341397</v>
      </c>
      <c r="AA45" s="2">
        <f t="shared" si="42"/>
        <v>0</v>
      </c>
      <c r="AB45" s="2">
        <f t="shared" si="42"/>
        <v>341397</v>
      </c>
      <c r="AC45" s="2">
        <f t="shared" si="42"/>
        <v>0</v>
      </c>
    </row>
    <row r="46" spans="1:29" ht="14.25" customHeight="1" x14ac:dyDescent="0.25">
      <c r="A46" s="14"/>
      <c r="B46" s="291" t="s">
        <v>29</v>
      </c>
      <c r="C46" s="291"/>
      <c r="D46" s="291"/>
      <c r="E46" s="173">
        <v>851</v>
      </c>
      <c r="F46" s="1" t="s">
        <v>17</v>
      </c>
      <c r="G46" s="1" t="s">
        <v>44</v>
      </c>
      <c r="H46" s="1" t="s">
        <v>52</v>
      </c>
      <c r="I46" s="1" t="s">
        <v>30</v>
      </c>
      <c r="J46" s="2">
        <v>450000</v>
      </c>
      <c r="K46" s="2"/>
      <c r="L46" s="2">
        <f t="shared" si="6"/>
        <v>450000</v>
      </c>
      <c r="M46" s="2"/>
      <c r="N46" s="2">
        <f t="shared" si="36"/>
        <v>450000</v>
      </c>
      <c r="O46" s="2"/>
      <c r="P46" s="2">
        <f>N46+O46</f>
        <v>450000</v>
      </c>
      <c r="Q46" s="2"/>
      <c r="R46" s="2"/>
      <c r="S46" s="2"/>
      <c r="T46" s="2"/>
      <c r="U46" s="2">
        <f>P46+Q46</f>
        <v>450000</v>
      </c>
      <c r="V46" s="2">
        <v>-108603</v>
      </c>
      <c r="W46" s="2"/>
      <c r="X46" s="2">
        <f>V46</f>
        <v>-108603</v>
      </c>
      <c r="Y46" s="2"/>
      <c r="Z46" s="2">
        <f t="shared" ref="Z46" si="43">U46+V46</f>
        <v>341397</v>
      </c>
      <c r="AA46" s="14"/>
      <c r="AB46" s="2">
        <f>Z46</f>
        <v>341397</v>
      </c>
      <c r="AC46" s="14"/>
    </row>
    <row r="47" spans="1:29" ht="16.5" customHeight="1" x14ac:dyDescent="0.25">
      <c r="A47" s="324" t="s">
        <v>53</v>
      </c>
      <c r="B47" s="324"/>
      <c r="C47" s="297"/>
      <c r="D47" s="297"/>
      <c r="E47" s="173">
        <v>851</v>
      </c>
      <c r="F47" s="1" t="s">
        <v>17</v>
      </c>
      <c r="G47" s="1" t="s">
        <v>44</v>
      </c>
      <c r="H47" s="1" t="s">
        <v>54</v>
      </c>
      <c r="I47" s="1"/>
      <c r="J47" s="2">
        <f t="shared" ref="J47:Q48" si="44">J48</f>
        <v>1575000</v>
      </c>
      <c r="K47" s="2">
        <f t="shared" si="44"/>
        <v>0</v>
      </c>
      <c r="L47" s="2">
        <f t="shared" si="44"/>
        <v>1575000</v>
      </c>
      <c r="M47" s="2">
        <f t="shared" si="44"/>
        <v>0</v>
      </c>
      <c r="N47" s="2">
        <f t="shared" si="44"/>
        <v>1575000</v>
      </c>
      <c r="O47" s="2">
        <f t="shared" si="44"/>
        <v>0</v>
      </c>
      <c r="P47" s="2">
        <f t="shared" si="44"/>
        <v>1575000</v>
      </c>
      <c r="Q47" s="2">
        <f t="shared" si="44"/>
        <v>0</v>
      </c>
      <c r="R47" s="2"/>
      <c r="S47" s="2"/>
      <c r="T47" s="2"/>
      <c r="U47" s="2">
        <f t="shared" ref="U47:AC48" si="45">U48</f>
        <v>1575000</v>
      </c>
      <c r="V47" s="2">
        <f t="shared" si="45"/>
        <v>106537.01</v>
      </c>
      <c r="W47" s="2">
        <f t="shared" si="45"/>
        <v>0</v>
      </c>
      <c r="X47" s="2">
        <f t="shared" si="45"/>
        <v>106537.01</v>
      </c>
      <c r="Y47" s="2">
        <f t="shared" si="45"/>
        <v>0</v>
      </c>
      <c r="Z47" s="2">
        <f t="shared" si="45"/>
        <v>1681537.01</v>
      </c>
      <c r="AA47" s="2">
        <f t="shared" si="45"/>
        <v>0</v>
      </c>
      <c r="AB47" s="2">
        <f t="shared" si="45"/>
        <v>1681537.01</v>
      </c>
      <c r="AC47" s="2">
        <f t="shared" si="45"/>
        <v>0</v>
      </c>
    </row>
    <row r="48" spans="1:29" ht="15" customHeight="1" x14ac:dyDescent="0.25">
      <c r="A48" s="14"/>
      <c r="B48" s="291" t="s">
        <v>27</v>
      </c>
      <c r="C48" s="301"/>
      <c r="D48" s="301"/>
      <c r="E48" s="173">
        <v>851</v>
      </c>
      <c r="F48" s="1" t="s">
        <v>17</v>
      </c>
      <c r="G48" s="1" t="s">
        <v>44</v>
      </c>
      <c r="H48" s="1" t="s">
        <v>54</v>
      </c>
      <c r="I48" s="1" t="s">
        <v>28</v>
      </c>
      <c r="J48" s="2">
        <f t="shared" si="44"/>
        <v>1575000</v>
      </c>
      <c r="K48" s="2">
        <f t="shared" si="44"/>
        <v>0</v>
      </c>
      <c r="L48" s="2">
        <f t="shared" si="44"/>
        <v>1575000</v>
      </c>
      <c r="M48" s="2">
        <f t="shared" si="44"/>
        <v>0</v>
      </c>
      <c r="N48" s="2">
        <f t="shared" si="44"/>
        <v>1575000</v>
      </c>
      <c r="O48" s="2">
        <f t="shared" si="44"/>
        <v>0</v>
      </c>
      <c r="P48" s="2">
        <f t="shared" si="44"/>
        <v>1575000</v>
      </c>
      <c r="Q48" s="2">
        <f t="shared" si="44"/>
        <v>0</v>
      </c>
      <c r="R48" s="2"/>
      <c r="S48" s="2"/>
      <c r="T48" s="2"/>
      <c r="U48" s="2">
        <f t="shared" si="45"/>
        <v>1575000</v>
      </c>
      <c r="V48" s="2">
        <f t="shared" si="45"/>
        <v>106537.01</v>
      </c>
      <c r="W48" s="2">
        <f t="shared" si="45"/>
        <v>0</v>
      </c>
      <c r="X48" s="2">
        <f t="shared" si="45"/>
        <v>106537.01</v>
      </c>
      <c r="Y48" s="2">
        <f t="shared" si="45"/>
        <v>0</v>
      </c>
      <c r="Z48" s="2">
        <f t="shared" si="45"/>
        <v>1681537.01</v>
      </c>
      <c r="AA48" s="2">
        <f t="shared" si="45"/>
        <v>0</v>
      </c>
      <c r="AB48" s="2">
        <f t="shared" si="45"/>
        <v>1681537.01</v>
      </c>
      <c r="AC48" s="2">
        <f t="shared" si="45"/>
        <v>0</v>
      </c>
    </row>
    <row r="49" spans="1:29" ht="14.25" customHeight="1" x14ac:dyDescent="0.25">
      <c r="A49" s="14"/>
      <c r="B49" s="291" t="s">
        <v>29</v>
      </c>
      <c r="C49" s="291"/>
      <c r="D49" s="291"/>
      <c r="E49" s="173">
        <v>851</v>
      </c>
      <c r="F49" s="1" t="s">
        <v>17</v>
      </c>
      <c r="G49" s="1" t="s">
        <v>44</v>
      </c>
      <c r="H49" s="1" t="s">
        <v>54</v>
      </c>
      <c r="I49" s="1" t="s">
        <v>30</v>
      </c>
      <c r="J49" s="2">
        <v>1575000</v>
      </c>
      <c r="K49" s="2"/>
      <c r="L49" s="2">
        <f t="shared" si="6"/>
        <v>1575000</v>
      </c>
      <c r="M49" s="2"/>
      <c r="N49" s="2">
        <f t="shared" si="36"/>
        <v>1575000</v>
      </c>
      <c r="O49" s="2"/>
      <c r="P49" s="2">
        <f>N49+O49</f>
        <v>1575000</v>
      </c>
      <c r="Q49" s="2"/>
      <c r="R49" s="2"/>
      <c r="S49" s="2"/>
      <c r="T49" s="2"/>
      <c r="U49" s="2">
        <f>P49+Q49</f>
        <v>1575000</v>
      </c>
      <c r="V49" s="2">
        <v>106537.01</v>
      </c>
      <c r="W49" s="2"/>
      <c r="X49" s="2">
        <f>V49</f>
        <v>106537.01</v>
      </c>
      <c r="Y49" s="2"/>
      <c r="Z49" s="2">
        <f t="shared" ref="Z49" si="46">U49+V49</f>
        <v>1681537.01</v>
      </c>
      <c r="AA49" s="14"/>
      <c r="AB49" s="2">
        <f>Z49</f>
        <v>1681537.01</v>
      </c>
      <c r="AC49" s="14"/>
    </row>
    <row r="50" spans="1:29" ht="23.25" customHeight="1" x14ac:dyDescent="0.25">
      <c r="A50" s="330" t="s">
        <v>742</v>
      </c>
      <c r="B50" s="331"/>
      <c r="C50" s="291"/>
      <c r="D50" s="291"/>
      <c r="E50" s="173">
        <v>851</v>
      </c>
      <c r="F50" s="1" t="s">
        <v>17</v>
      </c>
      <c r="G50" s="1" t="s">
        <v>44</v>
      </c>
      <c r="H50" s="1" t="s">
        <v>743</v>
      </c>
      <c r="I50" s="1"/>
      <c r="J50" s="2"/>
      <c r="K50" s="2"/>
      <c r="L50" s="2"/>
      <c r="M50" s="2"/>
      <c r="N50" s="2"/>
      <c r="O50" s="2"/>
      <c r="P50" s="2"/>
      <c r="Q50" s="2"/>
      <c r="R50" s="2"/>
      <c r="S50" s="2"/>
      <c r="T50" s="2"/>
      <c r="U50" s="2">
        <f>U51</f>
        <v>0</v>
      </c>
      <c r="V50" s="2">
        <f t="shared" ref="V50:AC50" si="47">V51</f>
        <v>2291920</v>
      </c>
      <c r="W50" s="2">
        <f t="shared" si="47"/>
        <v>2291920</v>
      </c>
      <c r="X50" s="2">
        <f t="shared" si="47"/>
        <v>0</v>
      </c>
      <c r="Y50" s="2">
        <f t="shared" si="47"/>
        <v>0</v>
      </c>
      <c r="Z50" s="2">
        <f t="shared" si="47"/>
        <v>2291920</v>
      </c>
      <c r="AA50" s="2">
        <f t="shared" si="47"/>
        <v>2291920</v>
      </c>
      <c r="AB50" s="2">
        <f t="shared" si="47"/>
        <v>0</v>
      </c>
      <c r="AC50" s="2">
        <f t="shared" si="47"/>
        <v>0</v>
      </c>
    </row>
    <row r="51" spans="1:29" ht="14.25" customHeight="1" x14ac:dyDescent="0.25">
      <c r="A51" s="300"/>
      <c r="B51" s="291" t="s">
        <v>27</v>
      </c>
      <c r="C51" s="301"/>
      <c r="D51" s="301"/>
      <c r="E51" s="173">
        <v>851</v>
      </c>
      <c r="F51" s="1" t="s">
        <v>17</v>
      </c>
      <c r="G51" s="1" t="s">
        <v>44</v>
      </c>
      <c r="H51" s="1" t="s">
        <v>743</v>
      </c>
      <c r="I51" s="1" t="s">
        <v>28</v>
      </c>
      <c r="J51" s="2">
        <f t="shared" ref="J51:Q51" si="48">J52</f>
        <v>0</v>
      </c>
      <c r="K51" s="2">
        <f t="shared" si="48"/>
        <v>0</v>
      </c>
      <c r="L51" s="2">
        <f t="shared" si="48"/>
        <v>0</v>
      </c>
      <c r="M51" s="2">
        <f t="shared" si="48"/>
        <v>0</v>
      </c>
      <c r="N51" s="2">
        <f t="shared" si="48"/>
        <v>0</v>
      </c>
      <c r="O51" s="2">
        <f t="shared" si="48"/>
        <v>0</v>
      </c>
      <c r="P51" s="2">
        <f t="shared" si="48"/>
        <v>0</v>
      </c>
      <c r="Q51" s="2">
        <f t="shared" si="48"/>
        <v>0</v>
      </c>
      <c r="R51" s="2"/>
      <c r="S51" s="2"/>
      <c r="T51" s="2"/>
      <c r="U51" s="2">
        <f t="shared" ref="U51:AC51" si="49">U52</f>
        <v>0</v>
      </c>
      <c r="V51" s="2">
        <f t="shared" si="49"/>
        <v>2291920</v>
      </c>
      <c r="W51" s="2">
        <f t="shared" si="49"/>
        <v>2291920</v>
      </c>
      <c r="X51" s="2">
        <f t="shared" si="49"/>
        <v>0</v>
      </c>
      <c r="Y51" s="2">
        <f t="shared" si="49"/>
        <v>0</v>
      </c>
      <c r="Z51" s="2">
        <f t="shared" si="49"/>
        <v>2291920</v>
      </c>
      <c r="AA51" s="2">
        <f t="shared" si="49"/>
        <v>2291920</v>
      </c>
      <c r="AB51" s="2">
        <f t="shared" si="49"/>
        <v>0</v>
      </c>
      <c r="AC51" s="2">
        <f t="shared" si="49"/>
        <v>0</v>
      </c>
    </row>
    <row r="52" spans="1:29" ht="14.25" customHeight="1" x14ac:dyDescent="0.25">
      <c r="A52" s="300"/>
      <c r="B52" s="291" t="s">
        <v>29</v>
      </c>
      <c r="C52" s="291"/>
      <c r="D52" s="291"/>
      <c r="E52" s="173">
        <v>851</v>
      </c>
      <c r="F52" s="1" t="s">
        <v>17</v>
      </c>
      <c r="G52" s="1" t="s">
        <v>44</v>
      </c>
      <c r="H52" s="1" t="s">
        <v>743</v>
      </c>
      <c r="I52" s="1" t="s">
        <v>30</v>
      </c>
      <c r="J52" s="2"/>
      <c r="K52" s="2"/>
      <c r="L52" s="2">
        <f t="shared" ref="L52" si="50">J52+K52</f>
        <v>0</v>
      </c>
      <c r="M52" s="2"/>
      <c r="N52" s="2">
        <f t="shared" ref="N52" si="51">L52+M52</f>
        <v>0</v>
      </c>
      <c r="O52" s="2"/>
      <c r="P52" s="2">
        <f>N52+O52</f>
        <v>0</v>
      </c>
      <c r="Q52" s="2"/>
      <c r="R52" s="2"/>
      <c r="S52" s="2"/>
      <c r="T52" s="2"/>
      <c r="U52" s="2">
        <f>P52+Q52</f>
        <v>0</v>
      </c>
      <c r="V52" s="2">
        <v>2291920</v>
      </c>
      <c r="W52" s="2">
        <v>2291920</v>
      </c>
      <c r="X52" s="2"/>
      <c r="Y52" s="2"/>
      <c r="Z52" s="2">
        <f>U52+V52</f>
        <v>2291920</v>
      </c>
      <c r="AA52" s="2">
        <f>Z52</f>
        <v>2291920</v>
      </c>
      <c r="AB52" s="2"/>
      <c r="AC52" s="14"/>
    </row>
    <row r="53" spans="1:29" s="145" customFormat="1" ht="15" customHeight="1" x14ac:dyDescent="0.2">
      <c r="A53" s="343" t="s">
        <v>412</v>
      </c>
      <c r="B53" s="344"/>
      <c r="C53" s="144"/>
      <c r="D53" s="144"/>
      <c r="E53" s="173">
        <v>851</v>
      </c>
      <c r="F53" s="17" t="s">
        <v>17</v>
      </c>
      <c r="G53" s="17" t="s">
        <v>44</v>
      </c>
      <c r="H53" s="17" t="s">
        <v>413</v>
      </c>
      <c r="I53" s="17"/>
      <c r="J53" s="2">
        <f t="shared" ref="J53:Q53" si="52">J54+J56</f>
        <v>1572000</v>
      </c>
      <c r="K53" s="2">
        <f t="shared" si="52"/>
        <v>763089</v>
      </c>
      <c r="L53" s="2">
        <f t="shared" si="52"/>
        <v>2335089</v>
      </c>
      <c r="M53" s="2">
        <f t="shared" si="52"/>
        <v>0</v>
      </c>
      <c r="N53" s="2">
        <f t="shared" si="52"/>
        <v>2335089</v>
      </c>
      <c r="O53" s="2">
        <f t="shared" si="52"/>
        <v>0</v>
      </c>
      <c r="P53" s="2">
        <f t="shared" si="52"/>
        <v>2335089</v>
      </c>
      <c r="Q53" s="2">
        <f t="shared" si="52"/>
        <v>0</v>
      </c>
      <c r="R53" s="2"/>
      <c r="S53" s="2"/>
      <c r="T53" s="2"/>
      <c r="U53" s="2">
        <f>U54+U56+U58</f>
        <v>2335089</v>
      </c>
      <c r="V53" s="2">
        <f>V54+V56+V58</f>
        <v>-1415884.98</v>
      </c>
      <c r="W53" s="2">
        <f t="shared" ref="W53:AC53" si="53">W54+W56+W58</f>
        <v>0</v>
      </c>
      <c r="X53" s="2">
        <f t="shared" si="53"/>
        <v>-1415884.98</v>
      </c>
      <c r="Y53" s="2">
        <f t="shared" si="53"/>
        <v>0</v>
      </c>
      <c r="Z53" s="2">
        <f t="shared" si="53"/>
        <v>919204.02</v>
      </c>
      <c r="AA53" s="2">
        <f t="shared" si="53"/>
        <v>0</v>
      </c>
      <c r="AB53" s="2">
        <f t="shared" si="53"/>
        <v>919204.02</v>
      </c>
      <c r="AC53" s="2">
        <f t="shared" si="53"/>
        <v>0</v>
      </c>
    </row>
    <row r="54" spans="1:29" ht="15" customHeight="1" x14ac:dyDescent="0.25">
      <c r="A54" s="14"/>
      <c r="B54" s="291" t="s">
        <v>27</v>
      </c>
      <c r="C54" s="301"/>
      <c r="D54" s="301"/>
      <c r="E54" s="173">
        <v>851</v>
      </c>
      <c r="F54" s="1" t="s">
        <v>17</v>
      </c>
      <c r="G54" s="1" t="s">
        <v>44</v>
      </c>
      <c r="H54" s="17" t="s">
        <v>413</v>
      </c>
      <c r="I54" s="1" t="s">
        <v>28</v>
      </c>
      <c r="J54" s="2">
        <f t="shared" ref="J54:Q54" si="54">J55</f>
        <v>172000</v>
      </c>
      <c r="K54" s="2">
        <f t="shared" si="54"/>
        <v>0</v>
      </c>
      <c r="L54" s="2">
        <f t="shared" si="54"/>
        <v>172000</v>
      </c>
      <c r="M54" s="2">
        <f t="shared" si="54"/>
        <v>0</v>
      </c>
      <c r="N54" s="2">
        <f t="shared" si="54"/>
        <v>172000</v>
      </c>
      <c r="O54" s="2">
        <f t="shared" si="54"/>
        <v>0</v>
      </c>
      <c r="P54" s="2">
        <f t="shared" si="54"/>
        <v>172000</v>
      </c>
      <c r="Q54" s="2">
        <f t="shared" si="54"/>
        <v>2150404</v>
      </c>
      <c r="R54" s="2"/>
      <c r="S54" s="2"/>
      <c r="T54" s="2"/>
      <c r="U54" s="2">
        <f t="shared" ref="U54:AC54" si="55">U55</f>
        <v>2322404</v>
      </c>
      <c r="V54" s="2">
        <f t="shared" si="55"/>
        <v>-1449484</v>
      </c>
      <c r="W54" s="2">
        <f t="shared" si="55"/>
        <v>0</v>
      </c>
      <c r="X54" s="2">
        <f t="shared" si="55"/>
        <v>-1449484</v>
      </c>
      <c r="Y54" s="2">
        <f t="shared" si="55"/>
        <v>0</v>
      </c>
      <c r="Z54" s="2">
        <f t="shared" si="55"/>
        <v>872920</v>
      </c>
      <c r="AA54" s="2">
        <f t="shared" si="55"/>
        <v>0</v>
      </c>
      <c r="AB54" s="2">
        <f t="shared" si="55"/>
        <v>872920</v>
      </c>
      <c r="AC54" s="2">
        <f t="shared" si="55"/>
        <v>0</v>
      </c>
    </row>
    <row r="55" spans="1:29" ht="13.5" customHeight="1" x14ac:dyDescent="0.25">
      <c r="A55" s="14"/>
      <c r="B55" s="291" t="s">
        <v>29</v>
      </c>
      <c r="C55" s="291"/>
      <c r="D55" s="291"/>
      <c r="E55" s="173">
        <v>851</v>
      </c>
      <c r="F55" s="1" t="s">
        <v>17</v>
      </c>
      <c r="G55" s="1" t="s">
        <v>44</v>
      </c>
      <c r="H55" s="17" t="s">
        <v>413</v>
      </c>
      <c r="I55" s="1" t="s">
        <v>30</v>
      </c>
      <c r="J55" s="2">
        <v>172000</v>
      </c>
      <c r="K55" s="2"/>
      <c r="L55" s="2">
        <f t="shared" si="6"/>
        <v>172000</v>
      </c>
      <c r="M55" s="2"/>
      <c r="N55" s="2">
        <f t="shared" si="36"/>
        <v>172000</v>
      </c>
      <c r="O55" s="2"/>
      <c r="P55" s="2">
        <f>N55+O55</f>
        <v>172000</v>
      </c>
      <c r="Q55" s="2">
        <v>2150404</v>
      </c>
      <c r="R55" s="2"/>
      <c r="S55" s="2">
        <f>Q55</f>
        <v>2150404</v>
      </c>
      <c r="T55" s="2"/>
      <c r="U55" s="2">
        <f>P55+Q55</f>
        <v>2322404</v>
      </c>
      <c r="V55" s="2">
        <v>-1449484</v>
      </c>
      <c r="W55" s="2"/>
      <c r="X55" s="2">
        <f>V55</f>
        <v>-1449484</v>
      </c>
      <c r="Y55" s="2"/>
      <c r="Z55" s="2">
        <f t="shared" ref="Z55" si="56">U55+V55</f>
        <v>872920</v>
      </c>
      <c r="AA55" s="14"/>
      <c r="AB55" s="2">
        <f>Z55</f>
        <v>872920</v>
      </c>
      <c r="AC55" s="14"/>
    </row>
    <row r="56" spans="1:29" s="145" customFormat="1" ht="15.75" hidden="1" customHeight="1" x14ac:dyDescent="0.2">
      <c r="A56" s="301"/>
      <c r="B56" s="291" t="s">
        <v>436</v>
      </c>
      <c r="C56" s="144"/>
      <c r="D56" s="144"/>
      <c r="E56" s="173">
        <v>851</v>
      </c>
      <c r="F56" s="17" t="s">
        <v>17</v>
      </c>
      <c r="G56" s="17" t="s">
        <v>44</v>
      </c>
      <c r="H56" s="17" t="s">
        <v>413</v>
      </c>
      <c r="I56" s="17" t="s">
        <v>75</v>
      </c>
      <c r="J56" s="2">
        <f t="shared" ref="J56:Q56" si="57">J57</f>
        <v>1400000</v>
      </c>
      <c r="K56" s="2">
        <f t="shared" si="57"/>
        <v>763089</v>
      </c>
      <c r="L56" s="2">
        <f t="shared" si="57"/>
        <v>2163089</v>
      </c>
      <c r="M56" s="2">
        <f t="shared" si="57"/>
        <v>0</v>
      </c>
      <c r="N56" s="2">
        <f t="shared" si="57"/>
        <v>2163089</v>
      </c>
      <c r="O56" s="2">
        <f t="shared" si="57"/>
        <v>0</v>
      </c>
      <c r="P56" s="2">
        <f t="shared" si="57"/>
        <v>2163089</v>
      </c>
      <c r="Q56" s="2">
        <f t="shared" si="57"/>
        <v>-2150404</v>
      </c>
      <c r="R56" s="2"/>
      <c r="S56" s="2"/>
      <c r="T56" s="2"/>
      <c r="U56" s="2">
        <f t="shared" ref="U56:AC56" si="58">U57</f>
        <v>12685</v>
      </c>
      <c r="V56" s="2">
        <f t="shared" si="58"/>
        <v>0</v>
      </c>
      <c r="W56" s="2">
        <f t="shared" si="58"/>
        <v>0</v>
      </c>
      <c r="X56" s="2">
        <f t="shared" si="58"/>
        <v>0</v>
      </c>
      <c r="Y56" s="2">
        <f t="shared" si="58"/>
        <v>0</v>
      </c>
      <c r="Z56" s="2">
        <f t="shared" si="58"/>
        <v>12685</v>
      </c>
      <c r="AA56" s="2">
        <f t="shared" si="58"/>
        <v>0</v>
      </c>
      <c r="AB56" s="2">
        <f t="shared" si="58"/>
        <v>12685</v>
      </c>
      <c r="AC56" s="2">
        <f t="shared" si="58"/>
        <v>0</v>
      </c>
    </row>
    <row r="57" spans="1:29" s="145" customFormat="1" ht="27" hidden="1" customHeight="1" x14ac:dyDescent="0.2">
      <c r="A57" s="301"/>
      <c r="B57" s="291" t="s">
        <v>76</v>
      </c>
      <c r="C57" s="144"/>
      <c r="D57" s="144"/>
      <c r="E57" s="173">
        <v>851</v>
      </c>
      <c r="F57" s="17" t="s">
        <v>17</v>
      </c>
      <c r="G57" s="17" t="s">
        <v>44</v>
      </c>
      <c r="H57" s="17" t="s">
        <v>413</v>
      </c>
      <c r="I57" s="17" t="s">
        <v>77</v>
      </c>
      <c r="J57" s="20">
        <v>1400000</v>
      </c>
      <c r="K57" s="20">
        <f>12865+750224</f>
        <v>763089</v>
      </c>
      <c r="L57" s="2">
        <f t="shared" si="6"/>
        <v>2163089</v>
      </c>
      <c r="M57" s="20"/>
      <c r="N57" s="2">
        <f t="shared" si="36"/>
        <v>2163089</v>
      </c>
      <c r="O57" s="20"/>
      <c r="P57" s="2">
        <f>N57+O57</f>
        <v>2163089</v>
      </c>
      <c r="Q57" s="20">
        <v>-2150404</v>
      </c>
      <c r="R57" s="20"/>
      <c r="S57" s="20">
        <f>Q57</f>
        <v>-2150404</v>
      </c>
      <c r="T57" s="20"/>
      <c r="U57" s="2">
        <f>P57+Q57</f>
        <v>12685</v>
      </c>
      <c r="V57" s="20"/>
      <c r="W57" s="20"/>
      <c r="X57" s="20"/>
      <c r="Y57" s="20"/>
      <c r="Z57" s="2">
        <f t="shared" ref="Z57:Z59" si="59">U57+V57</f>
        <v>12685</v>
      </c>
      <c r="AA57" s="146"/>
      <c r="AB57" s="2">
        <f>Z57</f>
        <v>12685</v>
      </c>
      <c r="AC57" s="146"/>
    </row>
    <row r="58" spans="1:29" s="145" customFormat="1" ht="27" customHeight="1" x14ac:dyDescent="0.2">
      <c r="A58" s="301"/>
      <c r="B58" s="170" t="s">
        <v>90</v>
      </c>
      <c r="C58" s="144"/>
      <c r="D58" s="144"/>
      <c r="E58" s="173">
        <v>851</v>
      </c>
      <c r="F58" s="17" t="s">
        <v>17</v>
      </c>
      <c r="G58" s="17" t="s">
        <v>44</v>
      </c>
      <c r="H58" s="17" t="s">
        <v>413</v>
      </c>
      <c r="I58" s="17" t="s">
        <v>86</v>
      </c>
      <c r="J58" s="20"/>
      <c r="K58" s="20"/>
      <c r="L58" s="2"/>
      <c r="M58" s="20"/>
      <c r="N58" s="2"/>
      <c r="O58" s="20"/>
      <c r="P58" s="2"/>
      <c r="Q58" s="20"/>
      <c r="R58" s="20"/>
      <c r="S58" s="20"/>
      <c r="T58" s="20"/>
      <c r="U58" s="2">
        <f>U59</f>
        <v>0</v>
      </c>
      <c r="V58" s="2">
        <f t="shared" ref="V58:AC58" si="60">V59</f>
        <v>33599.019999999997</v>
      </c>
      <c r="W58" s="2">
        <f t="shared" si="60"/>
        <v>0</v>
      </c>
      <c r="X58" s="2">
        <f t="shared" si="60"/>
        <v>33599.019999999997</v>
      </c>
      <c r="Y58" s="2">
        <f t="shared" si="60"/>
        <v>0</v>
      </c>
      <c r="Z58" s="2">
        <f t="shared" si="60"/>
        <v>33599.019999999997</v>
      </c>
      <c r="AA58" s="2">
        <f t="shared" si="60"/>
        <v>0</v>
      </c>
      <c r="AB58" s="2">
        <f t="shared" si="60"/>
        <v>33599.019999999997</v>
      </c>
      <c r="AC58" s="2">
        <f t="shared" si="60"/>
        <v>0</v>
      </c>
    </row>
    <row r="59" spans="1:29" s="145" customFormat="1" ht="33" customHeight="1" x14ac:dyDescent="0.2">
      <c r="A59" s="301"/>
      <c r="B59" s="291" t="s">
        <v>87</v>
      </c>
      <c r="C59" s="144"/>
      <c r="D59" s="144"/>
      <c r="E59" s="173">
        <v>851</v>
      </c>
      <c r="F59" s="17" t="s">
        <v>17</v>
      </c>
      <c r="G59" s="17" t="s">
        <v>44</v>
      </c>
      <c r="H59" s="17" t="s">
        <v>413</v>
      </c>
      <c r="I59" s="17" t="s">
        <v>88</v>
      </c>
      <c r="J59" s="20"/>
      <c r="K59" s="20"/>
      <c r="L59" s="2"/>
      <c r="M59" s="20"/>
      <c r="N59" s="2"/>
      <c r="O59" s="20"/>
      <c r="P59" s="2"/>
      <c r="Q59" s="20"/>
      <c r="R59" s="20"/>
      <c r="S59" s="20"/>
      <c r="T59" s="20"/>
      <c r="U59" s="2"/>
      <c r="V59" s="20">
        <v>33599.019999999997</v>
      </c>
      <c r="W59" s="20"/>
      <c r="X59" s="2">
        <f>V59</f>
        <v>33599.019999999997</v>
      </c>
      <c r="Y59" s="20"/>
      <c r="Z59" s="2">
        <f t="shared" si="59"/>
        <v>33599.019999999997</v>
      </c>
      <c r="AA59" s="146"/>
      <c r="AB59" s="2">
        <f>Z59</f>
        <v>33599.019999999997</v>
      </c>
      <c r="AC59" s="146"/>
    </row>
    <row r="60" spans="1:29" ht="24.75" customHeight="1" x14ac:dyDescent="0.25">
      <c r="A60" s="324" t="s">
        <v>47</v>
      </c>
      <c r="B60" s="324"/>
      <c r="C60" s="291"/>
      <c r="D60" s="291"/>
      <c r="E60" s="173">
        <v>851</v>
      </c>
      <c r="F60" s="1" t="s">
        <v>17</v>
      </c>
      <c r="G60" s="1" t="s">
        <v>44</v>
      </c>
      <c r="H60" s="62" t="s">
        <v>48</v>
      </c>
      <c r="I60" s="1"/>
      <c r="J60" s="2">
        <f t="shared" ref="J60:Q61" si="61">J61</f>
        <v>2000000</v>
      </c>
      <c r="K60" s="2">
        <f t="shared" si="61"/>
        <v>39999</v>
      </c>
      <c r="L60" s="2">
        <f t="shared" si="61"/>
        <v>2039999</v>
      </c>
      <c r="M60" s="2">
        <f t="shared" si="61"/>
        <v>0</v>
      </c>
      <c r="N60" s="2">
        <f t="shared" si="61"/>
        <v>2039999</v>
      </c>
      <c r="O60" s="2">
        <f t="shared" si="61"/>
        <v>0</v>
      </c>
      <c r="P60" s="2">
        <f t="shared" si="61"/>
        <v>2039999</v>
      </c>
      <c r="Q60" s="2">
        <f t="shared" si="61"/>
        <v>243839</v>
      </c>
      <c r="R60" s="2"/>
      <c r="S60" s="2"/>
      <c r="T60" s="2"/>
      <c r="U60" s="2">
        <f t="shared" ref="U60:AC61" si="62">U61</f>
        <v>2283838</v>
      </c>
      <c r="V60" s="2">
        <f t="shared" si="62"/>
        <v>-32536.39</v>
      </c>
      <c r="W60" s="2">
        <f t="shared" si="62"/>
        <v>0</v>
      </c>
      <c r="X60" s="2">
        <f t="shared" si="62"/>
        <v>-32536.39</v>
      </c>
      <c r="Y60" s="2">
        <f t="shared" si="62"/>
        <v>0</v>
      </c>
      <c r="Z60" s="2">
        <f t="shared" si="62"/>
        <v>2251301.61</v>
      </c>
      <c r="AA60" s="2">
        <f t="shared" si="62"/>
        <v>0</v>
      </c>
      <c r="AB60" s="2">
        <f t="shared" si="62"/>
        <v>2251301.61</v>
      </c>
      <c r="AC60" s="2">
        <f t="shared" si="62"/>
        <v>0</v>
      </c>
    </row>
    <row r="61" spans="1:29" ht="15" customHeight="1" x14ac:dyDescent="0.25">
      <c r="A61" s="14"/>
      <c r="B61" s="291" t="s">
        <v>27</v>
      </c>
      <c r="C61" s="301"/>
      <c r="D61" s="301"/>
      <c r="E61" s="173">
        <v>851</v>
      </c>
      <c r="F61" s="1" t="s">
        <v>17</v>
      </c>
      <c r="G61" s="17" t="s">
        <v>44</v>
      </c>
      <c r="H61" s="62" t="s">
        <v>48</v>
      </c>
      <c r="I61" s="1" t="s">
        <v>28</v>
      </c>
      <c r="J61" s="2">
        <f t="shared" si="61"/>
        <v>2000000</v>
      </c>
      <c r="K61" s="2">
        <f t="shared" si="61"/>
        <v>39999</v>
      </c>
      <c r="L61" s="2">
        <f t="shared" si="61"/>
        <v>2039999</v>
      </c>
      <c r="M61" s="2">
        <f t="shared" si="61"/>
        <v>0</v>
      </c>
      <c r="N61" s="2">
        <f t="shared" si="61"/>
        <v>2039999</v>
      </c>
      <c r="O61" s="2">
        <f t="shared" si="61"/>
        <v>0</v>
      </c>
      <c r="P61" s="2">
        <f t="shared" si="61"/>
        <v>2039999</v>
      </c>
      <c r="Q61" s="2">
        <f t="shared" si="61"/>
        <v>243839</v>
      </c>
      <c r="R61" s="2"/>
      <c r="S61" s="2"/>
      <c r="T61" s="2"/>
      <c r="U61" s="2">
        <f t="shared" si="62"/>
        <v>2283838</v>
      </c>
      <c r="V61" s="2">
        <f t="shared" si="62"/>
        <v>-32536.39</v>
      </c>
      <c r="W61" s="2">
        <f t="shared" si="62"/>
        <v>0</v>
      </c>
      <c r="X61" s="2">
        <f t="shared" si="62"/>
        <v>-32536.39</v>
      </c>
      <c r="Y61" s="2">
        <f t="shared" si="62"/>
        <v>0</v>
      </c>
      <c r="Z61" s="2">
        <f t="shared" si="62"/>
        <v>2251301.61</v>
      </c>
      <c r="AA61" s="2">
        <f t="shared" si="62"/>
        <v>0</v>
      </c>
      <c r="AB61" s="2">
        <f t="shared" si="62"/>
        <v>2251301.61</v>
      </c>
      <c r="AC61" s="2">
        <f t="shared" si="62"/>
        <v>0</v>
      </c>
    </row>
    <row r="62" spans="1:29" ht="15" customHeight="1" x14ac:dyDescent="0.25">
      <c r="A62" s="14"/>
      <c r="B62" s="291" t="s">
        <v>29</v>
      </c>
      <c r="C62" s="291"/>
      <c r="D62" s="291"/>
      <c r="E62" s="173">
        <v>851</v>
      </c>
      <c r="F62" s="1" t="s">
        <v>17</v>
      </c>
      <c r="G62" s="17" t="s">
        <v>44</v>
      </c>
      <c r="H62" s="62" t="s">
        <v>48</v>
      </c>
      <c r="I62" s="1" t="s">
        <v>30</v>
      </c>
      <c r="J62" s="2">
        <v>2000000</v>
      </c>
      <c r="K62" s="278">
        <v>39999</v>
      </c>
      <c r="L62" s="2">
        <f t="shared" si="6"/>
        <v>2039999</v>
      </c>
      <c r="M62" s="278"/>
      <c r="N62" s="2">
        <f t="shared" si="36"/>
        <v>2039999</v>
      </c>
      <c r="O62" s="278"/>
      <c r="P62" s="2">
        <f>N62+O62</f>
        <v>2039999</v>
      </c>
      <c r="Q62" s="278">
        <f>107000+136839</f>
        <v>243839</v>
      </c>
      <c r="R62" s="278"/>
      <c r="S62" s="2">
        <f>Q62</f>
        <v>243839</v>
      </c>
      <c r="T62" s="278"/>
      <c r="U62" s="2">
        <f>P62+Q62</f>
        <v>2283838</v>
      </c>
      <c r="V62" s="2">
        <v>-32536.39</v>
      </c>
      <c r="W62" s="278"/>
      <c r="X62" s="2">
        <f>V62</f>
        <v>-32536.39</v>
      </c>
      <c r="Y62" s="278"/>
      <c r="Z62" s="2">
        <f t="shared" ref="Z62" si="63">U62+V62</f>
        <v>2251301.61</v>
      </c>
      <c r="AA62" s="14"/>
      <c r="AB62" s="2">
        <f>Z62</f>
        <v>2251301.61</v>
      </c>
      <c r="AC62" s="14"/>
    </row>
    <row r="63" spans="1:29" ht="15" hidden="1" customHeight="1" x14ac:dyDescent="0.25">
      <c r="A63" s="324" t="s">
        <v>49</v>
      </c>
      <c r="B63" s="324"/>
      <c r="C63" s="291"/>
      <c r="D63" s="291"/>
      <c r="E63" s="173">
        <v>851</v>
      </c>
      <c r="F63" s="1" t="s">
        <v>17</v>
      </c>
      <c r="G63" s="17" t="s">
        <v>44</v>
      </c>
      <c r="H63" s="62" t="s">
        <v>50</v>
      </c>
      <c r="I63" s="1"/>
      <c r="J63" s="2">
        <f t="shared" ref="J63:Q64" si="64">J64</f>
        <v>300000</v>
      </c>
      <c r="K63" s="2">
        <f t="shared" si="64"/>
        <v>0</v>
      </c>
      <c r="L63" s="2">
        <f t="shared" si="64"/>
        <v>300000</v>
      </c>
      <c r="M63" s="2">
        <f t="shared" si="64"/>
        <v>0</v>
      </c>
      <c r="N63" s="2">
        <f t="shared" si="64"/>
        <v>300000</v>
      </c>
      <c r="O63" s="2">
        <f t="shared" si="64"/>
        <v>0</v>
      </c>
      <c r="P63" s="2">
        <f t="shared" si="64"/>
        <v>300000</v>
      </c>
      <c r="Q63" s="2">
        <f t="shared" si="64"/>
        <v>-258323</v>
      </c>
      <c r="R63" s="2"/>
      <c r="S63" s="2"/>
      <c r="T63" s="2"/>
      <c r="U63" s="2">
        <f t="shared" ref="U63:AC64" si="65">U64</f>
        <v>41677</v>
      </c>
      <c r="V63" s="2">
        <f t="shared" si="65"/>
        <v>0</v>
      </c>
      <c r="W63" s="2">
        <f t="shared" si="65"/>
        <v>0</v>
      </c>
      <c r="X63" s="2">
        <f t="shared" si="65"/>
        <v>0</v>
      </c>
      <c r="Y63" s="2">
        <f t="shared" si="65"/>
        <v>0</v>
      </c>
      <c r="Z63" s="2">
        <f t="shared" si="65"/>
        <v>41677</v>
      </c>
      <c r="AA63" s="2">
        <f t="shared" si="65"/>
        <v>0</v>
      </c>
      <c r="AB63" s="2">
        <f t="shared" si="65"/>
        <v>41677</v>
      </c>
      <c r="AC63" s="2">
        <f t="shared" si="65"/>
        <v>0</v>
      </c>
    </row>
    <row r="64" spans="1:29" ht="13.5" hidden="1" customHeight="1" x14ac:dyDescent="0.25">
      <c r="A64" s="14"/>
      <c r="B64" s="291" t="s">
        <v>27</v>
      </c>
      <c r="C64" s="301"/>
      <c r="D64" s="301"/>
      <c r="E64" s="173">
        <v>851</v>
      </c>
      <c r="F64" s="1" t="s">
        <v>17</v>
      </c>
      <c r="G64" s="17" t="s">
        <v>44</v>
      </c>
      <c r="H64" s="62" t="s">
        <v>50</v>
      </c>
      <c r="I64" s="1" t="s">
        <v>28</v>
      </c>
      <c r="J64" s="2">
        <f t="shared" si="64"/>
        <v>300000</v>
      </c>
      <c r="K64" s="2">
        <f t="shared" si="64"/>
        <v>0</v>
      </c>
      <c r="L64" s="2">
        <f t="shared" si="64"/>
        <v>300000</v>
      </c>
      <c r="M64" s="2">
        <f t="shared" si="64"/>
        <v>0</v>
      </c>
      <c r="N64" s="2">
        <f t="shared" si="64"/>
        <v>300000</v>
      </c>
      <c r="O64" s="2">
        <f t="shared" si="64"/>
        <v>0</v>
      </c>
      <c r="P64" s="2">
        <f t="shared" si="64"/>
        <v>300000</v>
      </c>
      <c r="Q64" s="2">
        <f t="shared" si="64"/>
        <v>-258323</v>
      </c>
      <c r="R64" s="2"/>
      <c r="S64" s="2"/>
      <c r="T64" s="2"/>
      <c r="U64" s="2">
        <f t="shared" si="65"/>
        <v>41677</v>
      </c>
      <c r="V64" s="2">
        <f t="shared" si="65"/>
        <v>0</v>
      </c>
      <c r="W64" s="2">
        <f t="shared" si="65"/>
        <v>0</v>
      </c>
      <c r="X64" s="2">
        <f t="shared" si="65"/>
        <v>0</v>
      </c>
      <c r="Y64" s="2">
        <f t="shared" si="65"/>
        <v>0</v>
      </c>
      <c r="Z64" s="2">
        <f t="shared" si="65"/>
        <v>41677</v>
      </c>
      <c r="AA64" s="2">
        <f t="shared" si="65"/>
        <v>0</v>
      </c>
      <c r="AB64" s="2">
        <f t="shared" si="65"/>
        <v>41677</v>
      </c>
      <c r="AC64" s="2">
        <f t="shared" si="65"/>
        <v>0</v>
      </c>
    </row>
    <row r="65" spans="1:29" ht="24.75" hidden="1" customHeight="1" x14ac:dyDescent="0.25">
      <c r="A65" s="14"/>
      <c r="B65" s="291" t="s">
        <v>29</v>
      </c>
      <c r="C65" s="291"/>
      <c r="D65" s="291"/>
      <c r="E65" s="173">
        <v>851</v>
      </c>
      <c r="F65" s="1" t="s">
        <v>17</v>
      </c>
      <c r="G65" s="17" t="s">
        <v>44</v>
      </c>
      <c r="H65" s="62" t="s">
        <v>50</v>
      </c>
      <c r="I65" s="1" t="s">
        <v>30</v>
      </c>
      <c r="J65" s="2">
        <v>300000</v>
      </c>
      <c r="K65" s="2"/>
      <c r="L65" s="2">
        <f t="shared" si="6"/>
        <v>300000</v>
      </c>
      <c r="M65" s="2"/>
      <c r="N65" s="2">
        <f t="shared" si="36"/>
        <v>300000</v>
      </c>
      <c r="O65" s="2"/>
      <c r="P65" s="2">
        <f>N65+O65</f>
        <v>300000</v>
      </c>
      <c r="Q65" s="2">
        <v>-258323</v>
      </c>
      <c r="R65" s="2"/>
      <c r="S65" s="2">
        <f>Q65</f>
        <v>-258323</v>
      </c>
      <c r="T65" s="2"/>
      <c r="U65" s="2">
        <f>P65+Q65</f>
        <v>41677</v>
      </c>
      <c r="V65" s="2"/>
      <c r="W65" s="2"/>
      <c r="X65" s="2">
        <f>V65</f>
        <v>0</v>
      </c>
      <c r="Y65" s="2"/>
      <c r="Z65" s="2">
        <f t="shared" ref="Z65" si="66">U65+V65</f>
        <v>41677</v>
      </c>
      <c r="AA65" s="14"/>
      <c r="AB65" s="2">
        <f>Z65</f>
        <v>41677</v>
      </c>
      <c r="AC65" s="14"/>
    </row>
    <row r="66" spans="1:29" ht="24.75" hidden="1" customHeight="1" x14ac:dyDescent="0.25">
      <c r="A66" s="330" t="s">
        <v>644</v>
      </c>
      <c r="B66" s="331"/>
      <c r="C66" s="291"/>
      <c r="D66" s="39"/>
      <c r="E66" s="173">
        <v>851</v>
      </c>
      <c r="F66" s="17" t="s">
        <v>17</v>
      </c>
      <c r="G66" s="101" t="s">
        <v>44</v>
      </c>
      <c r="H66" s="80" t="s">
        <v>645</v>
      </c>
      <c r="I66" s="17"/>
      <c r="J66" s="2"/>
      <c r="K66" s="2"/>
      <c r="L66" s="2">
        <f>L69</f>
        <v>0</v>
      </c>
      <c r="M66" s="2">
        <f>M69</f>
        <v>0</v>
      </c>
      <c r="N66" s="2">
        <f>N69</f>
        <v>0</v>
      </c>
      <c r="O66" s="2">
        <f>O69</f>
        <v>1200000</v>
      </c>
      <c r="P66" s="2">
        <f>P69+P67</f>
        <v>1200000</v>
      </c>
      <c r="Q66" s="2">
        <f t="shared" ref="Q66:AC66" si="67">Q69+Q67</f>
        <v>0</v>
      </c>
      <c r="R66" s="2"/>
      <c r="S66" s="2"/>
      <c r="T66" s="2"/>
      <c r="U66" s="2">
        <f t="shared" si="67"/>
        <v>1200000</v>
      </c>
      <c r="V66" s="2">
        <f t="shared" si="67"/>
        <v>0</v>
      </c>
      <c r="W66" s="2">
        <f t="shared" si="67"/>
        <v>0</v>
      </c>
      <c r="X66" s="2">
        <f t="shared" si="67"/>
        <v>0</v>
      </c>
      <c r="Y66" s="2">
        <f t="shared" si="67"/>
        <v>0</v>
      </c>
      <c r="Z66" s="2">
        <f t="shared" si="67"/>
        <v>1200000</v>
      </c>
      <c r="AA66" s="2">
        <f t="shared" si="67"/>
        <v>1200000</v>
      </c>
      <c r="AB66" s="2">
        <f t="shared" si="67"/>
        <v>0</v>
      </c>
      <c r="AC66" s="2">
        <f t="shared" si="67"/>
        <v>0</v>
      </c>
    </row>
    <row r="67" spans="1:29" ht="24.75" hidden="1" customHeight="1" x14ac:dyDescent="0.25">
      <c r="A67" s="296"/>
      <c r="B67" s="291" t="s">
        <v>27</v>
      </c>
      <c r="C67" s="291"/>
      <c r="D67" s="39"/>
      <c r="E67" s="173">
        <v>851</v>
      </c>
      <c r="F67" s="17" t="s">
        <v>17</v>
      </c>
      <c r="G67" s="17" t="s">
        <v>44</v>
      </c>
      <c r="H67" s="80" t="s">
        <v>645</v>
      </c>
      <c r="I67" s="17" t="s">
        <v>28</v>
      </c>
      <c r="J67" s="2"/>
      <c r="K67" s="2"/>
      <c r="L67" s="2"/>
      <c r="M67" s="2"/>
      <c r="N67" s="2"/>
      <c r="O67" s="2"/>
      <c r="P67" s="2">
        <f t="shared" ref="O67:AC69" si="68">P68</f>
        <v>0</v>
      </c>
      <c r="Q67" s="2">
        <f t="shared" si="68"/>
        <v>1200000</v>
      </c>
      <c r="R67" s="2"/>
      <c r="S67" s="2"/>
      <c r="T67" s="2"/>
      <c r="U67" s="2">
        <f t="shared" si="68"/>
        <v>1200000</v>
      </c>
      <c r="V67" s="2">
        <f t="shared" si="68"/>
        <v>0</v>
      </c>
      <c r="W67" s="2">
        <f t="shared" si="68"/>
        <v>0</v>
      </c>
      <c r="X67" s="2">
        <f t="shared" si="68"/>
        <v>0</v>
      </c>
      <c r="Y67" s="2">
        <f t="shared" si="68"/>
        <v>0</v>
      </c>
      <c r="Z67" s="2">
        <f t="shared" si="68"/>
        <v>1200000</v>
      </c>
      <c r="AA67" s="2">
        <f t="shared" si="68"/>
        <v>1200000</v>
      </c>
      <c r="AB67" s="2">
        <f t="shared" si="68"/>
        <v>0</v>
      </c>
      <c r="AC67" s="2">
        <f t="shared" si="68"/>
        <v>0</v>
      </c>
    </row>
    <row r="68" spans="1:29" ht="24.75" hidden="1" customHeight="1" x14ac:dyDescent="0.25">
      <c r="A68" s="296"/>
      <c r="B68" s="291" t="s">
        <v>29</v>
      </c>
      <c r="C68" s="291"/>
      <c r="D68" s="39"/>
      <c r="E68" s="173">
        <v>851</v>
      </c>
      <c r="F68" s="17" t="s">
        <v>17</v>
      </c>
      <c r="G68" s="17" t="s">
        <v>44</v>
      </c>
      <c r="H68" s="80" t="s">
        <v>645</v>
      </c>
      <c r="I68" s="17" t="s">
        <v>30</v>
      </c>
      <c r="J68" s="2"/>
      <c r="K68" s="2"/>
      <c r="L68" s="2"/>
      <c r="M68" s="2"/>
      <c r="N68" s="2"/>
      <c r="O68" s="2"/>
      <c r="P68" s="2">
        <f>N68+O68</f>
        <v>0</v>
      </c>
      <c r="Q68" s="2">
        <v>1200000</v>
      </c>
      <c r="R68" s="2">
        <v>1200000</v>
      </c>
      <c r="S68" s="2"/>
      <c r="T68" s="2"/>
      <c r="U68" s="2">
        <f>P68+Q68</f>
        <v>1200000</v>
      </c>
      <c r="V68" s="2"/>
      <c r="W68" s="2"/>
      <c r="X68" s="2">
        <f>V68</f>
        <v>0</v>
      </c>
      <c r="Y68" s="2"/>
      <c r="Z68" s="2">
        <f>U68+V68</f>
        <v>1200000</v>
      </c>
      <c r="AA68" s="2">
        <f>Z68</f>
        <v>1200000</v>
      </c>
      <c r="AB68" s="14"/>
      <c r="AC68" s="14"/>
    </row>
    <row r="69" spans="1:29" ht="24.75" hidden="1" customHeight="1" x14ac:dyDescent="0.2">
      <c r="A69" s="300"/>
      <c r="B69" s="291" t="s">
        <v>436</v>
      </c>
      <c r="C69" s="144"/>
      <c r="D69" s="144"/>
      <c r="E69" s="173">
        <v>851</v>
      </c>
      <c r="F69" s="17" t="s">
        <v>17</v>
      </c>
      <c r="G69" s="17" t="s">
        <v>44</v>
      </c>
      <c r="H69" s="80" t="s">
        <v>645</v>
      </c>
      <c r="I69" s="17" t="s">
        <v>75</v>
      </c>
      <c r="J69" s="2"/>
      <c r="K69" s="2"/>
      <c r="L69" s="2">
        <f>L70</f>
        <v>0</v>
      </c>
      <c r="M69" s="2">
        <f t="shared" ref="M69:N69" si="69">M70</f>
        <v>0</v>
      </c>
      <c r="N69" s="2">
        <f t="shared" si="69"/>
        <v>0</v>
      </c>
      <c r="O69" s="2">
        <f t="shared" si="68"/>
        <v>1200000</v>
      </c>
      <c r="P69" s="2">
        <f t="shared" si="68"/>
        <v>1200000</v>
      </c>
      <c r="Q69" s="2">
        <f t="shared" si="68"/>
        <v>-1200000</v>
      </c>
      <c r="R69" s="2"/>
      <c r="S69" s="2"/>
      <c r="T69" s="2"/>
      <c r="U69" s="2">
        <f t="shared" si="68"/>
        <v>0</v>
      </c>
      <c r="V69" s="2">
        <f t="shared" si="68"/>
        <v>0</v>
      </c>
      <c r="W69" s="2"/>
      <c r="X69" s="2"/>
      <c r="Y69" s="2"/>
      <c r="Z69" s="2">
        <f t="shared" ref="Z69" si="70">Z70</f>
        <v>0</v>
      </c>
      <c r="AA69" s="14"/>
      <c r="AB69" s="14"/>
      <c r="AC69" s="14"/>
    </row>
    <row r="70" spans="1:29" ht="24.75" hidden="1" customHeight="1" x14ac:dyDescent="0.2">
      <c r="A70" s="300"/>
      <c r="B70" s="291" t="s">
        <v>76</v>
      </c>
      <c r="C70" s="144"/>
      <c r="D70" s="144"/>
      <c r="E70" s="173">
        <v>851</v>
      </c>
      <c r="F70" s="17" t="s">
        <v>17</v>
      </c>
      <c r="G70" s="17" t="s">
        <v>44</v>
      </c>
      <c r="H70" s="80" t="s">
        <v>645</v>
      </c>
      <c r="I70" s="17" t="s">
        <v>77</v>
      </c>
      <c r="J70" s="2"/>
      <c r="K70" s="2"/>
      <c r="L70" s="2"/>
      <c r="M70" s="2"/>
      <c r="N70" s="2">
        <f>L70+M70</f>
        <v>0</v>
      </c>
      <c r="O70" s="2">
        <v>1200000</v>
      </c>
      <c r="P70" s="2">
        <f>N70+O70</f>
        <v>1200000</v>
      </c>
      <c r="Q70" s="2">
        <v>-1200000</v>
      </c>
      <c r="R70" s="2">
        <v>-1200000</v>
      </c>
      <c r="S70" s="2"/>
      <c r="T70" s="2"/>
      <c r="U70" s="2">
        <f>P70+Q70</f>
        <v>0</v>
      </c>
      <c r="V70" s="2"/>
      <c r="W70" s="2"/>
      <c r="X70" s="2">
        <f>V69</f>
        <v>0</v>
      </c>
      <c r="Y70" s="2"/>
      <c r="Z70" s="2">
        <f>U70+V70</f>
        <v>0</v>
      </c>
      <c r="AA70" s="2">
        <f>Z70</f>
        <v>0</v>
      </c>
      <c r="AB70" s="14"/>
      <c r="AC70" s="14"/>
    </row>
    <row r="71" spans="1:29" s="9" customFormat="1" ht="14.25" customHeight="1" x14ac:dyDescent="0.25">
      <c r="A71" s="325" t="s">
        <v>147</v>
      </c>
      <c r="B71" s="325"/>
      <c r="C71" s="292"/>
      <c r="D71" s="28"/>
      <c r="E71" s="27">
        <v>851</v>
      </c>
      <c r="F71" s="6" t="s">
        <v>72</v>
      </c>
      <c r="G71" s="6"/>
      <c r="H71" s="6"/>
      <c r="I71" s="6"/>
      <c r="J71" s="7">
        <f t="shared" ref="J71:Y72" si="71">J72</f>
        <v>428902</v>
      </c>
      <c r="K71" s="7">
        <f t="shared" si="71"/>
        <v>0</v>
      </c>
      <c r="L71" s="7">
        <f t="shared" si="71"/>
        <v>428902</v>
      </c>
      <c r="M71" s="7">
        <f t="shared" si="71"/>
        <v>-39699</v>
      </c>
      <c r="N71" s="7">
        <f t="shared" si="71"/>
        <v>389203</v>
      </c>
      <c r="O71" s="7">
        <f t="shared" si="71"/>
        <v>0</v>
      </c>
      <c r="P71" s="7">
        <f t="shared" si="71"/>
        <v>389203</v>
      </c>
      <c r="Q71" s="7">
        <f t="shared" si="71"/>
        <v>0</v>
      </c>
      <c r="R71" s="7"/>
      <c r="S71" s="7"/>
      <c r="T71" s="7"/>
      <c r="U71" s="7">
        <f t="shared" si="71"/>
        <v>389203</v>
      </c>
      <c r="V71" s="7">
        <f t="shared" si="71"/>
        <v>43242</v>
      </c>
      <c r="W71" s="7">
        <f t="shared" si="71"/>
        <v>0</v>
      </c>
      <c r="X71" s="7">
        <f t="shared" si="71"/>
        <v>0</v>
      </c>
      <c r="Y71" s="7">
        <f t="shared" si="71"/>
        <v>43242</v>
      </c>
      <c r="Z71" s="7">
        <f t="shared" ref="Z71:AC72" si="72">Z72</f>
        <v>432445</v>
      </c>
      <c r="AA71" s="7">
        <f t="shared" si="72"/>
        <v>0</v>
      </c>
      <c r="AB71" s="7">
        <f t="shared" si="72"/>
        <v>0</v>
      </c>
      <c r="AC71" s="7">
        <f t="shared" si="72"/>
        <v>432445</v>
      </c>
    </row>
    <row r="72" spans="1:29" s="30" customFormat="1" ht="14.25" customHeight="1" x14ac:dyDescent="0.25">
      <c r="A72" s="345" t="s">
        <v>148</v>
      </c>
      <c r="B72" s="345"/>
      <c r="C72" s="304"/>
      <c r="D72" s="29"/>
      <c r="E72" s="27">
        <v>851</v>
      </c>
      <c r="F72" s="10" t="s">
        <v>72</v>
      </c>
      <c r="G72" s="10" t="s">
        <v>3</v>
      </c>
      <c r="H72" s="10"/>
      <c r="I72" s="10"/>
      <c r="J72" s="11">
        <f t="shared" si="71"/>
        <v>428902</v>
      </c>
      <c r="K72" s="11">
        <f t="shared" si="71"/>
        <v>0</v>
      </c>
      <c r="L72" s="11">
        <f t="shared" si="71"/>
        <v>428902</v>
      </c>
      <c r="M72" s="11">
        <f t="shared" si="71"/>
        <v>-39699</v>
      </c>
      <c r="N72" s="11">
        <f t="shared" si="71"/>
        <v>389203</v>
      </c>
      <c r="O72" s="11">
        <f t="shared" si="71"/>
        <v>0</v>
      </c>
      <c r="P72" s="11">
        <f t="shared" si="71"/>
        <v>389203</v>
      </c>
      <c r="Q72" s="11">
        <f t="shared" si="71"/>
        <v>0</v>
      </c>
      <c r="R72" s="11"/>
      <c r="S72" s="11"/>
      <c r="T72" s="11"/>
      <c r="U72" s="11">
        <f t="shared" si="71"/>
        <v>389203</v>
      </c>
      <c r="V72" s="11">
        <f t="shared" si="71"/>
        <v>43242</v>
      </c>
      <c r="W72" s="11">
        <f t="shared" si="71"/>
        <v>0</v>
      </c>
      <c r="X72" s="11">
        <f t="shared" si="71"/>
        <v>0</v>
      </c>
      <c r="Y72" s="11">
        <f t="shared" si="71"/>
        <v>43242</v>
      </c>
      <c r="Z72" s="11">
        <f t="shared" si="72"/>
        <v>432445</v>
      </c>
      <c r="AA72" s="11">
        <f t="shared" si="72"/>
        <v>0</v>
      </c>
      <c r="AB72" s="11">
        <f t="shared" si="72"/>
        <v>0</v>
      </c>
      <c r="AC72" s="11">
        <f t="shared" si="72"/>
        <v>432445</v>
      </c>
    </row>
    <row r="73" spans="1:29" s="22" customFormat="1" ht="34.5" customHeight="1" x14ac:dyDescent="0.25">
      <c r="A73" s="324" t="s">
        <v>490</v>
      </c>
      <c r="B73" s="324"/>
      <c r="C73" s="301"/>
      <c r="E73" s="27">
        <v>851</v>
      </c>
      <c r="F73" s="113" t="s">
        <v>72</v>
      </c>
      <c r="G73" s="113" t="s">
        <v>3</v>
      </c>
      <c r="H73" s="113" t="s">
        <v>430</v>
      </c>
      <c r="I73" s="139" t="s">
        <v>149</v>
      </c>
      <c r="J73" s="2">
        <f t="shared" ref="J73:Q73" si="73">J74+J77</f>
        <v>428902</v>
      </c>
      <c r="K73" s="2">
        <f t="shared" si="73"/>
        <v>0</v>
      </c>
      <c r="L73" s="2">
        <f t="shared" si="73"/>
        <v>428902</v>
      </c>
      <c r="M73" s="2">
        <f t="shared" si="73"/>
        <v>-39699</v>
      </c>
      <c r="N73" s="2">
        <f t="shared" si="73"/>
        <v>389203</v>
      </c>
      <c r="O73" s="2">
        <f t="shared" si="73"/>
        <v>0</v>
      </c>
      <c r="P73" s="2">
        <f t="shared" si="73"/>
        <v>389203</v>
      </c>
      <c r="Q73" s="2">
        <f t="shared" si="73"/>
        <v>0</v>
      </c>
      <c r="R73" s="2"/>
      <c r="S73" s="2"/>
      <c r="T73" s="2"/>
      <c r="U73" s="2">
        <f t="shared" ref="U73:AC73" si="74">U74+U77</f>
        <v>389203</v>
      </c>
      <c r="V73" s="2">
        <f t="shared" si="74"/>
        <v>43242</v>
      </c>
      <c r="W73" s="2">
        <f t="shared" si="74"/>
        <v>0</v>
      </c>
      <c r="X73" s="2">
        <f t="shared" si="74"/>
        <v>0</v>
      </c>
      <c r="Y73" s="2">
        <f t="shared" si="74"/>
        <v>43242</v>
      </c>
      <c r="Z73" s="2">
        <f t="shared" si="74"/>
        <v>432445</v>
      </c>
      <c r="AA73" s="2">
        <f t="shared" si="74"/>
        <v>0</v>
      </c>
      <c r="AB73" s="2">
        <f t="shared" si="74"/>
        <v>0</v>
      </c>
      <c r="AC73" s="2">
        <f t="shared" si="74"/>
        <v>432445</v>
      </c>
    </row>
    <row r="74" spans="1:29" ht="36" customHeight="1" x14ac:dyDescent="0.25">
      <c r="A74" s="14"/>
      <c r="B74" s="301" t="s">
        <v>21</v>
      </c>
      <c r="C74" s="173"/>
      <c r="D74" s="173"/>
      <c r="E74" s="173">
        <v>851</v>
      </c>
      <c r="F74" s="1" t="s">
        <v>72</v>
      </c>
      <c r="G74" s="1" t="s">
        <v>3</v>
      </c>
      <c r="H74" s="113" t="s">
        <v>430</v>
      </c>
      <c r="I74" s="1" t="s">
        <v>23</v>
      </c>
      <c r="J74" s="2">
        <f t="shared" ref="J74:Q74" si="75">J75</f>
        <v>379160</v>
      </c>
      <c r="K74" s="2">
        <f t="shared" si="75"/>
        <v>0</v>
      </c>
      <c r="L74" s="2">
        <f t="shared" si="75"/>
        <v>379160</v>
      </c>
      <c r="M74" s="2">
        <f t="shared" si="75"/>
        <v>0</v>
      </c>
      <c r="N74" s="2">
        <f t="shared" si="75"/>
        <v>379160</v>
      </c>
      <c r="O74" s="2">
        <f t="shared" si="75"/>
        <v>0</v>
      </c>
      <c r="P74" s="2">
        <f t="shared" si="75"/>
        <v>379160</v>
      </c>
      <c r="Q74" s="2">
        <f t="shared" si="75"/>
        <v>0</v>
      </c>
      <c r="R74" s="2"/>
      <c r="S74" s="2"/>
      <c r="T74" s="2"/>
      <c r="U74" s="2">
        <f t="shared" ref="U74:AC74" si="76">U75</f>
        <v>379160</v>
      </c>
      <c r="V74" s="2">
        <f t="shared" si="76"/>
        <v>35639.97</v>
      </c>
      <c r="W74" s="2">
        <f t="shared" si="76"/>
        <v>0</v>
      </c>
      <c r="X74" s="2">
        <f t="shared" si="76"/>
        <v>0</v>
      </c>
      <c r="Y74" s="2">
        <f t="shared" si="76"/>
        <v>35639.97</v>
      </c>
      <c r="Z74" s="2">
        <f t="shared" si="76"/>
        <v>414799.97</v>
      </c>
      <c r="AA74" s="2">
        <f t="shared" si="76"/>
        <v>0</v>
      </c>
      <c r="AB74" s="2">
        <f t="shared" si="76"/>
        <v>0</v>
      </c>
      <c r="AC74" s="2">
        <f t="shared" si="76"/>
        <v>414799.97</v>
      </c>
    </row>
    <row r="75" spans="1:29" ht="14.25" customHeight="1" x14ac:dyDescent="0.25">
      <c r="A75" s="14"/>
      <c r="B75" s="301" t="s">
        <v>24</v>
      </c>
      <c r="C75" s="173"/>
      <c r="D75" s="173"/>
      <c r="E75" s="173">
        <v>851</v>
      </c>
      <c r="F75" s="1" t="s">
        <v>72</v>
      </c>
      <c r="G75" s="1" t="s">
        <v>3</v>
      </c>
      <c r="H75" s="113" t="s">
        <v>430</v>
      </c>
      <c r="I75" s="1" t="s">
        <v>25</v>
      </c>
      <c r="J75" s="2">
        <v>379160</v>
      </c>
      <c r="K75" s="2"/>
      <c r="L75" s="2">
        <f t="shared" si="6"/>
        <v>379160</v>
      </c>
      <c r="M75" s="2"/>
      <c r="N75" s="2">
        <f t="shared" ref="N75:N77" si="77">L75+M75</f>
        <v>379160</v>
      </c>
      <c r="O75" s="2"/>
      <c r="P75" s="2">
        <f>N75+O75</f>
        <v>379160</v>
      </c>
      <c r="Q75" s="2"/>
      <c r="R75" s="2"/>
      <c r="S75" s="2"/>
      <c r="T75" s="2"/>
      <c r="U75" s="2">
        <f>P75+Q75</f>
        <v>379160</v>
      </c>
      <c r="V75" s="2">
        <v>35639.97</v>
      </c>
      <c r="W75" s="2"/>
      <c r="X75" s="2"/>
      <c r="Y75" s="2">
        <f>V75</f>
        <v>35639.97</v>
      </c>
      <c r="Z75" s="2">
        <f t="shared" ref="Z75" si="78">U75+V75</f>
        <v>414799.97</v>
      </c>
      <c r="AA75" s="14"/>
      <c r="AB75" s="14"/>
      <c r="AC75" s="2">
        <f>Z75</f>
        <v>414799.97</v>
      </c>
    </row>
    <row r="76" spans="1:29" ht="14.25" customHeight="1" x14ac:dyDescent="0.25">
      <c r="A76" s="14"/>
      <c r="B76" s="291" t="s">
        <v>27</v>
      </c>
      <c r="C76" s="173"/>
      <c r="D76" s="173"/>
      <c r="E76" s="173">
        <v>851</v>
      </c>
      <c r="F76" s="1" t="s">
        <v>72</v>
      </c>
      <c r="G76" s="1" t="s">
        <v>3</v>
      </c>
      <c r="H76" s="113" t="s">
        <v>430</v>
      </c>
      <c r="I76" s="1" t="s">
        <v>28</v>
      </c>
      <c r="J76" s="2">
        <f t="shared" ref="J76:Q76" si="79">J77</f>
        <v>49742</v>
      </c>
      <c r="K76" s="2">
        <f t="shared" si="79"/>
        <v>0</v>
      </c>
      <c r="L76" s="2">
        <f t="shared" si="79"/>
        <v>49742</v>
      </c>
      <c r="M76" s="2">
        <f t="shared" si="79"/>
        <v>-39699</v>
      </c>
      <c r="N76" s="2">
        <f t="shared" si="79"/>
        <v>10043</v>
      </c>
      <c r="O76" s="2">
        <f t="shared" si="79"/>
        <v>0</v>
      </c>
      <c r="P76" s="2">
        <f t="shared" si="79"/>
        <v>10043</v>
      </c>
      <c r="Q76" s="2">
        <f t="shared" si="79"/>
        <v>0</v>
      </c>
      <c r="R76" s="2"/>
      <c r="S76" s="2"/>
      <c r="T76" s="2"/>
      <c r="U76" s="2">
        <f t="shared" ref="U76:AC76" si="80">U77</f>
        <v>10043</v>
      </c>
      <c r="V76" s="2">
        <f t="shared" si="80"/>
        <v>7602.03</v>
      </c>
      <c r="W76" s="2">
        <f t="shared" si="80"/>
        <v>0</v>
      </c>
      <c r="X76" s="2">
        <f t="shared" si="80"/>
        <v>0</v>
      </c>
      <c r="Y76" s="2">
        <f t="shared" si="80"/>
        <v>7602.03</v>
      </c>
      <c r="Z76" s="2">
        <f t="shared" si="80"/>
        <v>17645.03</v>
      </c>
      <c r="AA76" s="2">
        <f t="shared" si="80"/>
        <v>0</v>
      </c>
      <c r="AB76" s="2">
        <f t="shared" si="80"/>
        <v>0</v>
      </c>
      <c r="AC76" s="2">
        <f t="shared" si="80"/>
        <v>17645.03</v>
      </c>
    </row>
    <row r="77" spans="1:29" ht="14.25" customHeight="1" x14ac:dyDescent="0.25">
      <c r="A77" s="14"/>
      <c r="B77" s="291" t="s">
        <v>29</v>
      </c>
      <c r="C77" s="173"/>
      <c r="D77" s="173"/>
      <c r="E77" s="173">
        <v>851</v>
      </c>
      <c r="F77" s="1" t="s">
        <v>72</v>
      </c>
      <c r="G77" s="1" t="s">
        <v>3</v>
      </c>
      <c r="H77" s="113" t="s">
        <v>430</v>
      </c>
      <c r="I77" s="1" t="s">
        <v>30</v>
      </c>
      <c r="J77" s="2">
        <v>49742</v>
      </c>
      <c r="K77" s="2"/>
      <c r="L77" s="2">
        <f t="shared" si="6"/>
        <v>49742</v>
      </c>
      <c r="M77" s="2">
        <v>-39699</v>
      </c>
      <c r="N77" s="2">
        <f t="shared" si="77"/>
        <v>10043</v>
      </c>
      <c r="O77" s="2"/>
      <c r="P77" s="2">
        <f>N77+O77</f>
        <v>10043</v>
      </c>
      <c r="Q77" s="2"/>
      <c r="R77" s="2"/>
      <c r="S77" s="2"/>
      <c r="T77" s="2"/>
      <c r="U77" s="2">
        <f>P77+Q77</f>
        <v>10043</v>
      </c>
      <c r="V77" s="2">
        <v>7602.03</v>
      </c>
      <c r="W77" s="2"/>
      <c r="X77" s="2"/>
      <c r="Y77" s="2">
        <f>V77</f>
        <v>7602.03</v>
      </c>
      <c r="Z77" s="2">
        <f t="shared" ref="Z77" si="81">U77+V77</f>
        <v>17645.03</v>
      </c>
      <c r="AA77" s="14"/>
      <c r="AB77" s="14"/>
      <c r="AC77" s="2">
        <f>Z77</f>
        <v>17645.03</v>
      </c>
    </row>
    <row r="78" spans="1:29" s="9" customFormat="1" ht="14.25" customHeight="1" x14ac:dyDescent="0.25">
      <c r="A78" s="325" t="s">
        <v>55</v>
      </c>
      <c r="B78" s="325"/>
      <c r="C78" s="292"/>
      <c r="D78" s="292"/>
      <c r="E78" s="173">
        <v>851</v>
      </c>
      <c r="F78" s="6" t="s">
        <v>3</v>
      </c>
      <c r="G78" s="6"/>
      <c r="H78" s="6"/>
      <c r="I78" s="6"/>
      <c r="J78" s="7">
        <f t="shared" ref="J78:Y79" si="82">J79</f>
        <v>1332400</v>
      </c>
      <c r="K78" s="7">
        <f t="shared" si="82"/>
        <v>10900</v>
      </c>
      <c r="L78" s="7">
        <f t="shared" si="82"/>
        <v>1343300</v>
      </c>
      <c r="M78" s="7">
        <f t="shared" si="82"/>
        <v>0</v>
      </c>
      <c r="N78" s="7">
        <f t="shared" si="82"/>
        <v>1343300</v>
      </c>
      <c r="O78" s="7">
        <f t="shared" si="82"/>
        <v>0</v>
      </c>
      <c r="P78" s="7">
        <f t="shared" si="82"/>
        <v>1343300</v>
      </c>
      <c r="Q78" s="7">
        <f t="shared" si="82"/>
        <v>0</v>
      </c>
      <c r="R78" s="7"/>
      <c r="S78" s="7"/>
      <c r="T78" s="7"/>
      <c r="U78" s="7">
        <f t="shared" si="82"/>
        <v>1343300</v>
      </c>
      <c r="V78" s="7">
        <f t="shared" si="82"/>
        <v>-5519.6500000000015</v>
      </c>
      <c r="W78" s="7">
        <f t="shared" si="82"/>
        <v>0</v>
      </c>
      <c r="X78" s="7">
        <f t="shared" si="82"/>
        <v>-5519.6500000000015</v>
      </c>
      <c r="Y78" s="7">
        <f t="shared" si="82"/>
        <v>0</v>
      </c>
      <c r="Z78" s="7">
        <f t="shared" ref="Z78:AC79" si="83">Z79</f>
        <v>1337780.3500000001</v>
      </c>
      <c r="AA78" s="7">
        <f t="shared" si="83"/>
        <v>0</v>
      </c>
      <c r="AB78" s="7">
        <f t="shared" si="83"/>
        <v>1337780.3500000001</v>
      </c>
      <c r="AC78" s="7">
        <f t="shared" si="83"/>
        <v>0</v>
      </c>
    </row>
    <row r="79" spans="1:29" s="12" customFormat="1" ht="23.25" customHeight="1" x14ac:dyDescent="0.25">
      <c r="A79" s="328" t="s">
        <v>56</v>
      </c>
      <c r="B79" s="328"/>
      <c r="C79" s="295"/>
      <c r="D79" s="295"/>
      <c r="E79" s="173">
        <v>851</v>
      </c>
      <c r="F79" s="10" t="s">
        <v>3</v>
      </c>
      <c r="G79" s="10" t="s">
        <v>57</v>
      </c>
      <c r="H79" s="10"/>
      <c r="I79" s="10"/>
      <c r="J79" s="11">
        <f>J80</f>
        <v>1332400</v>
      </c>
      <c r="K79" s="11">
        <f t="shared" si="82"/>
        <v>10900</v>
      </c>
      <c r="L79" s="11">
        <f t="shared" si="82"/>
        <v>1343300</v>
      </c>
      <c r="M79" s="11">
        <f t="shared" si="82"/>
        <v>0</v>
      </c>
      <c r="N79" s="11">
        <f t="shared" si="82"/>
        <v>1343300</v>
      </c>
      <c r="O79" s="11">
        <f t="shared" si="82"/>
        <v>0</v>
      </c>
      <c r="P79" s="11">
        <f t="shared" si="82"/>
        <v>1343300</v>
      </c>
      <c r="Q79" s="11">
        <f t="shared" si="82"/>
        <v>0</v>
      </c>
      <c r="R79" s="11"/>
      <c r="S79" s="11"/>
      <c r="T79" s="11"/>
      <c r="U79" s="11">
        <f t="shared" si="82"/>
        <v>1343300</v>
      </c>
      <c r="V79" s="11">
        <f t="shared" si="82"/>
        <v>-5519.6500000000015</v>
      </c>
      <c r="W79" s="11">
        <f t="shared" si="82"/>
        <v>0</v>
      </c>
      <c r="X79" s="11">
        <f t="shared" si="82"/>
        <v>-5519.6500000000015</v>
      </c>
      <c r="Y79" s="11">
        <f t="shared" si="82"/>
        <v>0</v>
      </c>
      <c r="Z79" s="11">
        <f t="shared" si="83"/>
        <v>1337780.3500000001</v>
      </c>
      <c r="AA79" s="11">
        <f t="shared" si="83"/>
        <v>0</v>
      </c>
      <c r="AB79" s="11">
        <f t="shared" si="83"/>
        <v>1337780.3500000001</v>
      </c>
      <c r="AC79" s="11">
        <f t="shared" si="83"/>
        <v>0</v>
      </c>
    </row>
    <row r="80" spans="1:29" ht="15" customHeight="1" x14ac:dyDescent="0.25">
      <c r="A80" s="324" t="s">
        <v>414</v>
      </c>
      <c r="B80" s="324"/>
      <c r="C80" s="291"/>
      <c r="D80" s="291"/>
      <c r="E80" s="173">
        <v>851</v>
      </c>
      <c r="F80" s="1" t="s">
        <v>3</v>
      </c>
      <c r="G80" s="100" t="s">
        <v>57</v>
      </c>
      <c r="H80" s="1" t="s">
        <v>58</v>
      </c>
      <c r="I80" s="1"/>
      <c r="J80" s="2">
        <f t="shared" ref="J80:Q80" si="84">J81+J83</f>
        <v>1332400</v>
      </c>
      <c r="K80" s="2">
        <f t="shared" si="84"/>
        <v>10900</v>
      </c>
      <c r="L80" s="2">
        <f t="shared" si="84"/>
        <v>1343300</v>
      </c>
      <c r="M80" s="2">
        <f t="shared" si="84"/>
        <v>0</v>
      </c>
      <c r="N80" s="2">
        <f t="shared" si="84"/>
        <v>1343300</v>
      </c>
      <c r="O80" s="2">
        <f t="shared" si="84"/>
        <v>0</v>
      </c>
      <c r="P80" s="2">
        <f t="shared" si="84"/>
        <v>1343300</v>
      </c>
      <c r="Q80" s="2">
        <f t="shared" si="84"/>
        <v>0</v>
      </c>
      <c r="R80" s="2"/>
      <c r="S80" s="2"/>
      <c r="T80" s="2"/>
      <c r="U80" s="2">
        <f t="shared" ref="U80:AC80" si="85">U81+U83</f>
        <v>1343300</v>
      </c>
      <c r="V80" s="2">
        <f t="shared" si="85"/>
        <v>-5519.6500000000015</v>
      </c>
      <c r="W80" s="2">
        <f t="shared" si="85"/>
        <v>0</v>
      </c>
      <c r="X80" s="2">
        <f t="shared" si="85"/>
        <v>-5519.6500000000015</v>
      </c>
      <c r="Y80" s="2">
        <f t="shared" si="85"/>
        <v>0</v>
      </c>
      <c r="Z80" s="2">
        <f t="shared" si="85"/>
        <v>1337780.3500000001</v>
      </c>
      <c r="AA80" s="2">
        <f t="shared" si="85"/>
        <v>0</v>
      </c>
      <c r="AB80" s="2">
        <f t="shared" si="85"/>
        <v>1337780.3500000001</v>
      </c>
      <c r="AC80" s="2">
        <f t="shared" si="85"/>
        <v>0</v>
      </c>
    </row>
    <row r="81" spans="1:29" ht="39" customHeight="1" x14ac:dyDescent="0.25">
      <c r="A81" s="291"/>
      <c r="B81" s="301" t="s">
        <v>21</v>
      </c>
      <c r="C81" s="291"/>
      <c r="D81" s="291"/>
      <c r="E81" s="173">
        <v>851</v>
      </c>
      <c r="F81" s="1" t="s">
        <v>3</v>
      </c>
      <c r="G81" s="17" t="s">
        <v>57</v>
      </c>
      <c r="H81" s="1" t="s">
        <v>58</v>
      </c>
      <c r="I81" s="1" t="s">
        <v>23</v>
      </c>
      <c r="J81" s="2">
        <f t="shared" ref="J81:Q81" si="86">J82</f>
        <v>1246000</v>
      </c>
      <c r="K81" s="2">
        <f t="shared" si="86"/>
        <v>0</v>
      </c>
      <c r="L81" s="2">
        <f t="shared" si="86"/>
        <v>1246000</v>
      </c>
      <c r="M81" s="2">
        <f t="shared" si="86"/>
        <v>0</v>
      </c>
      <c r="N81" s="2">
        <f t="shared" si="86"/>
        <v>1246000</v>
      </c>
      <c r="O81" s="2">
        <f t="shared" si="86"/>
        <v>0</v>
      </c>
      <c r="P81" s="2">
        <f t="shared" si="86"/>
        <v>1246000</v>
      </c>
      <c r="Q81" s="2">
        <f t="shared" si="86"/>
        <v>0</v>
      </c>
      <c r="R81" s="2"/>
      <c r="S81" s="2"/>
      <c r="T81" s="2"/>
      <c r="U81" s="2">
        <f t="shared" ref="U81:AC81" si="87">U82</f>
        <v>1246000</v>
      </c>
      <c r="V81" s="2">
        <f t="shared" si="87"/>
        <v>34056.269999999997</v>
      </c>
      <c r="W81" s="2">
        <f t="shared" si="87"/>
        <v>0</v>
      </c>
      <c r="X81" s="2">
        <f t="shared" si="87"/>
        <v>34056.269999999997</v>
      </c>
      <c r="Y81" s="2">
        <f t="shared" si="87"/>
        <v>0</v>
      </c>
      <c r="Z81" s="2">
        <f t="shared" si="87"/>
        <v>1280056.27</v>
      </c>
      <c r="AA81" s="2">
        <f t="shared" si="87"/>
        <v>0</v>
      </c>
      <c r="AB81" s="2">
        <f t="shared" si="87"/>
        <v>1280056.27</v>
      </c>
      <c r="AC81" s="2">
        <f t="shared" si="87"/>
        <v>0</v>
      </c>
    </row>
    <row r="82" spans="1:29" ht="13.5" customHeight="1" x14ac:dyDescent="0.25">
      <c r="A82" s="291"/>
      <c r="B82" s="291" t="s">
        <v>59</v>
      </c>
      <c r="C82" s="291"/>
      <c r="D82" s="291"/>
      <c r="E82" s="173">
        <v>851</v>
      </c>
      <c r="F82" s="1" t="s">
        <v>3</v>
      </c>
      <c r="G82" s="17" t="s">
        <v>57</v>
      </c>
      <c r="H82" s="1" t="s">
        <v>58</v>
      </c>
      <c r="I82" s="1" t="s">
        <v>60</v>
      </c>
      <c r="J82" s="2">
        <v>1246000</v>
      </c>
      <c r="K82" s="2"/>
      <c r="L82" s="2">
        <f t="shared" si="6"/>
        <v>1246000</v>
      </c>
      <c r="M82" s="2"/>
      <c r="N82" s="2">
        <f t="shared" ref="N82:N84" si="88">L82+M82</f>
        <v>1246000</v>
      </c>
      <c r="O82" s="2"/>
      <c r="P82" s="2">
        <f>N82+O82</f>
        <v>1246000</v>
      </c>
      <c r="Q82" s="2"/>
      <c r="R82" s="2"/>
      <c r="S82" s="2"/>
      <c r="T82" s="2"/>
      <c r="U82" s="2">
        <f>P82+Q82</f>
        <v>1246000</v>
      </c>
      <c r="V82" s="2">
        <v>34056.269999999997</v>
      </c>
      <c r="W82" s="2"/>
      <c r="X82" s="2">
        <f>V81</f>
        <v>34056.269999999997</v>
      </c>
      <c r="Y82" s="2"/>
      <c r="Z82" s="2">
        <f t="shared" ref="Z82" si="89">U82+V82</f>
        <v>1280056.27</v>
      </c>
      <c r="AA82" s="14"/>
      <c r="AB82" s="2">
        <f>Z82</f>
        <v>1280056.27</v>
      </c>
      <c r="AC82" s="14"/>
    </row>
    <row r="83" spans="1:29" ht="13.5" customHeight="1" x14ac:dyDescent="0.25">
      <c r="A83" s="14"/>
      <c r="B83" s="291" t="s">
        <v>27</v>
      </c>
      <c r="C83" s="301"/>
      <c r="D83" s="301"/>
      <c r="E83" s="173">
        <v>851</v>
      </c>
      <c r="F83" s="1" t="s">
        <v>3</v>
      </c>
      <c r="G83" s="17" t="s">
        <v>57</v>
      </c>
      <c r="H83" s="1" t="s">
        <v>58</v>
      </c>
      <c r="I83" s="1" t="s">
        <v>28</v>
      </c>
      <c r="J83" s="2">
        <f t="shared" ref="J83:Q83" si="90">J84</f>
        <v>86400</v>
      </c>
      <c r="K83" s="2">
        <f t="shared" si="90"/>
        <v>10900</v>
      </c>
      <c r="L83" s="2">
        <f t="shared" si="90"/>
        <v>97300</v>
      </c>
      <c r="M83" s="2">
        <f t="shared" si="90"/>
        <v>0</v>
      </c>
      <c r="N83" s="2">
        <f t="shared" si="90"/>
        <v>97300</v>
      </c>
      <c r="O83" s="2">
        <f t="shared" si="90"/>
        <v>0</v>
      </c>
      <c r="P83" s="2">
        <f t="shared" si="90"/>
        <v>97300</v>
      </c>
      <c r="Q83" s="2">
        <f t="shared" si="90"/>
        <v>0</v>
      </c>
      <c r="R83" s="2"/>
      <c r="S83" s="2"/>
      <c r="T83" s="2"/>
      <c r="U83" s="2">
        <f t="shared" ref="U83:AC83" si="91">U84</f>
        <v>97300</v>
      </c>
      <c r="V83" s="2">
        <f t="shared" si="91"/>
        <v>-39575.919999999998</v>
      </c>
      <c r="W83" s="2">
        <f t="shared" si="91"/>
        <v>0</v>
      </c>
      <c r="X83" s="2">
        <f t="shared" si="91"/>
        <v>-39575.919999999998</v>
      </c>
      <c r="Y83" s="2">
        <f t="shared" si="91"/>
        <v>0</v>
      </c>
      <c r="Z83" s="2">
        <f t="shared" si="91"/>
        <v>57724.08</v>
      </c>
      <c r="AA83" s="2">
        <f t="shared" si="91"/>
        <v>0</v>
      </c>
      <c r="AB83" s="2">
        <f t="shared" si="91"/>
        <v>57724.08</v>
      </c>
      <c r="AC83" s="2">
        <f t="shared" si="91"/>
        <v>0</v>
      </c>
    </row>
    <row r="84" spans="1:29" ht="12" customHeight="1" x14ac:dyDescent="0.25">
      <c r="A84" s="14"/>
      <c r="B84" s="291" t="s">
        <v>29</v>
      </c>
      <c r="C84" s="291"/>
      <c r="D84" s="291"/>
      <c r="E84" s="173">
        <v>851</v>
      </c>
      <c r="F84" s="1" t="s">
        <v>3</v>
      </c>
      <c r="G84" s="17" t="s">
        <v>57</v>
      </c>
      <c r="H84" s="1" t="s">
        <v>58</v>
      </c>
      <c r="I84" s="1" t="s">
        <v>30</v>
      </c>
      <c r="J84" s="2">
        <v>86400</v>
      </c>
      <c r="K84" s="2">
        <v>10900</v>
      </c>
      <c r="L84" s="2">
        <f t="shared" si="6"/>
        <v>97300</v>
      </c>
      <c r="M84" s="2"/>
      <c r="N84" s="2">
        <f t="shared" si="88"/>
        <v>97300</v>
      </c>
      <c r="O84" s="2"/>
      <c r="P84" s="2">
        <f>N84+O84</f>
        <v>97300</v>
      </c>
      <c r="Q84" s="2"/>
      <c r="R84" s="2"/>
      <c r="S84" s="2"/>
      <c r="T84" s="2"/>
      <c r="U84" s="2">
        <f>P84+Q84</f>
        <v>97300</v>
      </c>
      <c r="V84" s="2">
        <v>-39575.919999999998</v>
      </c>
      <c r="W84" s="2"/>
      <c r="X84" s="2">
        <f>V83</f>
        <v>-39575.919999999998</v>
      </c>
      <c r="Y84" s="2"/>
      <c r="Z84" s="2">
        <f t="shared" ref="Z84" si="92">U84+V84</f>
        <v>57724.08</v>
      </c>
      <c r="AA84" s="14"/>
      <c r="AB84" s="2">
        <f>Z84</f>
        <v>57724.08</v>
      </c>
      <c r="AC84" s="14"/>
    </row>
    <row r="85" spans="1:29" s="9" customFormat="1" x14ac:dyDescent="0.25">
      <c r="A85" s="325" t="s">
        <v>61</v>
      </c>
      <c r="B85" s="325"/>
      <c r="C85" s="292"/>
      <c r="D85" s="292"/>
      <c r="E85" s="173">
        <v>851</v>
      </c>
      <c r="F85" s="6" t="s">
        <v>6</v>
      </c>
      <c r="G85" s="6"/>
      <c r="H85" s="6"/>
      <c r="I85" s="6"/>
      <c r="J85" s="7">
        <f t="shared" ref="J85:AC85" si="93">J86+J99+J109</f>
        <v>2897640</v>
      </c>
      <c r="K85" s="7">
        <f t="shared" si="93"/>
        <v>1300000</v>
      </c>
      <c r="L85" s="7">
        <f t="shared" si="93"/>
        <v>4197640</v>
      </c>
      <c r="M85" s="7">
        <f t="shared" si="93"/>
        <v>687855</v>
      </c>
      <c r="N85" s="7">
        <f t="shared" si="93"/>
        <v>4885495</v>
      </c>
      <c r="O85" s="7">
        <f t="shared" si="93"/>
        <v>0</v>
      </c>
      <c r="P85" s="7">
        <f t="shared" si="93"/>
        <v>4885495</v>
      </c>
      <c r="Q85" s="7">
        <f t="shared" si="93"/>
        <v>-2478000</v>
      </c>
      <c r="R85" s="7">
        <f>SUM(R86:R120)</f>
        <v>0</v>
      </c>
      <c r="S85" s="7">
        <f t="shared" ref="S85:T85" si="94">SUM(S86:S120)</f>
        <v>-2478000</v>
      </c>
      <c r="T85" s="7">
        <f t="shared" si="94"/>
        <v>0</v>
      </c>
      <c r="U85" s="7">
        <f t="shared" si="93"/>
        <v>2407495</v>
      </c>
      <c r="V85" s="7">
        <f t="shared" si="93"/>
        <v>1725396.72</v>
      </c>
      <c r="W85" s="7">
        <f t="shared" si="93"/>
        <v>1900000</v>
      </c>
      <c r="X85" s="7">
        <f t="shared" si="93"/>
        <v>-174603.28</v>
      </c>
      <c r="Y85" s="7">
        <f t="shared" si="93"/>
        <v>0</v>
      </c>
      <c r="Z85" s="7">
        <f t="shared" si="93"/>
        <v>4132891.7199999997</v>
      </c>
      <c r="AA85" s="7">
        <f t="shared" si="93"/>
        <v>172495</v>
      </c>
      <c r="AB85" s="7">
        <f t="shared" si="93"/>
        <v>2060396.72</v>
      </c>
      <c r="AC85" s="7">
        <f t="shared" si="93"/>
        <v>0</v>
      </c>
    </row>
    <row r="86" spans="1:29" s="12" customFormat="1" x14ac:dyDescent="0.25">
      <c r="A86" s="328" t="s">
        <v>62</v>
      </c>
      <c r="B86" s="328"/>
      <c r="C86" s="295"/>
      <c r="D86" s="295"/>
      <c r="E86" s="173">
        <v>851</v>
      </c>
      <c r="F86" s="10" t="s">
        <v>6</v>
      </c>
      <c r="G86" s="10" t="s">
        <v>63</v>
      </c>
      <c r="H86" s="10"/>
      <c r="I86" s="10"/>
      <c r="J86" s="11">
        <f>J90+J93+J96</f>
        <v>66140</v>
      </c>
      <c r="K86" s="11">
        <f t="shared" ref="K86" si="95">K90+K93+K96</f>
        <v>1300000</v>
      </c>
      <c r="L86" s="11">
        <f>L87+L90+L93+L96</f>
        <v>1366140</v>
      </c>
      <c r="M86" s="11">
        <f t="shared" ref="M86:AC86" si="96">M87+M90+M93+M96</f>
        <v>700000</v>
      </c>
      <c r="N86" s="11">
        <f t="shared" si="96"/>
        <v>2066140</v>
      </c>
      <c r="O86" s="11">
        <f t="shared" si="96"/>
        <v>0</v>
      </c>
      <c r="P86" s="11">
        <f t="shared" si="96"/>
        <v>2066140</v>
      </c>
      <c r="Q86" s="11">
        <f t="shared" si="96"/>
        <v>0</v>
      </c>
      <c r="R86" s="11"/>
      <c r="S86" s="11"/>
      <c r="T86" s="11"/>
      <c r="U86" s="11">
        <f t="shared" si="96"/>
        <v>2066140</v>
      </c>
      <c r="V86" s="11">
        <f t="shared" si="96"/>
        <v>-174603.28</v>
      </c>
      <c r="W86" s="11">
        <f t="shared" si="96"/>
        <v>0</v>
      </c>
      <c r="X86" s="11">
        <f t="shared" si="96"/>
        <v>-174603.28</v>
      </c>
      <c r="Y86" s="11">
        <f t="shared" si="96"/>
        <v>0</v>
      </c>
      <c r="Z86" s="11">
        <f t="shared" si="96"/>
        <v>1891536.72</v>
      </c>
      <c r="AA86" s="11">
        <f t="shared" si="96"/>
        <v>11140</v>
      </c>
      <c r="AB86" s="11">
        <f t="shared" si="96"/>
        <v>1880396.72</v>
      </c>
      <c r="AC86" s="11">
        <f t="shared" si="96"/>
        <v>0</v>
      </c>
    </row>
    <row r="87" spans="1:29" s="22" customFormat="1" ht="25.5" hidden="1" customHeight="1" x14ac:dyDescent="0.25">
      <c r="A87" s="330" t="s">
        <v>626</v>
      </c>
      <c r="B87" s="331"/>
      <c r="C87" s="291"/>
      <c r="D87" s="291"/>
      <c r="E87" s="173">
        <v>851</v>
      </c>
      <c r="F87" s="17" t="s">
        <v>6</v>
      </c>
      <c r="G87" s="101" t="s">
        <v>63</v>
      </c>
      <c r="H87" s="17" t="s">
        <v>625</v>
      </c>
      <c r="I87" s="17"/>
      <c r="J87" s="2">
        <f t="shared" ref="J87:Q88" si="97">J88</f>
        <v>0</v>
      </c>
      <c r="K87" s="2">
        <f t="shared" si="97"/>
        <v>0</v>
      </c>
      <c r="L87" s="2">
        <f t="shared" si="97"/>
        <v>0</v>
      </c>
      <c r="M87" s="2">
        <f t="shared" si="97"/>
        <v>700000</v>
      </c>
      <c r="N87" s="2">
        <f t="shared" si="97"/>
        <v>700000</v>
      </c>
      <c r="O87" s="2">
        <f t="shared" si="97"/>
        <v>0</v>
      </c>
      <c r="P87" s="2">
        <f t="shared" si="97"/>
        <v>700000</v>
      </c>
      <c r="Q87" s="2">
        <f t="shared" si="97"/>
        <v>0</v>
      </c>
      <c r="R87" s="2"/>
      <c r="S87" s="2"/>
      <c r="T87" s="2"/>
      <c r="U87" s="2">
        <f t="shared" ref="U87:AC88" si="98">U88</f>
        <v>700000</v>
      </c>
      <c r="V87" s="2">
        <f t="shared" si="98"/>
        <v>0</v>
      </c>
      <c r="W87" s="2">
        <f t="shared" si="98"/>
        <v>0</v>
      </c>
      <c r="X87" s="2">
        <f t="shared" si="98"/>
        <v>0</v>
      </c>
      <c r="Y87" s="2">
        <f t="shared" si="98"/>
        <v>0</v>
      </c>
      <c r="Z87" s="2">
        <f t="shared" si="98"/>
        <v>700000</v>
      </c>
      <c r="AA87" s="2">
        <f t="shared" si="98"/>
        <v>0</v>
      </c>
      <c r="AB87" s="2">
        <f t="shared" si="98"/>
        <v>700000</v>
      </c>
      <c r="AC87" s="2">
        <f t="shared" si="98"/>
        <v>0</v>
      </c>
    </row>
    <row r="88" spans="1:29" s="22" customFormat="1" hidden="1" x14ac:dyDescent="0.25">
      <c r="A88" s="296"/>
      <c r="B88" s="291" t="s">
        <v>31</v>
      </c>
      <c r="C88" s="291"/>
      <c r="D88" s="291"/>
      <c r="E88" s="173">
        <v>851</v>
      </c>
      <c r="F88" s="17" t="s">
        <v>6</v>
      </c>
      <c r="G88" s="101" t="s">
        <v>63</v>
      </c>
      <c r="H88" s="17" t="s">
        <v>625</v>
      </c>
      <c r="I88" s="17" t="s">
        <v>32</v>
      </c>
      <c r="J88" s="2">
        <f t="shared" si="97"/>
        <v>0</v>
      </c>
      <c r="K88" s="2">
        <f t="shared" si="97"/>
        <v>0</v>
      </c>
      <c r="L88" s="2">
        <f t="shared" si="97"/>
        <v>0</v>
      </c>
      <c r="M88" s="2">
        <f t="shared" si="97"/>
        <v>700000</v>
      </c>
      <c r="N88" s="2">
        <f t="shared" si="97"/>
        <v>700000</v>
      </c>
      <c r="O88" s="2">
        <f t="shared" si="97"/>
        <v>0</v>
      </c>
      <c r="P88" s="2">
        <f t="shared" si="97"/>
        <v>700000</v>
      </c>
      <c r="Q88" s="2">
        <f t="shared" si="97"/>
        <v>0</v>
      </c>
      <c r="R88" s="2"/>
      <c r="S88" s="2"/>
      <c r="T88" s="2"/>
      <c r="U88" s="2">
        <f t="shared" si="98"/>
        <v>700000</v>
      </c>
      <c r="V88" s="2">
        <f t="shared" si="98"/>
        <v>0</v>
      </c>
      <c r="W88" s="2">
        <f t="shared" si="98"/>
        <v>0</v>
      </c>
      <c r="X88" s="2">
        <f t="shared" si="98"/>
        <v>0</v>
      </c>
      <c r="Y88" s="2">
        <f t="shared" si="98"/>
        <v>0</v>
      </c>
      <c r="Z88" s="2">
        <f t="shared" si="98"/>
        <v>700000</v>
      </c>
      <c r="AA88" s="2">
        <f t="shared" si="98"/>
        <v>0</v>
      </c>
      <c r="AB88" s="2">
        <f t="shared" si="98"/>
        <v>700000</v>
      </c>
      <c r="AC88" s="2">
        <f t="shared" si="98"/>
        <v>0</v>
      </c>
    </row>
    <row r="89" spans="1:29" s="22" customFormat="1" ht="24" hidden="1" x14ac:dyDescent="0.25">
      <c r="A89" s="296"/>
      <c r="B89" s="291" t="s">
        <v>357</v>
      </c>
      <c r="C89" s="291"/>
      <c r="D89" s="291"/>
      <c r="E89" s="173">
        <v>851</v>
      </c>
      <c r="F89" s="17" t="s">
        <v>6</v>
      </c>
      <c r="G89" s="101" t="s">
        <v>63</v>
      </c>
      <c r="H89" s="17" t="s">
        <v>625</v>
      </c>
      <c r="I89" s="17" t="s">
        <v>65</v>
      </c>
      <c r="J89" s="20"/>
      <c r="K89" s="20"/>
      <c r="L89" s="20">
        <v>0</v>
      </c>
      <c r="M89" s="20">
        <v>700000</v>
      </c>
      <c r="N89" s="20">
        <f>L89+M89</f>
        <v>700000</v>
      </c>
      <c r="O89" s="20"/>
      <c r="P89" s="20">
        <f>N89+O89</f>
        <v>700000</v>
      </c>
      <c r="Q89" s="20"/>
      <c r="R89" s="20"/>
      <c r="S89" s="20"/>
      <c r="T89" s="20"/>
      <c r="U89" s="20">
        <f>P89+Q89</f>
        <v>700000</v>
      </c>
      <c r="V89" s="20"/>
      <c r="W89" s="20"/>
      <c r="X89" s="2">
        <f>V88</f>
        <v>0</v>
      </c>
      <c r="Y89" s="20"/>
      <c r="Z89" s="20">
        <f>U89+V89</f>
        <v>700000</v>
      </c>
      <c r="AA89" s="301"/>
      <c r="AB89" s="2">
        <f>Z89</f>
        <v>700000</v>
      </c>
      <c r="AC89" s="301"/>
    </row>
    <row r="90" spans="1:29" s="12" customFormat="1" ht="63.75" hidden="1" customHeight="1" x14ac:dyDescent="0.25">
      <c r="A90" s="330" t="s">
        <v>439</v>
      </c>
      <c r="B90" s="331"/>
      <c r="C90" s="295"/>
      <c r="D90" s="295"/>
      <c r="E90" s="173">
        <v>851</v>
      </c>
      <c r="F90" s="1" t="s">
        <v>6</v>
      </c>
      <c r="G90" s="100" t="s">
        <v>63</v>
      </c>
      <c r="H90" s="1" t="s">
        <v>440</v>
      </c>
      <c r="I90" s="1"/>
      <c r="J90" s="2">
        <f t="shared" ref="J90:Q91" si="99">J91</f>
        <v>11140</v>
      </c>
      <c r="K90" s="2">
        <f t="shared" si="99"/>
        <v>0</v>
      </c>
      <c r="L90" s="2">
        <f t="shared" si="99"/>
        <v>11140</v>
      </c>
      <c r="M90" s="2">
        <f t="shared" si="99"/>
        <v>0</v>
      </c>
      <c r="N90" s="2">
        <f t="shared" si="99"/>
        <v>11140</v>
      </c>
      <c r="O90" s="2">
        <f t="shared" si="99"/>
        <v>0</v>
      </c>
      <c r="P90" s="2">
        <f t="shared" si="99"/>
        <v>11140</v>
      </c>
      <c r="Q90" s="2">
        <f t="shared" si="99"/>
        <v>0</v>
      </c>
      <c r="R90" s="2"/>
      <c r="S90" s="2"/>
      <c r="T90" s="2"/>
      <c r="U90" s="2">
        <f t="shared" ref="U90:AC91" si="100">U91</f>
        <v>11140</v>
      </c>
      <c r="V90" s="2">
        <f t="shared" si="100"/>
        <v>0</v>
      </c>
      <c r="W90" s="2">
        <f t="shared" si="100"/>
        <v>0</v>
      </c>
      <c r="X90" s="2">
        <f t="shared" si="100"/>
        <v>0</v>
      </c>
      <c r="Y90" s="2">
        <f t="shared" si="100"/>
        <v>0</v>
      </c>
      <c r="Z90" s="2">
        <f t="shared" si="100"/>
        <v>11140</v>
      </c>
      <c r="AA90" s="2">
        <f t="shared" si="100"/>
        <v>11140</v>
      </c>
      <c r="AB90" s="2">
        <f t="shared" si="100"/>
        <v>0</v>
      </c>
      <c r="AC90" s="2">
        <f t="shared" si="100"/>
        <v>0</v>
      </c>
    </row>
    <row r="91" spans="1:29" s="12" customFormat="1" ht="12" hidden="1" customHeight="1" x14ac:dyDescent="0.25">
      <c r="A91" s="295"/>
      <c r="B91" s="303" t="s">
        <v>27</v>
      </c>
      <c r="C91" s="301"/>
      <c r="D91" s="301"/>
      <c r="E91" s="173">
        <v>851</v>
      </c>
      <c r="F91" s="1" t="s">
        <v>6</v>
      </c>
      <c r="G91" s="100" t="s">
        <v>63</v>
      </c>
      <c r="H91" s="1" t="s">
        <v>440</v>
      </c>
      <c r="I91" s="1" t="s">
        <v>28</v>
      </c>
      <c r="J91" s="2">
        <f t="shared" si="99"/>
        <v>11140</v>
      </c>
      <c r="K91" s="2">
        <f t="shared" si="99"/>
        <v>0</v>
      </c>
      <c r="L91" s="2">
        <f t="shared" si="99"/>
        <v>11140</v>
      </c>
      <c r="M91" s="2">
        <f t="shared" si="99"/>
        <v>0</v>
      </c>
      <c r="N91" s="2">
        <f t="shared" si="99"/>
        <v>11140</v>
      </c>
      <c r="O91" s="2">
        <f t="shared" si="99"/>
        <v>0</v>
      </c>
      <c r="P91" s="2">
        <f t="shared" si="99"/>
        <v>11140</v>
      </c>
      <c r="Q91" s="2">
        <f t="shared" si="99"/>
        <v>0</v>
      </c>
      <c r="R91" s="2"/>
      <c r="S91" s="2"/>
      <c r="T91" s="2"/>
      <c r="U91" s="2">
        <f t="shared" si="100"/>
        <v>11140</v>
      </c>
      <c r="V91" s="2">
        <f t="shared" si="100"/>
        <v>0</v>
      </c>
      <c r="W91" s="2">
        <f t="shared" si="100"/>
        <v>0</v>
      </c>
      <c r="X91" s="2">
        <f t="shared" si="100"/>
        <v>0</v>
      </c>
      <c r="Y91" s="2">
        <f t="shared" si="100"/>
        <v>0</v>
      </c>
      <c r="Z91" s="2">
        <f t="shared" si="100"/>
        <v>11140</v>
      </c>
      <c r="AA91" s="2">
        <f t="shared" si="100"/>
        <v>11140</v>
      </c>
      <c r="AB91" s="2">
        <f t="shared" si="100"/>
        <v>0</v>
      </c>
      <c r="AC91" s="2">
        <f t="shared" si="100"/>
        <v>0</v>
      </c>
    </row>
    <row r="92" spans="1:29" s="12" customFormat="1" ht="25.5" hidden="1" customHeight="1" x14ac:dyDescent="0.25">
      <c r="A92" s="295"/>
      <c r="B92" s="303" t="s">
        <v>29</v>
      </c>
      <c r="C92" s="291"/>
      <c r="D92" s="291"/>
      <c r="E92" s="173">
        <v>851</v>
      </c>
      <c r="F92" s="1" t="s">
        <v>6</v>
      </c>
      <c r="G92" s="100" t="s">
        <v>63</v>
      </c>
      <c r="H92" s="1" t="s">
        <v>440</v>
      </c>
      <c r="I92" s="1" t="s">
        <v>30</v>
      </c>
      <c r="J92" s="2">
        <v>11140</v>
      </c>
      <c r="K92" s="2"/>
      <c r="L92" s="2">
        <f t="shared" si="6"/>
        <v>11140</v>
      </c>
      <c r="M92" s="2"/>
      <c r="N92" s="2">
        <f t="shared" ref="N92:N95" si="101">L92+M92</f>
        <v>11140</v>
      </c>
      <c r="O92" s="2"/>
      <c r="P92" s="2">
        <f>N92+O92</f>
        <v>11140</v>
      </c>
      <c r="Q92" s="2"/>
      <c r="R92" s="2"/>
      <c r="S92" s="2"/>
      <c r="T92" s="2"/>
      <c r="U92" s="2">
        <f>P92+Q92</f>
        <v>11140</v>
      </c>
      <c r="V92" s="2"/>
      <c r="W92" s="2"/>
      <c r="X92" s="2"/>
      <c r="Y92" s="2"/>
      <c r="Z92" s="2">
        <f t="shared" ref="Z92" si="102">U92+V92</f>
        <v>11140</v>
      </c>
      <c r="AA92" s="2">
        <f>Z92</f>
        <v>11140</v>
      </c>
      <c r="AB92" s="305"/>
      <c r="AC92" s="305"/>
    </row>
    <row r="93" spans="1:29" ht="24.75" hidden="1" customHeight="1" x14ac:dyDescent="0.25">
      <c r="A93" s="330" t="s">
        <v>64</v>
      </c>
      <c r="B93" s="331"/>
      <c r="C93" s="291"/>
      <c r="D93" s="291"/>
      <c r="E93" s="173">
        <v>851</v>
      </c>
      <c r="F93" s="1" t="s">
        <v>6</v>
      </c>
      <c r="G93" s="1" t="s">
        <v>63</v>
      </c>
      <c r="H93" s="1" t="s">
        <v>523</v>
      </c>
      <c r="I93" s="1"/>
      <c r="J93" s="2">
        <f t="shared" ref="J93:Q94" si="103">J94</f>
        <v>55000</v>
      </c>
      <c r="K93" s="2">
        <f t="shared" si="103"/>
        <v>0</v>
      </c>
      <c r="L93" s="2">
        <f t="shared" si="103"/>
        <v>55000</v>
      </c>
      <c r="M93" s="2">
        <f t="shared" si="103"/>
        <v>0</v>
      </c>
      <c r="N93" s="2">
        <f t="shared" si="103"/>
        <v>55000</v>
      </c>
      <c r="O93" s="2">
        <f t="shared" si="103"/>
        <v>0</v>
      </c>
      <c r="P93" s="2">
        <f t="shared" si="103"/>
        <v>55000</v>
      </c>
      <c r="Q93" s="2">
        <f t="shared" si="103"/>
        <v>0</v>
      </c>
      <c r="R93" s="2"/>
      <c r="S93" s="2"/>
      <c r="T93" s="2"/>
      <c r="U93" s="2">
        <f t="shared" ref="U93:AC94" si="104">U94</f>
        <v>55000</v>
      </c>
      <c r="V93" s="2">
        <f t="shared" si="104"/>
        <v>0</v>
      </c>
      <c r="W93" s="2">
        <f t="shared" si="104"/>
        <v>0</v>
      </c>
      <c r="X93" s="2">
        <f t="shared" si="104"/>
        <v>0</v>
      </c>
      <c r="Y93" s="2">
        <f t="shared" si="104"/>
        <v>0</v>
      </c>
      <c r="Z93" s="2">
        <f t="shared" si="104"/>
        <v>55000</v>
      </c>
      <c r="AA93" s="2">
        <f t="shared" si="104"/>
        <v>0</v>
      </c>
      <c r="AB93" s="2">
        <f t="shared" si="104"/>
        <v>55000</v>
      </c>
      <c r="AC93" s="2">
        <f t="shared" si="104"/>
        <v>0</v>
      </c>
    </row>
    <row r="94" spans="1:29" ht="15.75" hidden="1" customHeight="1" x14ac:dyDescent="0.25">
      <c r="A94" s="14"/>
      <c r="B94" s="291" t="s">
        <v>27</v>
      </c>
      <c r="C94" s="301"/>
      <c r="D94" s="301"/>
      <c r="E94" s="173">
        <v>851</v>
      </c>
      <c r="F94" s="1" t="s">
        <v>6</v>
      </c>
      <c r="G94" s="1" t="s">
        <v>63</v>
      </c>
      <c r="H94" s="1" t="s">
        <v>523</v>
      </c>
      <c r="I94" s="1" t="s">
        <v>28</v>
      </c>
      <c r="J94" s="2">
        <f t="shared" si="103"/>
        <v>55000</v>
      </c>
      <c r="K94" s="2">
        <f t="shared" si="103"/>
        <v>0</v>
      </c>
      <c r="L94" s="2">
        <f t="shared" si="103"/>
        <v>55000</v>
      </c>
      <c r="M94" s="2">
        <f t="shared" si="103"/>
        <v>0</v>
      </c>
      <c r="N94" s="2">
        <f t="shared" si="103"/>
        <v>55000</v>
      </c>
      <c r="O94" s="2">
        <f t="shared" si="103"/>
        <v>0</v>
      </c>
      <c r="P94" s="2">
        <f t="shared" si="103"/>
        <v>55000</v>
      </c>
      <c r="Q94" s="2">
        <f t="shared" si="103"/>
        <v>0</v>
      </c>
      <c r="R94" s="2"/>
      <c r="S94" s="2"/>
      <c r="T94" s="2"/>
      <c r="U94" s="2">
        <f t="shared" si="104"/>
        <v>55000</v>
      </c>
      <c r="V94" s="2">
        <f t="shared" si="104"/>
        <v>0</v>
      </c>
      <c r="W94" s="2">
        <f t="shared" si="104"/>
        <v>0</v>
      </c>
      <c r="X94" s="2">
        <f t="shared" si="104"/>
        <v>0</v>
      </c>
      <c r="Y94" s="2">
        <f t="shared" si="104"/>
        <v>0</v>
      </c>
      <c r="Z94" s="2">
        <f t="shared" si="104"/>
        <v>55000</v>
      </c>
      <c r="AA94" s="2">
        <f t="shared" si="104"/>
        <v>0</v>
      </c>
      <c r="AB94" s="2">
        <f t="shared" si="104"/>
        <v>55000</v>
      </c>
      <c r="AC94" s="2">
        <f t="shared" si="104"/>
        <v>0</v>
      </c>
    </row>
    <row r="95" spans="1:29" ht="27" hidden="1" customHeight="1" x14ac:dyDescent="0.25">
      <c r="A95" s="14"/>
      <c r="B95" s="291" t="s">
        <v>29</v>
      </c>
      <c r="C95" s="291"/>
      <c r="D95" s="291"/>
      <c r="E95" s="173">
        <v>851</v>
      </c>
      <c r="F95" s="1" t="s">
        <v>6</v>
      </c>
      <c r="G95" s="1" t="s">
        <v>63</v>
      </c>
      <c r="H95" s="1" t="s">
        <v>523</v>
      </c>
      <c r="I95" s="1" t="s">
        <v>30</v>
      </c>
      <c r="J95" s="2">
        <v>55000</v>
      </c>
      <c r="K95" s="2"/>
      <c r="L95" s="2">
        <f t="shared" ref="L95:L193" si="105">J95+K95</f>
        <v>55000</v>
      </c>
      <c r="M95" s="2"/>
      <c r="N95" s="2">
        <f t="shared" si="101"/>
        <v>55000</v>
      </c>
      <c r="O95" s="2"/>
      <c r="P95" s="2">
        <f>N95+O95</f>
        <v>55000</v>
      </c>
      <c r="Q95" s="2"/>
      <c r="R95" s="2"/>
      <c r="S95" s="2"/>
      <c r="T95" s="2"/>
      <c r="U95" s="2">
        <f>P95+Q95</f>
        <v>55000</v>
      </c>
      <c r="V95" s="2"/>
      <c r="W95" s="2"/>
      <c r="X95" s="2"/>
      <c r="Y95" s="2"/>
      <c r="Z95" s="2">
        <f t="shared" ref="Z95" si="106">U95+V95</f>
        <v>55000</v>
      </c>
      <c r="AA95" s="14"/>
      <c r="AB95" s="2">
        <f>Z95</f>
        <v>55000</v>
      </c>
      <c r="AC95" s="14"/>
    </row>
    <row r="96" spans="1:29" ht="13.5" customHeight="1" x14ac:dyDescent="0.25">
      <c r="A96" s="324" t="s">
        <v>549</v>
      </c>
      <c r="B96" s="324"/>
      <c r="C96" s="291"/>
      <c r="D96" s="291"/>
      <c r="E96" s="173">
        <v>851</v>
      </c>
      <c r="F96" s="1" t="s">
        <v>6</v>
      </c>
      <c r="G96" s="1" t="s">
        <v>63</v>
      </c>
      <c r="H96" s="1" t="s">
        <v>580</v>
      </c>
      <c r="I96" s="301"/>
      <c r="J96" s="2">
        <f>J97</f>
        <v>0</v>
      </c>
      <c r="K96" s="2">
        <f t="shared" ref="K96:Z97" si="107">K97</f>
        <v>1300000</v>
      </c>
      <c r="L96" s="2">
        <f t="shared" si="107"/>
        <v>1300000</v>
      </c>
      <c r="M96" s="2">
        <f t="shared" si="107"/>
        <v>0</v>
      </c>
      <c r="N96" s="2">
        <f t="shared" si="107"/>
        <v>1300000</v>
      </c>
      <c r="O96" s="2">
        <f t="shared" si="107"/>
        <v>0</v>
      </c>
      <c r="P96" s="2">
        <f t="shared" si="107"/>
        <v>1300000</v>
      </c>
      <c r="Q96" s="2">
        <f t="shared" si="107"/>
        <v>0</v>
      </c>
      <c r="R96" s="2"/>
      <c r="S96" s="2"/>
      <c r="T96" s="2"/>
      <c r="U96" s="2">
        <f t="shared" si="107"/>
        <v>1300000</v>
      </c>
      <c r="V96" s="2">
        <f t="shared" si="107"/>
        <v>-174603.28</v>
      </c>
      <c r="W96" s="2">
        <f t="shared" si="107"/>
        <v>0</v>
      </c>
      <c r="X96" s="2">
        <f t="shared" si="107"/>
        <v>-174603.28</v>
      </c>
      <c r="Y96" s="2">
        <f t="shared" si="107"/>
        <v>0</v>
      </c>
      <c r="Z96" s="2">
        <f t="shared" si="107"/>
        <v>1125396.72</v>
      </c>
      <c r="AA96" s="2">
        <f t="shared" ref="W96:AC97" si="108">AA97</f>
        <v>0</v>
      </c>
      <c r="AB96" s="2">
        <f t="shared" si="108"/>
        <v>1125396.72</v>
      </c>
      <c r="AC96" s="2">
        <f t="shared" si="108"/>
        <v>0</v>
      </c>
    </row>
    <row r="97" spans="1:29" ht="13.5" customHeight="1" x14ac:dyDescent="0.25">
      <c r="A97" s="291"/>
      <c r="B97" s="291" t="s">
        <v>31</v>
      </c>
      <c r="C97" s="291"/>
      <c r="D97" s="291"/>
      <c r="E97" s="173">
        <v>851</v>
      </c>
      <c r="F97" s="1" t="s">
        <v>6</v>
      </c>
      <c r="G97" s="1" t="s">
        <v>63</v>
      </c>
      <c r="H97" s="1" t="s">
        <v>580</v>
      </c>
      <c r="I97" s="1" t="s">
        <v>32</v>
      </c>
      <c r="J97" s="2">
        <f>J98</f>
        <v>0</v>
      </c>
      <c r="K97" s="2">
        <f t="shared" si="107"/>
        <v>1300000</v>
      </c>
      <c r="L97" s="2">
        <f t="shared" si="107"/>
        <v>1300000</v>
      </c>
      <c r="M97" s="2">
        <f t="shared" si="107"/>
        <v>0</v>
      </c>
      <c r="N97" s="2">
        <f t="shared" si="107"/>
        <v>1300000</v>
      </c>
      <c r="O97" s="2">
        <f t="shared" si="107"/>
        <v>0</v>
      </c>
      <c r="P97" s="2">
        <f>P98</f>
        <v>1300000</v>
      </c>
      <c r="Q97" s="2">
        <f t="shared" si="107"/>
        <v>0</v>
      </c>
      <c r="R97" s="2"/>
      <c r="S97" s="2"/>
      <c r="T97" s="2"/>
      <c r="U97" s="2">
        <f t="shared" si="107"/>
        <v>1300000</v>
      </c>
      <c r="V97" s="2">
        <f t="shared" si="107"/>
        <v>-174603.28</v>
      </c>
      <c r="W97" s="2">
        <f t="shared" si="108"/>
        <v>0</v>
      </c>
      <c r="X97" s="2">
        <f t="shared" si="108"/>
        <v>-174603.28</v>
      </c>
      <c r="Y97" s="2">
        <f t="shared" si="108"/>
        <v>0</v>
      </c>
      <c r="Z97" s="2">
        <f t="shared" si="108"/>
        <v>1125396.72</v>
      </c>
      <c r="AA97" s="2">
        <f t="shared" si="108"/>
        <v>0</v>
      </c>
      <c r="AB97" s="2">
        <f t="shared" si="108"/>
        <v>1125396.72</v>
      </c>
      <c r="AC97" s="2">
        <f t="shared" si="108"/>
        <v>0</v>
      </c>
    </row>
    <row r="98" spans="1:29" ht="27" customHeight="1" x14ac:dyDescent="0.25">
      <c r="A98" s="291"/>
      <c r="B98" s="291" t="s">
        <v>357</v>
      </c>
      <c r="C98" s="291"/>
      <c r="D98" s="291"/>
      <c r="E98" s="173">
        <v>851</v>
      </c>
      <c r="F98" s="1" t="s">
        <v>6</v>
      </c>
      <c r="G98" s="1" t="s">
        <v>63</v>
      </c>
      <c r="H98" s="1" t="s">
        <v>580</v>
      </c>
      <c r="I98" s="1" t="s">
        <v>65</v>
      </c>
      <c r="J98" s="2"/>
      <c r="K98" s="2">
        <v>1300000</v>
      </c>
      <c r="L98" s="2">
        <f>J98+K98</f>
        <v>1300000</v>
      </c>
      <c r="M98" s="2"/>
      <c r="N98" s="2">
        <f>L98+M98</f>
        <v>1300000</v>
      </c>
      <c r="O98" s="2"/>
      <c r="P98" s="2">
        <f>N98+O98</f>
        <v>1300000</v>
      </c>
      <c r="Q98" s="2"/>
      <c r="R98" s="2"/>
      <c r="S98" s="2"/>
      <c r="T98" s="2"/>
      <c r="U98" s="2">
        <f>P98+Q98</f>
        <v>1300000</v>
      </c>
      <c r="V98" s="2">
        <v>-174603.28</v>
      </c>
      <c r="W98" s="2"/>
      <c r="X98" s="2">
        <f>V97</f>
        <v>-174603.28</v>
      </c>
      <c r="Y98" s="2"/>
      <c r="Z98" s="2">
        <f>U98+V98</f>
        <v>1125396.72</v>
      </c>
      <c r="AA98" s="14"/>
      <c r="AB98" s="2">
        <f>Z98</f>
        <v>1125396.72</v>
      </c>
      <c r="AC98" s="14"/>
    </row>
    <row r="99" spans="1:29" s="12" customFormat="1" hidden="1" x14ac:dyDescent="0.25">
      <c r="A99" s="328" t="s">
        <v>353</v>
      </c>
      <c r="B99" s="328"/>
      <c r="C99" s="295"/>
      <c r="D99" s="295"/>
      <c r="E99" s="173">
        <v>851</v>
      </c>
      <c r="F99" s="10" t="s">
        <v>6</v>
      </c>
      <c r="G99" s="10" t="s">
        <v>57</v>
      </c>
      <c r="H99" s="10"/>
      <c r="I99" s="10"/>
      <c r="J99" s="11">
        <f t="shared" ref="J99:O99" si="109">J106</f>
        <v>2558000</v>
      </c>
      <c r="K99" s="11">
        <f t="shared" si="109"/>
        <v>0</v>
      </c>
      <c r="L99" s="11">
        <f t="shared" si="109"/>
        <v>2558000</v>
      </c>
      <c r="M99" s="11">
        <f t="shared" si="109"/>
        <v>0</v>
      </c>
      <c r="N99" s="11">
        <f t="shared" si="109"/>
        <v>2558000</v>
      </c>
      <c r="O99" s="11">
        <f t="shared" si="109"/>
        <v>0</v>
      </c>
      <c r="P99" s="11">
        <f>P100+P103+P106</f>
        <v>2558000</v>
      </c>
      <c r="Q99" s="11">
        <f t="shared" ref="Q99:AC99" si="110">Q100+Q103+Q106</f>
        <v>-2478000</v>
      </c>
      <c r="R99" s="11"/>
      <c r="S99" s="11"/>
      <c r="T99" s="11"/>
      <c r="U99" s="11">
        <f t="shared" si="110"/>
        <v>80000</v>
      </c>
      <c r="V99" s="11">
        <f t="shared" si="110"/>
        <v>0</v>
      </c>
      <c r="W99" s="11">
        <f t="shared" si="110"/>
        <v>0</v>
      </c>
      <c r="X99" s="11">
        <f t="shared" si="110"/>
        <v>0</v>
      </c>
      <c r="Y99" s="11">
        <f t="shared" si="110"/>
        <v>0</v>
      </c>
      <c r="Z99" s="11">
        <f t="shared" si="110"/>
        <v>80000</v>
      </c>
      <c r="AA99" s="11">
        <f t="shared" si="110"/>
        <v>0</v>
      </c>
      <c r="AB99" s="11">
        <f t="shared" si="110"/>
        <v>80000</v>
      </c>
      <c r="AC99" s="11">
        <f t="shared" si="110"/>
        <v>0</v>
      </c>
    </row>
    <row r="100" spans="1:29" ht="37.5" hidden="1" customHeight="1" x14ac:dyDescent="0.25">
      <c r="A100" s="330" t="s">
        <v>663</v>
      </c>
      <c r="B100" s="331"/>
      <c r="C100" s="291"/>
      <c r="D100" s="291"/>
      <c r="E100" s="173">
        <v>851</v>
      </c>
      <c r="F100" s="1" t="s">
        <v>6</v>
      </c>
      <c r="G100" s="1" t="s">
        <v>57</v>
      </c>
      <c r="H100" s="1" t="s">
        <v>664</v>
      </c>
      <c r="I100" s="1"/>
      <c r="J100" s="2"/>
      <c r="K100" s="2"/>
      <c r="L100" s="2"/>
      <c r="M100" s="2"/>
      <c r="N100" s="2"/>
      <c r="O100" s="2"/>
      <c r="P100" s="2">
        <f>P101</f>
        <v>0</v>
      </c>
      <c r="Q100" s="2">
        <f t="shared" ref="Q100:AC101" si="111">Q101</f>
        <v>0</v>
      </c>
      <c r="R100" s="2"/>
      <c r="S100" s="2"/>
      <c r="T100" s="2"/>
      <c r="U100" s="2">
        <f t="shared" si="111"/>
        <v>0</v>
      </c>
      <c r="V100" s="2">
        <f t="shared" si="111"/>
        <v>0</v>
      </c>
      <c r="W100" s="2">
        <f t="shared" si="111"/>
        <v>0</v>
      </c>
      <c r="X100" s="2">
        <f t="shared" si="111"/>
        <v>0</v>
      </c>
      <c r="Y100" s="2">
        <f t="shared" si="111"/>
        <v>0</v>
      </c>
      <c r="Z100" s="2">
        <f t="shared" si="111"/>
        <v>0</v>
      </c>
      <c r="AA100" s="2">
        <f t="shared" si="111"/>
        <v>0</v>
      </c>
      <c r="AB100" s="2">
        <f t="shared" si="111"/>
        <v>0</v>
      </c>
      <c r="AC100" s="2">
        <f t="shared" si="111"/>
        <v>0</v>
      </c>
    </row>
    <row r="101" spans="1:29" ht="24" hidden="1" x14ac:dyDescent="0.25">
      <c r="A101" s="296"/>
      <c r="B101" s="291" t="s">
        <v>436</v>
      </c>
      <c r="C101" s="291"/>
      <c r="D101" s="291"/>
      <c r="E101" s="173">
        <v>851</v>
      </c>
      <c r="F101" s="1" t="s">
        <v>6</v>
      </c>
      <c r="G101" s="1" t="s">
        <v>57</v>
      </c>
      <c r="H101" s="1" t="s">
        <v>664</v>
      </c>
      <c r="I101" s="1" t="s">
        <v>75</v>
      </c>
      <c r="J101" s="2"/>
      <c r="K101" s="2"/>
      <c r="L101" s="2"/>
      <c r="M101" s="2"/>
      <c r="N101" s="2"/>
      <c r="O101" s="2"/>
      <c r="P101" s="2">
        <f>P102</f>
        <v>0</v>
      </c>
      <c r="Q101" s="2">
        <f t="shared" si="111"/>
        <v>0</v>
      </c>
      <c r="R101" s="2"/>
      <c r="S101" s="2"/>
      <c r="T101" s="2"/>
      <c r="U101" s="2">
        <f t="shared" si="111"/>
        <v>0</v>
      </c>
      <c r="V101" s="2">
        <f t="shared" si="111"/>
        <v>0</v>
      </c>
      <c r="W101" s="2">
        <f t="shared" si="111"/>
        <v>0</v>
      </c>
      <c r="X101" s="2">
        <f t="shared" si="111"/>
        <v>0</v>
      </c>
      <c r="Y101" s="2">
        <f t="shared" si="111"/>
        <v>0</v>
      </c>
      <c r="Z101" s="2">
        <f t="shared" si="111"/>
        <v>0</v>
      </c>
      <c r="AA101" s="2">
        <f t="shared" si="111"/>
        <v>0</v>
      </c>
      <c r="AB101" s="2">
        <f t="shared" si="111"/>
        <v>0</v>
      </c>
      <c r="AC101" s="2">
        <f t="shared" si="111"/>
        <v>0</v>
      </c>
    </row>
    <row r="102" spans="1:29" ht="24" hidden="1" x14ac:dyDescent="0.25">
      <c r="A102" s="296"/>
      <c r="B102" s="291" t="s">
        <v>76</v>
      </c>
      <c r="C102" s="291"/>
      <c r="D102" s="291"/>
      <c r="E102" s="173">
        <v>851</v>
      </c>
      <c r="F102" s="1" t="s">
        <v>6</v>
      </c>
      <c r="G102" s="1" t="s">
        <v>57</v>
      </c>
      <c r="H102" s="1" t="s">
        <v>664</v>
      </c>
      <c r="I102" s="1" t="s">
        <v>77</v>
      </c>
      <c r="J102" s="2"/>
      <c r="K102" s="2"/>
      <c r="L102" s="2"/>
      <c r="M102" s="2"/>
      <c r="N102" s="2"/>
      <c r="O102" s="2"/>
      <c r="P102" s="2"/>
      <c r="Q102" s="2"/>
      <c r="R102" s="2"/>
      <c r="S102" s="2"/>
      <c r="T102" s="2"/>
      <c r="U102" s="2">
        <f>P102+Q102</f>
        <v>0</v>
      </c>
      <c r="V102" s="2"/>
      <c r="W102" s="2"/>
      <c r="X102" s="2"/>
      <c r="Y102" s="2"/>
      <c r="Z102" s="2">
        <f>U102+V102</f>
        <v>0</v>
      </c>
      <c r="AA102" s="14"/>
      <c r="AB102" s="2">
        <f>Z102</f>
        <v>0</v>
      </c>
      <c r="AC102" s="14"/>
    </row>
    <row r="103" spans="1:29" ht="13.5" hidden="1" customHeight="1" x14ac:dyDescent="0.25">
      <c r="A103" s="330" t="s">
        <v>661</v>
      </c>
      <c r="B103" s="331"/>
      <c r="C103" s="291"/>
      <c r="D103" s="291"/>
      <c r="E103" s="173">
        <v>851</v>
      </c>
      <c r="F103" s="1" t="s">
        <v>6</v>
      </c>
      <c r="G103" s="1" t="s">
        <v>57</v>
      </c>
      <c r="H103" s="1" t="s">
        <v>662</v>
      </c>
      <c r="I103" s="1"/>
      <c r="J103" s="2"/>
      <c r="K103" s="2"/>
      <c r="L103" s="2"/>
      <c r="M103" s="2"/>
      <c r="N103" s="2"/>
      <c r="O103" s="2"/>
      <c r="P103" s="2">
        <f>P104</f>
        <v>0</v>
      </c>
      <c r="Q103" s="2">
        <f t="shared" ref="Q103:Q104" si="112">Q104</f>
        <v>80000</v>
      </c>
      <c r="R103" s="2"/>
      <c r="S103" s="2"/>
      <c r="T103" s="2"/>
      <c r="U103" s="2">
        <f t="shared" ref="U103:AC104" si="113">U104</f>
        <v>80000</v>
      </c>
      <c r="V103" s="2">
        <f t="shared" si="113"/>
        <v>0</v>
      </c>
      <c r="W103" s="2">
        <f t="shared" si="113"/>
        <v>0</v>
      </c>
      <c r="X103" s="2">
        <f t="shared" si="113"/>
        <v>0</v>
      </c>
      <c r="Y103" s="2">
        <f t="shared" si="113"/>
        <v>0</v>
      </c>
      <c r="Z103" s="2">
        <f t="shared" si="113"/>
        <v>80000</v>
      </c>
      <c r="AA103" s="2">
        <f t="shared" si="113"/>
        <v>0</v>
      </c>
      <c r="AB103" s="2">
        <f t="shared" si="113"/>
        <v>80000</v>
      </c>
      <c r="AC103" s="2">
        <f t="shared" si="113"/>
        <v>0</v>
      </c>
    </row>
    <row r="104" spans="1:29" s="12" customFormat="1" ht="24" hidden="1" x14ac:dyDescent="0.25">
      <c r="A104" s="295"/>
      <c r="B104" s="291" t="s">
        <v>436</v>
      </c>
      <c r="C104" s="295"/>
      <c r="D104" s="295"/>
      <c r="E104" s="173">
        <v>851</v>
      </c>
      <c r="F104" s="1" t="s">
        <v>6</v>
      </c>
      <c r="G104" s="1" t="s">
        <v>57</v>
      </c>
      <c r="H104" s="1" t="s">
        <v>662</v>
      </c>
      <c r="I104" s="1" t="s">
        <v>75</v>
      </c>
      <c r="J104" s="2"/>
      <c r="K104" s="2"/>
      <c r="L104" s="2"/>
      <c r="M104" s="2"/>
      <c r="N104" s="2"/>
      <c r="O104" s="2"/>
      <c r="P104" s="2">
        <f>P105</f>
        <v>0</v>
      </c>
      <c r="Q104" s="2">
        <f t="shared" si="112"/>
        <v>80000</v>
      </c>
      <c r="R104" s="2"/>
      <c r="S104" s="2"/>
      <c r="T104" s="2"/>
      <c r="U104" s="2">
        <f t="shared" si="113"/>
        <v>80000</v>
      </c>
      <c r="V104" s="2">
        <f t="shared" si="113"/>
        <v>0</v>
      </c>
      <c r="W104" s="2">
        <f t="shared" si="113"/>
        <v>0</v>
      </c>
      <c r="X104" s="2">
        <f t="shared" si="113"/>
        <v>0</v>
      </c>
      <c r="Y104" s="2">
        <f t="shared" si="113"/>
        <v>0</v>
      </c>
      <c r="Z104" s="2">
        <f t="shared" si="113"/>
        <v>80000</v>
      </c>
      <c r="AA104" s="2">
        <f t="shared" si="113"/>
        <v>0</v>
      </c>
      <c r="AB104" s="2">
        <f t="shared" si="113"/>
        <v>80000</v>
      </c>
      <c r="AC104" s="2">
        <f t="shared" si="113"/>
        <v>0</v>
      </c>
    </row>
    <row r="105" spans="1:29" s="12" customFormat="1" ht="24" hidden="1" x14ac:dyDescent="0.25">
      <c r="A105" s="295"/>
      <c r="B105" s="291" t="s">
        <v>76</v>
      </c>
      <c r="C105" s="295"/>
      <c r="D105" s="295"/>
      <c r="E105" s="173">
        <v>851</v>
      </c>
      <c r="F105" s="1" t="s">
        <v>6</v>
      </c>
      <c r="G105" s="1" t="s">
        <v>57</v>
      </c>
      <c r="H105" s="1" t="s">
        <v>662</v>
      </c>
      <c r="I105" s="1" t="s">
        <v>77</v>
      </c>
      <c r="J105" s="2"/>
      <c r="K105" s="2"/>
      <c r="L105" s="2"/>
      <c r="M105" s="2"/>
      <c r="N105" s="2"/>
      <c r="O105" s="2"/>
      <c r="P105" s="2"/>
      <c r="Q105" s="2">
        <v>80000</v>
      </c>
      <c r="R105" s="2"/>
      <c r="S105" s="2">
        <v>80000</v>
      </c>
      <c r="T105" s="2"/>
      <c r="U105" s="2">
        <f>P105+Q105</f>
        <v>80000</v>
      </c>
      <c r="V105" s="2"/>
      <c r="W105" s="2"/>
      <c r="X105" s="2"/>
      <c r="Y105" s="2"/>
      <c r="Z105" s="2">
        <f>U105+V105</f>
        <v>80000</v>
      </c>
      <c r="AA105" s="305"/>
      <c r="AB105" s="2">
        <f>Z105</f>
        <v>80000</v>
      </c>
      <c r="AC105" s="305"/>
    </row>
    <row r="106" spans="1:29" ht="24.75" hidden="1" customHeight="1" x14ac:dyDescent="0.25">
      <c r="A106" s="324" t="s">
        <v>447</v>
      </c>
      <c r="B106" s="324"/>
      <c r="C106" s="291"/>
      <c r="D106" s="291"/>
      <c r="E106" s="173">
        <v>851</v>
      </c>
      <c r="F106" s="17" t="s">
        <v>6</v>
      </c>
      <c r="G106" s="17" t="s">
        <v>57</v>
      </c>
      <c r="H106" s="17" t="s">
        <v>446</v>
      </c>
      <c r="I106" s="17"/>
      <c r="J106" s="2">
        <f t="shared" ref="J106:Q107" si="114">J107</f>
        <v>2558000</v>
      </c>
      <c r="K106" s="2">
        <f t="shared" si="114"/>
        <v>0</v>
      </c>
      <c r="L106" s="2">
        <f t="shared" si="114"/>
        <v>2558000</v>
      </c>
      <c r="M106" s="2">
        <f t="shared" si="114"/>
        <v>0</v>
      </c>
      <c r="N106" s="2">
        <f t="shared" si="114"/>
        <v>2558000</v>
      </c>
      <c r="O106" s="2">
        <f t="shared" si="114"/>
        <v>0</v>
      </c>
      <c r="P106" s="2">
        <f t="shared" si="114"/>
        <v>2558000</v>
      </c>
      <c r="Q106" s="2">
        <f t="shared" si="114"/>
        <v>-2558000</v>
      </c>
      <c r="R106" s="2"/>
      <c r="S106" s="2"/>
      <c r="T106" s="2"/>
      <c r="U106" s="2">
        <f t="shared" ref="U106:AC107" si="115">U107</f>
        <v>0</v>
      </c>
      <c r="V106" s="2">
        <f t="shared" si="115"/>
        <v>0</v>
      </c>
      <c r="W106" s="2">
        <f t="shared" si="115"/>
        <v>0</v>
      </c>
      <c r="X106" s="2">
        <f t="shared" si="115"/>
        <v>0</v>
      </c>
      <c r="Y106" s="2">
        <f t="shared" si="115"/>
        <v>0</v>
      </c>
      <c r="Z106" s="2">
        <f t="shared" si="115"/>
        <v>0</v>
      </c>
      <c r="AA106" s="2">
        <f t="shared" si="115"/>
        <v>0</v>
      </c>
      <c r="AB106" s="2">
        <f t="shared" si="115"/>
        <v>0</v>
      </c>
      <c r="AC106" s="2">
        <f t="shared" si="115"/>
        <v>0</v>
      </c>
    </row>
    <row r="107" spans="1:29" ht="15.75" hidden="1" customHeight="1" x14ac:dyDescent="0.25">
      <c r="A107" s="291"/>
      <c r="B107" s="291" t="s">
        <v>27</v>
      </c>
      <c r="C107" s="291"/>
      <c r="D107" s="291"/>
      <c r="E107" s="173">
        <v>851</v>
      </c>
      <c r="F107" s="17" t="s">
        <v>6</v>
      </c>
      <c r="G107" s="17" t="s">
        <v>57</v>
      </c>
      <c r="H107" s="17" t="s">
        <v>446</v>
      </c>
      <c r="I107" s="1" t="s">
        <v>28</v>
      </c>
      <c r="J107" s="2">
        <f t="shared" si="114"/>
        <v>2558000</v>
      </c>
      <c r="K107" s="2">
        <f t="shared" si="114"/>
        <v>0</v>
      </c>
      <c r="L107" s="2">
        <f t="shared" si="114"/>
        <v>2558000</v>
      </c>
      <c r="M107" s="2">
        <f t="shared" si="114"/>
        <v>0</v>
      </c>
      <c r="N107" s="2">
        <f t="shared" si="114"/>
        <v>2558000</v>
      </c>
      <c r="O107" s="2">
        <f t="shared" si="114"/>
        <v>0</v>
      </c>
      <c r="P107" s="2">
        <f t="shared" si="114"/>
        <v>2558000</v>
      </c>
      <c r="Q107" s="2">
        <f t="shared" si="114"/>
        <v>-2558000</v>
      </c>
      <c r="R107" s="2"/>
      <c r="S107" s="2"/>
      <c r="T107" s="2"/>
      <c r="U107" s="2">
        <f t="shared" si="115"/>
        <v>0</v>
      </c>
      <c r="V107" s="2">
        <f t="shared" si="115"/>
        <v>0</v>
      </c>
      <c r="W107" s="2">
        <f t="shared" si="115"/>
        <v>0</v>
      </c>
      <c r="X107" s="2">
        <f t="shared" si="115"/>
        <v>0</v>
      </c>
      <c r="Y107" s="2">
        <f t="shared" si="115"/>
        <v>0</v>
      </c>
      <c r="Z107" s="2">
        <f t="shared" si="115"/>
        <v>0</v>
      </c>
      <c r="AA107" s="2">
        <f t="shared" si="115"/>
        <v>0</v>
      </c>
      <c r="AB107" s="2">
        <f t="shared" si="115"/>
        <v>0</v>
      </c>
      <c r="AC107" s="2">
        <f t="shared" si="115"/>
        <v>0</v>
      </c>
    </row>
    <row r="108" spans="1:29" ht="24.75" hidden="1" customHeight="1" x14ac:dyDescent="0.25">
      <c r="A108" s="291"/>
      <c r="B108" s="291" t="s">
        <v>29</v>
      </c>
      <c r="C108" s="291"/>
      <c r="D108" s="291"/>
      <c r="E108" s="173">
        <v>851</v>
      </c>
      <c r="F108" s="17" t="s">
        <v>6</v>
      </c>
      <c r="G108" s="17" t="s">
        <v>57</v>
      </c>
      <c r="H108" s="17" t="s">
        <v>446</v>
      </c>
      <c r="I108" s="1" t="s">
        <v>30</v>
      </c>
      <c r="J108" s="2">
        <v>2558000</v>
      </c>
      <c r="K108" s="2">
        <v>0</v>
      </c>
      <c r="L108" s="2">
        <f t="shared" si="105"/>
        <v>2558000</v>
      </c>
      <c r="M108" s="2">
        <v>0</v>
      </c>
      <c r="N108" s="2">
        <f t="shared" ref="N108" si="116">L108+M108</f>
        <v>2558000</v>
      </c>
      <c r="O108" s="2">
        <v>0</v>
      </c>
      <c r="P108" s="2">
        <f>N108+O108</f>
        <v>2558000</v>
      </c>
      <c r="Q108" s="2">
        <f>-80000-2478000</f>
        <v>-2558000</v>
      </c>
      <c r="R108" s="2"/>
      <c r="S108" s="2">
        <v>-2558000</v>
      </c>
      <c r="T108" s="2"/>
      <c r="U108" s="2">
        <f>P108+Q108</f>
        <v>0</v>
      </c>
      <c r="V108" s="2"/>
      <c r="W108" s="2"/>
      <c r="X108" s="2"/>
      <c r="Y108" s="2"/>
      <c r="Z108" s="2">
        <f t="shared" ref="Z108" si="117">U108+V108</f>
        <v>0</v>
      </c>
      <c r="AA108" s="14"/>
      <c r="AB108" s="2">
        <f>Z108</f>
        <v>0</v>
      </c>
      <c r="AC108" s="14"/>
    </row>
    <row r="109" spans="1:29" s="12" customFormat="1" ht="15.75" customHeight="1" x14ac:dyDescent="0.25">
      <c r="A109" s="328" t="s">
        <v>66</v>
      </c>
      <c r="B109" s="328"/>
      <c r="C109" s="295"/>
      <c r="D109" s="295"/>
      <c r="E109" s="173">
        <v>851</v>
      </c>
      <c r="F109" s="10" t="s">
        <v>6</v>
      </c>
      <c r="G109" s="10" t="s">
        <v>67</v>
      </c>
      <c r="H109" s="10"/>
      <c r="I109" s="10"/>
      <c r="J109" s="11">
        <f t="shared" ref="J109:P109" si="118">J110+J118</f>
        <v>273500</v>
      </c>
      <c r="K109" s="11">
        <f t="shared" si="118"/>
        <v>0</v>
      </c>
      <c r="L109" s="11">
        <f t="shared" si="118"/>
        <v>273500</v>
      </c>
      <c r="M109" s="11">
        <f t="shared" si="118"/>
        <v>-12145</v>
      </c>
      <c r="N109" s="11">
        <f t="shared" si="118"/>
        <v>261355</v>
      </c>
      <c r="O109" s="11">
        <f t="shared" si="118"/>
        <v>0</v>
      </c>
      <c r="P109" s="11">
        <f t="shared" si="118"/>
        <v>261355</v>
      </c>
      <c r="Q109" s="11">
        <f>Q110+Q118</f>
        <v>0</v>
      </c>
      <c r="R109" s="11"/>
      <c r="S109" s="11"/>
      <c r="T109" s="11"/>
      <c r="U109" s="11">
        <f>U110+U115+U118+U121</f>
        <v>261355</v>
      </c>
      <c r="V109" s="11">
        <f t="shared" ref="V109:AC109" si="119">V110+V115+V118+V121</f>
        <v>1900000</v>
      </c>
      <c r="W109" s="11">
        <f t="shared" si="119"/>
        <v>1900000</v>
      </c>
      <c r="X109" s="11">
        <f t="shared" si="119"/>
        <v>0</v>
      </c>
      <c r="Y109" s="11">
        <f t="shared" si="119"/>
        <v>0</v>
      </c>
      <c r="Z109" s="11">
        <f t="shared" si="119"/>
        <v>2161355</v>
      </c>
      <c r="AA109" s="11">
        <f t="shared" si="119"/>
        <v>161355</v>
      </c>
      <c r="AB109" s="11">
        <f t="shared" si="119"/>
        <v>100000</v>
      </c>
      <c r="AC109" s="11">
        <f t="shared" si="119"/>
        <v>0</v>
      </c>
    </row>
    <row r="110" spans="1:29" ht="26.25" customHeight="1" x14ac:dyDescent="0.25">
      <c r="A110" s="324" t="s">
        <v>68</v>
      </c>
      <c r="B110" s="324"/>
      <c r="C110" s="291"/>
      <c r="D110" s="291"/>
      <c r="E110" s="173">
        <v>851</v>
      </c>
      <c r="F110" s="17" t="s">
        <v>6</v>
      </c>
      <c r="G110" s="17" t="s">
        <v>67</v>
      </c>
      <c r="H110" s="17" t="s">
        <v>69</v>
      </c>
      <c r="I110" s="17"/>
      <c r="J110" s="2">
        <f>J111+J113</f>
        <v>173500</v>
      </c>
      <c r="K110" s="2">
        <f t="shared" ref="K110:AC110" si="120">K111+K113</f>
        <v>0</v>
      </c>
      <c r="L110" s="2">
        <f t="shared" si="120"/>
        <v>173500</v>
      </c>
      <c r="M110" s="2">
        <f t="shared" si="120"/>
        <v>-12145</v>
      </c>
      <c r="N110" s="2">
        <f t="shared" si="120"/>
        <v>161355</v>
      </c>
      <c r="O110" s="2">
        <f t="shared" si="120"/>
        <v>0</v>
      </c>
      <c r="P110" s="2">
        <f t="shared" si="120"/>
        <v>161355</v>
      </c>
      <c r="Q110" s="2">
        <f t="shared" si="120"/>
        <v>0</v>
      </c>
      <c r="R110" s="2"/>
      <c r="S110" s="2"/>
      <c r="T110" s="2"/>
      <c r="U110" s="2">
        <f t="shared" si="120"/>
        <v>161355</v>
      </c>
      <c r="V110" s="2">
        <f t="shared" si="120"/>
        <v>0</v>
      </c>
      <c r="W110" s="2">
        <f t="shared" si="120"/>
        <v>0</v>
      </c>
      <c r="X110" s="2">
        <f t="shared" si="120"/>
        <v>0</v>
      </c>
      <c r="Y110" s="2">
        <f t="shared" si="120"/>
        <v>0</v>
      </c>
      <c r="Z110" s="2">
        <f t="shared" si="120"/>
        <v>161355</v>
      </c>
      <c r="AA110" s="2">
        <f t="shared" si="120"/>
        <v>161355</v>
      </c>
      <c r="AB110" s="2">
        <f t="shared" si="120"/>
        <v>0</v>
      </c>
      <c r="AC110" s="2">
        <f t="shared" si="120"/>
        <v>0</v>
      </c>
    </row>
    <row r="111" spans="1:29" ht="40.5" customHeight="1" x14ac:dyDescent="0.25">
      <c r="A111" s="291"/>
      <c r="B111" s="301" t="s">
        <v>21</v>
      </c>
      <c r="C111" s="291"/>
      <c r="D111" s="291"/>
      <c r="E111" s="173">
        <v>851</v>
      </c>
      <c r="F111" s="17" t="s">
        <v>6</v>
      </c>
      <c r="G111" s="17" t="s">
        <v>67</v>
      </c>
      <c r="H111" s="17" t="s">
        <v>69</v>
      </c>
      <c r="I111" s="1" t="s">
        <v>23</v>
      </c>
      <c r="J111" s="2">
        <f t="shared" ref="J111:O111" si="121">J112</f>
        <v>97615</v>
      </c>
      <c r="K111" s="2">
        <f t="shared" si="121"/>
        <v>0</v>
      </c>
      <c r="L111" s="2">
        <f t="shared" si="105"/>
        <v>97615</v>
      </c>
      <c r="M111" s="2">
        <f t="shared" si="121"/>
        <v>0</v>
      </c>
      <c r="N111" s="2">
        <f t="shared" ref="N111:N120" si="122">L111+M111</f>
        <v>97615</v>
      </c>
      <c r="O111" s="2">
        <f t="shared" si="121"/>
        <v>0</v>
      </c>
      <c r="P111" s="2">
        <f>P112</f>
        <v>97615</v>
      </c>
      <c r="Q111" s="2">
        <f t="shared" ref="Q111:AC111" si="123">Q112</f>
        <v>0</v>
      </c>
      <c r="R111" s="2"/>
      <c r="S111" s="2"/>
      <c r="T111" s="2"/>
      <c r="U111" s="2">
        <f t="shared" si="123"/>
        <v>97615</v>
      </c>
      <c r="V111" s="2">
        <f t="shared" si="123"/>
        <v>-3663.77</v>
      </c>
      <c r="W111" s="2">
        <f t="shared" si="123"/>
        <v>-3663.77</v>
      </c>
      <c r="X111" s="2">
        <f t="shared" si="123"/>
        <v>0</v>
      </c>
      <c r="Y111" s="2">
        <f t="shared" si="123"/>
        <v>0</v>
      </c>
      <c r="Z111" s="2">
        <f t="shared" si="123"/>
        <v>93951.23</v>
      </c>
      <c r="AA111" s="2">
        <f t="shared" si="123"/>
        <v>93951.23</v>
      </c>
      <c r="AB111" s="2">
        <f t="shared" si="123"/>
        <v>0</v>
      </c>
      <c r="AC111" s="2">
        <f t="shared" si="123"/>
        <v>0</v>
      </c>
    </row>
    <row r="112" spans="1:29" ht="15" customHeight="1" x14ac:dyDescent="0.25">
      <c r="A112" s="14"/>
      <c r="B112" s="301" t="s">
        <v>24</v>
      </c>
      <c r="C112" s="301"/>
      <c r="D112" s="301"/>
      <c r="E112" s="173">
        <v>851</v>
      </c>
      <c r="F112" s="17" t="s">
        <v>6</v>
      </c>
      <c r="G112" s="17" t="s">
        <v>67</v>
      </c>
      <c r="H112" s="17" t="s">
        <v>69</v>
      </c>
      <c r="I112" s="1" t="s">
        <v>25</v>
      </c>
      <c r="J112" s="2">
        <v>97615</v>
      </c>
      <c r="K112" s="2"/>
      <c r="L112" s="2">
        <f t="shared" si="105"/>
        <v>97615</v>
      </c>
      <c r="M112" s="2"/>
      <c r="N112" s="2">
        <f t="shared" si="122"/>
        <v>97615</v>
      </c>
      <c r="O112" s="2"/>
      <c r="P112" s="2">
        <f>N112+O112</f>
        <v>97615</v>
      </c>
      <c r="Q112" s="2"/>
      <c r="R112" s="2"/>
      <c r="S112" s="2"/>
      <c r="T112" s="2"/>
      <c r="U112" s="2">
        <f>P112+Q112</f>
        <v>97615</v>
      </c>
      <c r="V112" s="2">
        <v>-3663.77</v>
      </c>
      <c r="W112" s="2">
        <f>V112</f>
        <v>-3663.77</v>
      </c>
      <c r="X112" s="2"/>
      <c r="Y112" s="2"/>
      <c r="Z112" s="2">
        <f t="shared" ref="Z112" si="124">U112+V112</f>
        <v>93951.23</v>
      </c>
      <c r="AA112" s="2">
        <f>Z112</f>
        <v>93951.23</v>
      </c>
      <c r="AB112" s="14"/>
      <c r="AC112" s="14"/>
    </row>
    <row r="113" spans="1:29" ht="12.75" customHeight="1" x14ac:dyDescent="0.25">
      <c r="A113" s="14"/>
      <c r="B113" s="291" t="s">
        <v>27</v>
      </c>
      <c r="C113" s="301"/>
      <c r="D113" s="301"/>
      <c r="E113" s="173">
        <v>851</v>
      </c>
      <c r="F113" s="17" t="s">
        <v>6</v>
      </c>
      <c r="G113" s="17" t="s">
        <v>67</v>
      </c>
      <c r="H113" s="17" t="s">
        <v>69</v>
      </c>
      <c r="I113" s="1" t="s">
        <v>28</v>
      </c>
      <c r="J113" s="2">
        <f t="shared" ref="J113:Q113" si="125">J114</f>
        <v>75885</v>
      </c>
      <c r="K113" s="2">
        <f t="shared" si="125"/>
        <v>0</v>
      </c>
      <c r="L113" s="2">
        <f t="shared" si="125"/>
        <v>75885</v>
      </c>
      <c r="M113" s="2">
        <f t="shared" si="125"/>
        <v>-12145</v>
      </c>
      <c r="N113" s="2">
        <f t="shared" si="125"/>
        <v>63740</v>
      </c>
      <c r="O113" s="2">
        <f t="shared" si="125"/>
        <v>0</v>
      </c>
      <c r="P113" s="2">
        <f t="shared" si="125"/>
        <v>63740</v>
      </c>
      <c r="Q113" s="2">
        <f t="shared" si="125"/>
        <v>0</v>
      </c>
      <c r="R113" s="2"/>
      <c r="S113" s="2"/>
      <c r="T113" s="2"/>
      <c r="U113" s="2">
        <f t="shared" ref="U113:AC113" si="126">U114</f>
        <v>63740</v>
      </c>
      <c r="V113" s="2">
        <f t="shared" si="126"/>
        <v>3663.77</v>
      </c>
      <c r="W113" s="2">
        <f t="shared" si="126"/>
        <v>3663.77</v>
      </c>
      <c r="X113" s="2">
        <f t="shared" si="126"/>
        <v>0</v>
      </c>
      <c r="Y113" s="2">
        <f t="shared" si="126"/>
        <v>0</v>
      </c>
      <c r="Z113" s="2">
        <f t="shared" si="126"/>
        <v>67403.77</v>
      </c>
      <c r="AA113" s="2">
        <f t="shared" si="126"/>
        <v>67403.77</v>
      </c>
      <c r="AB113" s="2">
        <f t="shared" si="126"/>
        <v>0</v>
      </c>
      <c r="AC113" s="2">
        <f t="shared" si="126"/>
        <v>0</v>
      </c>
    </row>
    <row r="114" spans="1:29" ht="12.75" customHeight="1" x14ac:dyDescent="0.25">
      <c r="A114" s="14"/>
      <c r="B114" s="291" t="s">
        <v>29</v>
      </c>
      <c r="C114" s="291"/>
      <c r="D114" s="291"/>
      <c r="E114" s="173">
        <v>851</v>
      </c>
      <c r="F114" s="17" t="s">
        <v>6</v>
      </c>
      <c r="G114" s="17" t="s">
        <v>67</v>
      </c>
      <c r="H114" s="17" t="s">
        <v>69</v>
      </c>
      <c r="I114" s="1" t="s">
        <v>30</v>
      </c>
      <c r="J114" s="2">
        <v>75885</v>
      </c>
      <c r="K114" s="2"/>
      <c r="L114" s="2">
        <f t="shared" si="105"/>
        <v>75885</v>
      </c>
      <c r="M114" s="2">
        <v>-12145</v>
      </c>
      <c r="N114" s="2">
        <f t="shared" si="122"/>
        <v>63740</v>
      </c>
      <c r="O114" s="2"/>
      <c r="P114" s="2">
        <f>N114+O114</f>
        <v>63740</v>
      </c>
      <c r="Q114" s="2"/>
      <c r="R114" s="2"/>
      <c r="S114" s="2"/>
      <c r="T114" s="2"/>
      <c r="U114" s="2">
        <f>P114+Q114</f>
        <v>63740</v>
      </c>
      <c r="V114" s="2">
        <v>3663.77</v>
      </c>
      <c r="W114" s="2">
        <f>V114</f>
        <v>3663.77</v>
      </c>
      <c r="X114" s="2"/>
      <c r="Y114" s="2"/>
      <c r="Z114" s="2">
        <f t="shared" ref="Z114" si="127">U114+V114</f>
        <v>67403.77</v>
      </c>
      <c r="AA114" s="2">
        <f>Z114</f>
        <v>67403.77</v>
      </c>
      <c r="AB114" s="14"/>
      <c r="AC114" s="14"/>
    </row>
    <row r="115" spans="1:29" ht="13.5" customHeight="1" x14ac:dyDescent="0.25">
      <c r="A115" s="330" t="s">
        <v>765</v>
      </c>
      <c r="B115" s="331"/>
      <c r="C115" s="291"/>
      <c r="D115" s="94"/>
      <c r="E115" s="173">
        <v>851</v>
      </c>
      <c r="F115" s="17" t="s">
        <v>6</v>
      </c>
      <c r="G115" s="17" t="s">
        <v>67</v>
      </c>
      <c r="H115" s="17" t="s">
        <v>766</v>
      </c>
      <c r="I115" s="1"/>
      <c r="J115" s="2"/>
      <c r="K115" s="2"/>
      <c r="L115" s="2"/>
      <c r="M115" s="2"/>
      <c r="N115" s="2"/>
      <c r="O115" s="2"/>
      <c r="P115" s="2"/>
      <c r="Q115" s="2"/>
      <c r="R115" s="2"/>
      <c r="S115" s="2"/>
      <c r="T115" s="2"/>
      <c r="U115" s="2">
        <f t="shared" ref="U115:Z116" si="128">U116</f>
        <v>0</v>
      </c>
      <c r="V115" s="2">
        <f t="shared" si="128"/>
        <v>95000</v>
      </c>
      <c r="W115" s="2">
        <f t="shared" si="128"/>
        <v>95000</v>
      </c>
      <c r="X115" s="2">
        <f t="shared" si="128"/>
        <v>0</v>
      </c>
      <c r="Y115" s="2">
        <f t="shared" si="128"/>
        <v>0</v>
      </c>
      <c r="Z115" s="2">
        <f t="shared" si="128"/>
        <v>95000</v>
      </c>
      <c r="AA115" s="2"/>
      <c r="AB115" s="14"/>
      <c r="AC115" s="14"/>
    </row>
    <row r="116" spans="1:29" ht="15.75" customHeight="1" x14ac:dyDescent="0.25">
      <c r="A116" s="14"/>
      <c r="B116" s="291" t="s">
        <v>31</v>
      </c>
      <c r="C116" s="291"/>
      <c r="D116" s="94"/>
      <c r="E116" s="173">
        <v>851</v>
      </c>
      <c r="F116" s="17" t="s">
        <v>6</v>
      </c>
      <c r="G116" s="17" t="s">
        <v>67</v>
      </c>
      <c r="H116" s="17" t="s">
        <v>766</v>
      </c>
      <c r="I116" s="1" t="s">
        <v>32</v>
      </c>
      <c r="J116" s="2"/>
      <c r="K116" s="2"/>
      <c r="L116" s="2"/>
      <c r="M116" s="2"/>
      <c r="N116" s="2"/>
      <c r="O116" s="2"/>
      <c r="P116" s="2"/>
      <c r="Q116" s="2"/>
      <c r="R116" s="2"/>
      <c r="S116" s="2"/>
      <c r="T116" s="2"/>
      <c r="U116" s="2">
        <f t="shared" si="128"/>
        <v>0</v>
      </c>
      <c r="V116" s="2">
        <f t="shared" si="128"/>
        <v>95000</v>
      </c>
      <c r="W116" s="2">
        <f t="shared" si="128"/>
        <v>95000</v>
      </c>
      <c r="X116" s="2">
        <f t="shared" si="128"/>
        <v>0</v>
      </c>
      <c r="Y116" s="2">
        <f t="shared" si="128"/>
        <v>0</v>
      </c>
      <c r="Z116" s="2">
        <f t="shared" si="128"/>
        <v>95000</v>
      </c>
      <c r="AA116" s="2"/>
      <c r="AB116" s="14"/>
      <c r="AC116" s="14"/>
    </row>
    <row r="117" spans="1:29" ht="26.25" customHeight="1" x14ac:dyDescent="0.25">
      <c r="A117" s="14"/>
      <c r="B117" s="291" t="s">
        <v>357</v>
      </c>
      <c r="C117" s="291"/>
      <c r="D117" s="94"/>
      <c r="E117" s="173">
        <v>851</v>
      </c>
      <c r="F117" s="17" t="s">
        <v>6</v>
      </c>
      <c r="G117" s="17" t="s">
        <v>67</v>
      </c>
      <c r="H117" s="17" t="s">
        <v>766</v>
      </c>
      <c r="I117" s="1" t="s">
        <v>65</v>
      </c>
      <c r="J117" s="2"/>
      <c r="K117" s="2"/>
      <c r="L117" s="2"/>
      <c r="M117" s="2"/>
      <c r="N117" s="2"/>
      <c r="O117" s="2"/>
      <c r="P117" s="2"/>
      <c r="Q117" s="2"/>
      <c r="R117" s="2"/>
      <c r="S117" s="2"/>
      <c r="T117" s="2"/>
      <c r="U117" s="2"/>
      <c r="V117" s="2">
        <v>95000</v>
      </c>
      <c r="W117" s="2">
        <v>95000</v>
      </c>
      <c r="X117" s="2"/>
      <c r="Y117" s="2"/>
      <c r="Z117" s="2">
        <f>U117+V117</f>
        <v>95000</v>
      </c>
      <c r="AA117" s="2"/>
      <c r="AB117" s="14"/>
      <c r="AC117" s="14"/>
    </row>
    <row r="118" spans="1:29" ht="25.5" hidden="1" customHeight="1" x14ac:dyDescent="0.25">
      <c r="A118" s="330" t="s">
        <v>411</v>
      </c>
      <c r="B118" s="331"/>
      <c r="C118" s="291"/>
      <c r="D118" s="94"/>
      <c r="E118" s="173">
        <v>851</v>
      </c>
      <c r="F118" s="17" t="s">
        <v>6</v>
      </c>
      <c r="G118" s="17" t="s">
        <v>67</v>
      </c>
      <c r="H118" s="17" t="s">
        <v>538</v>
      </c>
      <c r="I118" s="1"/>
      <c r="J118" s="2">
        <f t="shared" ref="J118:Q119" si="129">J119</f>
        <v>100000</v>
      </c>
      <c r="K118" s="2">
        <f t="shared" si="129"/>
        <v>0</v>
      </c>
      <c r="L118" s="2">
        <f t="shared" si="129"/>
        <v>100000</v>
      </c>
      <c r="M118" s="2">
        <f t="shared" si="129"/>
        <v>0</v>
      </c>
      <c r="N118" s="2">
        <f t="shared" si="129"/>
        <v>100000</v>
      </c>
      <c r="O118" s="2">
        <f t="shared" si="129"/>
        <v>0</v>
      </c>
      <c r="P118" s="2">
        <f t="shared" si="129"/>
        <v>100000</v>
      </c>
      <c r="Q118" s="2">
        <f t="shared" si="129"/>
        <v>0</v>
      </c>
      <c r="R118" s="2"/>
      <c r="S118" s="2"/>
      <c r="T118" s="2"/>
      <c r="U118" s="2">
        <f t="shared" ref="U118:AC119" si="130">U119</f>
        <v>100000</v>
      </c>
      <c r="V118" s="2">
        <f t="shared" si="130"/>
        <v>0</v>
      </c>
      <c r="W118" s="2">
        <f t="shared" si="130"/>
        <v>0</v>
      </c>
      <c r="X118" s="2">
        <f t="shared" si="130"/>
        <v>0</v>
      </c>
      <c r="Y118" s="2">
        <f t="shared" si="130"/>
        <v>0</v>
      </c>
      <c r="Z118" s="2">
        <f t="shared" si="130"/>
        <v>100000</v>
      </c>
      <c r="AA118" s="2">
        <f t="shared" si="130"/>
        <v>0</v>
      </c>
      <c r="AB118" s="2">
        <f t="shared" si="130"/>
        <v>100000</v>
      </c>
      <c r="AC118" s="2">
        <f t="shared" si="130"/>
        <v>0</v>
      </c>
    </row>
    <row r="119" spans="1:29" hidden="1" x14ac:dyDescent="0.25">
      <c r="A119" s="14"/>
      <c r="B119" s="291" t="s">
        <v>31</v>
      </c>
      <c r="C119" s="291"/>
      <c r="D119" s="94"/>
      <c r="E119" s="173">
        <v>851</v>
      </c>
      <c r="F119" s="17" t="s">
        <v>6</v>
      </c>
      <c r="G119" s="17" t="s">
        <v>67</v>
      </c>
      <c r="H119" s="17" t="s">
        <v>538</v>
      </c>
      <c r="I119" s="1" t="s">
        <v>32</v>
      </c>
      <c r="J119" s="2">
        <f t="shared" si="129"/>
        <v>100000</v>
      </c>
      <c r="K119" s="2">
        <f t="shared" si="129"/>
        <v>0</v>
      </c>
      <c r="L119" s="2">
        <f t="shared" si="129"/>
        <v>100000</v>
      </c>
      <c r="M119" s="2">
        <f t="shared" si="129"/>
        <v>0</v>
      </c>
      <c r="N119" s="2">
        <f t="shared" si="129"/>
        <v>100000</v>
      </c>
      <c r="O119" s="2">
        <f t="shared" si="129"/>
        <v>0</v>
      </c>
      <c r="P119" s="2">
        <f t="shared" si="129"/>
        <v>100000</v>
      </c>
      <c r="Q119" s="2">
        <f t="shared" si="129"/>
        <v>0</v>
      </c>
      <c r="R119" s="2"/>
      <c r="S119" s="2"/>
      <c r="T119" s="2"/>
      <c r="U119" s="2">
        <f t="shared" si="130"/>
        <v>100000</v>
      </c>
      <c r="V119" s="2">
        <f t="shared" si="130"/>
        <v>0</v>
      </c>
      <c r="W119" s="2">
        <f t="shared" si="130"/>
        <v>0</v>
      </c>
      <c r="X119" s="2">
        <f t="shared" si="130"/>
        <v>0</v>
      </c>
      <c r="Y119" s="2">
        <f t="shared" si="130"/>
        <v>0</v>
      </c>
      <c r="Z119" s="2">
        <f t="shared" si="130"/>
        <v>100000</v>
      </c>
      <c r="AA119" s="2">
        <f t="shared" si="130"/>
        <v>0</v>
      </c>
      <c r="AB119" s="2">
        <f t="shared" si="130"/>
        <v>100000</v>
      </c>
      <c r="AC119" s="2">
        <f t="shared" si="130"/>
        <v>0</v>
      </c>
    </row>
    <row r="120" spans="1:29" ht="27.75" hidden="1" customHeight="1" x14ac:dyDescent="0.25">
      <c r="A120" s="14"/>
      <c r="B120" s="291" t="s">
        <v>357</v>
      </c>
      <c r="C120" s="291"/>
      <c r="D120" s="94"/>
      <c r="E120" s="173">
        <v>851</v>
      </c>
      <c r="F120" s="17" t="s">
        <v>6</v>
      </c>
      <c r="G120" s="17" t="s">
        <v>67</v>
      </c>
      <c r="H120" s="17" t="s">
        <v>538</v>
      </c>
      <c r="I120" s="1" t="s">
        <v>65</v>
      </c>
      <c r="J120" s="2">
        <v>100000</v>
      </c>
      <c r="K120" s="2"/>
      <c r="L120" s="2">
        <f t="shared" si="105"/>
        <v>100000</v>
      </c>
      <c r="M120" s="2"/>
      <c r="N120" s="2">
        <f t="shared" si="122"/>
        <v>100000</v>
      </c>
      <c r="O120" s="2"/>
      <c r="P120" s="2">
        <f>N120+O120</f>
        <v>100000</v>
      </c>
      <c r="Q120" s="2"/>
      <c r="R120" s="2"/>
      <c r="S120" s="2"/>
      <c r="T120" s="2"/>
      <c r="U120" s="2">
        <f>P120+Q120</f>
        <v>100000</v>
      </c>
      <c r="V120" s="2"/>
      <c r="W120" s="2"/>
      <c r="X120" s="2"/>
      <c r="Y120" s="2"/>
      <c r="Z120" s="2">
        <f t="shared" ref="Z120" si="131">U120+V120</f>
        <v>100000</v>
      </c>
      <c r="AA120" s="14"/>
      <c r="AB120" s="2">
        <f>Z120</f>
        <v>100000</v>
      </c>
      <c r="AC120" s="14"/>
    </row>
    <row r="121" spans="1:29" ht="47.25" customHeight="1" x14ac:dyDescent="0.25">
      <c r="A121" s="330" t="s">
        <v>767</v>
      </c>
      <c r="B121" s="331"/>
      <c r="C121" s="291"/>
      <c r="D121" s="94"/>
      <c r="E121" s="173">
        <v>851</v>
      </c>
      <c r="F121" s="17" t="s">
        <v>6</v>
      </c>
      <c r="G121" s="17" t="s">
        <v>67</v>
      </c>
      <c r="H121" s="17" t="s">
        <v>768</v>
      </c>
      <c r="I121" s="1"/>
      <c r="J121" s="2"/>
      <c r="K121" s="2"/>
      <c r="L121" s="2"/>
      <c r="M121" s="2"/>
      <c r="N121" s="2"/>
      <c r="O121" s="2"/>
      <c r="P121" s="2"/>
      <c r="Q121" s="2"/>
      <c r="R121" s="2"/>
      <c r="S121" s="2"/>
      <c r="T121" s="2"/>
      <c r="U121" s="2">
        <f t="shared" ref="U121:Z122" si="132">U122</f>
        <v>0</v>
      </c>
      <c r="V121" s="2">
        <f t="shared" si="132"/>
        <v>1805000</v>
      </c>
      <c r="W121" s="2">
        <f t="shared" si="132"/>
        <v>1805000</v>
      </c>
      <c r="X121" s="2">
        <f t="shared" si="132"/>
        <v>0</v>
      </c>
      <c r="Y121" s="2">
        <f t="shared" si="132"/>
        <v>0</v>
      </c>
      <c r="Z121" s="2">
        <f t="shared" si="132"/>
        <v>1805000</v>
      </c>
      <c r="AA121" s="14"/>
      <c r="AB121" s="2"/>
      <c r="AC121" s="14"/>
    </row>
    <row r="122" spans="1:29" ht="14.25" customHeight="1" x14ac:dyDescent="0.25">
      <c r="A122" s="14"/>
      <c r="B122" s="291" t="s">
        <v>31</v>
      </c>
      <c r="C122" s="291"/>
      <c r="D122" s="94"/>
      <c r="E122" s="173">
        <v>851</v>
      </c>
      <c r="F122" s="17" t="s">
        <v>6</v>
      </c>
      <c r="G122" s="17" t="s">
        <v>67</v>
      </c>
      <c r="H122" s="17" t="s">
        <v>768</v>
      </c>
      <c r="I122" s="1" t="s">
        <v>32</v>
      </c>
      <c r="J122" s="2"/>
      <c r="K122" s="2"/>
      <c r="L122" s="2"/>
      <c r="M122" s="2"/>
      <c r="N122" s="2"/>
      <c r="O122" s="2"/>
      <c r="P122" s="2"/>
      <c r="Q122" s="2"/>
      <c r="R122" s="2"/>
      <c r="S122" s="2"/>
      <c r="T122" s="2"/>
      <c r="U122" s="2">
        <f t="shared" si="132"/>
        <v>0</v>
      </c>
      <c r="V122" s="2">
        <f t="shared" si="132"/>
        <v>1805000</v>
      </c>
      <c r="W122" s="2">
        <f t="shared" si="132"/>
        <v>1805000</v>
      </c>
      <c r="X122" s="2">
        <f t="shared" si="132"/>
        <v>0</v>
      </c>
      <c r="Y122" s="2">
        <f t="shared" si="132"/>
        <v>0</v>
      </c>
      <c r="Z122" s="2">
        <f t="shared" si="132"/>
        <v>1805000</v>
      </c>
      <c r="AA122" s="14"/>
      <c r="AB122" s="2"/>
      <c r="AC122" s="14"/>
    </row>
    <row r="123" spans="1:29" ht="24" customHeight="1" x14ac:dyDescent="0.25">
      <c r="A123" s="14"/>
      <c r="B123" s="291" t="s">
        <v>357</v>
      </c>
      <c r="C123" s="291"/>
      <c r="D123" s="94"/>
      <c r="E123" s="173">
        <v>851</v>
      </c>
      <c r="F123" s="17" t="s">
        <v>6</v>
      </c>
      <c r="G123" s="17" t="s">
        <v>67</v>
      </c>
      <c r="H123" s="17" t="s">
        <v>768</v>
      </c>
      <c r="I123" s="1" t="s">
        <v>65</v>
      </c>
      <c r="J123" s="2"/>
      <c r="K123" s="2"/>
      <c r="L123" s="2"/>
      <c r="M123" s="2"/>
      <c r="N123" s="2"/>
      <c r="O123" s="2"/>
      <c r="P123" s="2"/>
      <c r="Q123" s="2"/>
      <c r="R123" s="2"/>
      <c r="S123" s="2"/>
      <c r="T123" s="2"/>
      <c r="U123" s="2"/>
      <c r="V123" s="2">
        <v>1805000</v>
      </c>
      <c r="W123" s="2">
        <v>1805000</v>
      </c>
      <c r="X123" s="2"/>
      <c r="Y123" s="2"/>
      <c r="Z123" s="2">
        <f>U123+V123</f>
        <v>1805000</v>
      </c>
      <c r="AA123" s="14"/>
      <c r="AB123" s="2"/>
      <c r="AC123" s="14"/>
    </row>
    <row r="124" spans="1:29" s="9" customFormat="1" ht="13.5" customHeight="1" x14ac:dyDescent="0.25">
      <c r="A124" s="160" t="s">
        <v>70</v>
      </c>
      <c r="B124" s="292"/>
      <c r="C124" s="292"/>
      <c r="E124" s="180">
        <v>851</v>
      </c>
      <c r="F124" s="33" t="s">
        <v>63</v>
      </c>
      <c r="G124" s="33"/>
      <c r="H124" s="33"/>
      <c r="I124" s="6"/>
      <c r="J124" s="7">
        <f t="shared" ref="J124:AC124" si="133">J125+J129</f>
        <v>741440</v>
      </c>
      <c r="K124" s="7">
        <f t="shared" si="133"/>
        <v>943038</v>
      </c>
      <c r="L124" s="7">
        <f t="shared" si="133"/>
        <v>1684478</v>
      </c>
      <c r="M124" s="7">
        <f t="shared" si="133"/>
        <v>0</v>
      </c>
      <c r="N124" s="7">
        <f t="shared" si="133"/>
        <v>1684478</v>
      </c>
      <c r="O124" s="7">
        <f t="shared" si="133"/>
        <v>0</v>
      </c>
      <c r="P124" s="7">
        <f t="shared" si="133"/>
        <v>1684478</v>
      </c>
      <c r="Q124" s="7">
        <f t="shared" si="133"/>
        <v>763137</v>
      </c>
      <c r="R124" s="7">
        <f>SUM(R125:R147)</f>
        <v>969400</v>
      </c>
      <c r="S124" s="7">
        <f t="shared" ref="S124:T124" si="134">SUM(S125:S147)</f>
        <v>-206263</v>
      </c>
      <c r="T124" s="7">
        <f t="shared" si="134"/>
        <v>0</v>
      </c>
      <c r="U124" s="7">
        <f t="shared" si="133"/>
        <v>2447615</v>
      </c>
      <c r="V124" s="7">
        <f t="shared" si="133"/>
        <v>-356293.64</v>
      </c>
      <c r="W124" s="7">
        <f t="shared" si="133"/>
        <v>-207</v>
      </c>
      <c r="X124" s="7">
        <f t="shared" si="133"/>
        <v>-356086.64</v>
      </c>
      <c r="Y124" s="7">
        <f t="shared" si="133"/>
        <v>0</v>
      </c>
      <c r="Z124" s="7">
        <f t="shared" si="133"/>
        <v>2091321.36</v>
      </c>
      <c r="AA124" s="7">
        <f t="shared" si="133"/>
        <v>1254193</v>
      </c>
      <c r="AB124" s="7">
        <f t="shared" si="133"/>
        <v>837128.36</v>
      </c>
      <c r="AC124" s="7">
        <f t="shared" si="133"/>
        <v>0</v>
      </c>
    </row>
    <row r="125" spans="1:29" s="12" customFormat="1" ht="13.5" customHeight="1" x14ac:dyDescent="0.25">
      <c r="A125" s="335" t="s">
        <v>352</v>
      </c>
      <c r="B125" s="335"/>
      <c r="C125" s="295"/>
      <c r="E125" s="173">
        <v>851</v>
      </c>
      <c r="F125" s="19" t="s">
        <v>63</v>
      </c>
      <c r="G125" s="102" t="s">
        <v>17</v>
      </c>
      <c r="H125" s="19"/>
      <c r="I125" s="10"/>
      <c r="J125" s="11">
        <f t="shared" ref="J125:Y127" si="135">J126</f>
        <v>41440</v>
      </c>
      <c r="K125" s="11">
        <f t="shared" si="135"/>
        <v>0</v>
      </c>
      <c r="L125" s="11">
        <f t="shared" si="135"/>
        <v>41440</v>
      </c>
      <c r="M125" s="11">
        <f t="shared" si="135"/>
        <v>0</v>
      </c>
      <c r="N125" s="11">
        <f t="shared" si="135"/>
        <v>41440</v>
      </c>
      <c r="O125" s="11">
        <f t="shared" si="135"/>
        <v>0</v>
      </c>
      <c r="P125" s="11">
        <f t="shared" si="135"/>
        <v>41440</v>
      </c>
      <c r="Q125" s="11">
        <f t="shared" si="135"/>
        <v>0</v>
      </c>
      <c r="R125" s="11"/>
      <c r="S125" s="11"/>
      <c r="T125" s="11"/>
      <c r="U125" s="11">
        <f t="shared" si="135"/>
        <v>41440</v>
      </c>
      <c r="V125" s="11">
        <f t="shared" si="135"/>
        <v>3747.53</v>
      </c>
      <c r="W125" s="11">
        <f t="shared" si="135"/>
        <v>0</v>
      </c>
      <c r="X125" s="11">
        <f t="shared" si="135"/>
        <v>3747.53</v>
      </c>
      <c r="Y125" s="11">
        <f t="shared" si="135"/>
        <v>0</v>
      </c>
      <c r="Z125" s="11">
        <f t="shared" ref="V125:AC127" si="136">Z126</f>
        <v>45187.53</v>
      </c>
      <c r="AA125" s="11">
        <f t="shared" si="136"/>
        <v>0</v>
      </c>
      <c r="AB125" s="11">
        <f t="shared" si="136"/>
        <v>45187.53</v>
      </c>
      <c r="AC125" s="11">
        <f t="shared" si="136"/>
        <v>0</v>
      </c>
    </row>
    <row r="126" spans="1:29" s="12" customFormat="1" ht="13.5" customHeight="1" x14ac:dyDescent="0.25">
      <c r="A126" s="324" t="s">
        <v>425</v>
      </c>
      <c r="B126" s="324"/>
      <c r="C126" s="291"/>
      <c r="D126" s="5"/>
      <c r="E126" s="173">
        <v>851</v>
      </c>
      <c r="F126" s="17" t="s">
        <v>63</v>
      </c>
      <c r="G126" s="101" t="s">
        <v>17</v>
      </c>
      <c r="H126" s="17" t="s">
        <v>426</v>
      </c>
      <c r="I126" s="1"/>
      <c r="J126" s="2">
        <f t="shared" si="135"/>
        <v>41440</v>
      </c>
      <c r="K126" s="2">
        <f t="shared" si="135"/>
        <v>0</v>
      </c>
      <c r="L126" s="2">
        <f t="shared" si="135"/>
        <v>41440</v>
      </c>
      <c r="M126" s="2">
        <f t="shared" si="135"/>
        <v>0</v>
      </c>
      <c r="N126" s="2">
        <f t="shared" si="135"/>
        <v>41440</v>
      </c>
      <c r="O126" s="2">
        <f t="shared" si="135"/>
        <v>0</v>
      </c>
      <c r="P126" s="2">
        <f t="shared" si="135"/>
        <v>41440</v>
      </c>
      <c r="Q126" s="2">
        <f t="shared" si="135"/>
        <v>0</v>
      </c>
      <c r="R126" s="2"/>
      <c r="S126" s="2"/>
      <c r="T126" s="2"/>
      <c r="U126" s="2">
        <f t="shared" si="135"/>
        <v>41440</v>
      </c>
      <c r="V126" s="2">
        <f t="shared" si="135"/>
        <v>3747.53</v>
      </c>
      <c r="W126" s="2">
        <f t="shared" si="135"/>
        <v>0</v>
      </c>
      <c r="X126" s="2">
        <f t="shared" si="135"/>
        <v>3747.53</v>
      </c>
      <c r="Y126" s="2">
        <f t="shared" si="135"/>
        <v>0</v>
      </c>
      <c r="Z126" s="2">
        <f t="shared" si="136"/>
        <v>45187.53</v>
      </c>
      <c r="AA126" s="2">
        <f t="shared" si="136"/>
        <v>0</v>
      </c>
      <c r="AB126" s="2">
        <f t="shared" si="136"/>
        <v>45187.53</v>
      </c>
      <c r="AC126" s="2">
        <f t="shared" si="136"/>
        <v>0</v>
      </c>
    </row>
    <row r="127" spans="1:29" s="12" customFormat="1" ht="15" customHeight="1" x14ac:dyDescent="0.25">
      <c r="A127" s="291"/>
      <c r="B127" s="303" t="s">
        <v>27</v>
      </c>
      <c r="C127" s="291"/>
      <c r="D127" s="291"/>
      <c r="E127" s="173">
        <v>851</v>
      </c>
      <c r="F127" s="17" t="s">
        <v>63</v>
      </c>
      <c r="G127" s="101" t="s">
        <v>17</v>
      </c>
      <c r="H127" s="17" t="s">
        <v>426</v>
      </c>
      <c r="I127" s="1" t="s">
        <v>28</v>
      </c>
      <c r="J127" s="2">
        <f t="shared" si="135"/>
        <v>41440</v>
      </c>
      <c r="K127" s="2">
        <f t="shared" si="135"/>
        <v>0</v>
      </c>
      <c r="L127" s="2">
        <f t="shared" si="135"/>
        <v>41440</v>
      </c>
      <c r="M127" s="2">
        <f t="shared" si="135"/>
        <v>0</v>
      </c>
      <c r="N127" s="2">
        <f t="shared" si="135"/>
        <v>41440</v>
      </c>
      <c r="O127" s="2">
        <f t="shared" si="135"/>
        <v>0</v>
      </c>
      <c r="P127" s="2">
        <f t="shared" si="135"/>
        <v>41440</v>
      </c>
      <c r="Q127" s="2">
        <f t="shared" si="135"/>
        <v>0</v>
      </c>
      <c r="R127" s="2"/>
      <c r="S127" s="2"/>
      <c r="T127" s="2"/>
      <c r="U127" s="2">
        <f t="shared" si="135"/>
        <v>41440</v>
      </c>
      <c r="V127" s="2">
        <f t="shared" si="136"/>
        <v>3747.53</v>
      </c>
      <c r="W127" s="2">
        <f t="shared" si="136"/>
        <v>0</v>
      </c>
      <c r="X127" s="2">
        <f t="shared" si="136"/>
        <v>3747.53</v>
      </c>
      <c r="Y127" s="2">
        <f t="shared" si="136"/>
        <v>0</v>
      </c>
      <c r="Z127" s="2">
        <f t="shared" si="136"/>
        <v>45187.53</v>
      </c>
      <c r="AA127" s="2">
        <f t="shared" si="136"/>
        <v>0</v>
      </c>
      <c r="AB127" s="2">
        <f t="shared" si="136"/>
        <v>45187.53</v>
      </c>
      <c r="AC127" s="2">
        <f t="shared" si="136"/>
        <v>0</v>
      </c>
    </row>
    <row r="128" spans="1:29" s="12" customFormat="1" ht="13.5" customHeight="1" x14ac:dyDescent="0.25">
      <c r="A128" s="291"/>
      <c r="B128" s="303" t="s">
        <v>29</v>
      </c>
      <c r="C128" s="291"/>
      <c r="D128" s="291"/>
      <c r="E128" s="173">
        <v>851</v>
      </c>
      <c r="F128" s="17" t="s">
        <v>63</v>
      </c>
      <c r="G128" s="101" t="s">
        <v>17</v>
      </c>
      <c r="H128" s="17" t="s">
        <v>426</v>
      </c>
      <c r="I128" s="1" t="s">
        <v>30</v>
      </c>
      <c r="J128" s="2">
        <f>41422+18</f>
        <v>41440</v>
      </c>
      <c r="K128" s="2"/>
      <c r="L128" s="2">
        <f t="shared" si="105"/>
        <v>41440</v>
      </c>
      <c r="M128" s="2"/>
      <c r="N128" s="2">
        <f t="shared" ref="N128" si="137">L128+M128</f>
        <v>41440</v>
      </c>
      <c r="O128" s="2"/>
      <c r="P128" s="2">
        <f>N128+O128</f>
        <v>41440</v>
      </c>
      <c r="Q128" s="2"/>
      <c r="R128" s="2"/>
      <c r="S128" s="2"/>
      <c r="T128" s="2"/>
      <c r="U128" s="2">
        <f>P128+Q128</f>
        <v>41440</v>
      </c>
      <c r="V128" s="2">
        <v>3747.53</v>
      </c>
      <c r="W128" s="2"/>
      <c r="X128" s="2">
        <f>V127</f>
        <v>3747.53</v>
      </c>
      <c r="Y128" s="2"/>
      <c r="Z128" s="2">
        <f t="shared" ref="Z128" si="138">U128+V128</f>
        <v>45187.53</v>
      </c>
      <c r="AA128" s="305"/>
      <c r="AB128" s="2">
        <f>Z128</f>
        <v>45187.53</v>
      </c>
      <c r="AC128" s="305"/>
    </row>
    <row r="129" spans="1:29" s="12" customFormat="1" x14ac:dyDescent="0.25">
      <c r="A129" s="305" t="s">
        <v>71</v>
      </c>
      <c r="B129" s="295"/>
      <c r="C129" s="295"/>
      <c r="E129" s="173">
        <v>851</v>
      </c>
      <c r="F129" s="19" t="s">
        <v>63</v>
      </c>
      <c r="G129" s="19" t="s">
        <v>72</v>
      </c>
      <c r="H129" s="19"/>
      <c r="I129" s="10"/>
      <c r="J129" s="11">
        <f>J130+J133+J136+J139</f>
        <v>700000</v>
      </c>
      <c r="K129" s="11">
        <f t="shared" ref="K129" si="139">K130+K133+K136+K139</f>
        <v>943038</v>
      </c>
      <c r="L129" s="11">
        <f>L130+L133+L136+L139</f>
        <v>1643038</v>
      </c>
      <c r="M129" s="11">
        <f t="shared" ref="M129:O129" si="140">M130+M133+M136+M139</f>
        <v>0</v>
      </c>
      <c r="N129" s="11">
        <f t="shared" si="140"/>
        <v>1643038</v>
      </c>
      <c r="O129" s="11">
        <f t="shared" si="140"/>
        <v>0</v>
      </c>
      <c r="P129" s="11">
        <f>P130+P133+P136+P139+P142+P145</f>
        <v>1643038</v>
      </c>
      <c r="Q129" s="11">
        <f t="shared" ref="Q129:AC129" si="141">Q130+Q133+Q136+Q139+Q142+Q145</f>
        <v>763137</v>
      </c>
      <c r="R129" s="11"/>
      <c r="S129" s="11"/>
      <c r="T129" s="11"/>
      <c r="U129" s="11">
        <f t="shared" si="141"/>
        <v>2406175</v>
      </c>
      <c r="V129" s="11">
        <f t="shared" si="141"/>
        <v>-360041.17000000004</v>
      </c>
      <c r="W129" s="11">
        <f t="shared" si="141"/>
        <v>-207</v>
      </c>
      <c r="X129" s="11">
        <f t="shared" si="141"/>
        <v>-359834.17000000004</v>
      </c>
      <c r="Y129" s="11">
        <f t="shared" si="141"/>
        <v>0</v>
      </c>
      <c r="Z129" s="11">
        <f t="shared" si="141"/>
        <v>2046133.83</v>
      </c>
      <c r="AA129" s="11">
        <f t="shared" si="141"/>
        <v>1254193</v>
      </c>
      <c r="AB129" s="11">
        <f t="shared" si="141"/>
        <v>791940.83</v>
      </c>
      <c r="AC129" s="11">
        <f t="shared" si="141"/>
        <v>0</v>
      </c>
    </row>
    <row r="130" spans="1:29" ht="14.25" customHeight="1" x14ac:dyDescent="0.25">
      <c r="A130" s="333" t="s">
        <v>579</v>
      </c>
      <c r="B130" s="334"/>
      <c r="C130" s="291"/>
      <c r="E130" s="173">
        <v>851</v>
      </c>
      <c r="F130" s="17" t="s">
        <v>63</v>
      </c>
      <c r="G130" s="17" t="s">
        <v>72</v>
      </c>
      <c r="H130" s="17" t="s">
        <v>578</v>
      </c>
      <c r="I130" s="1"/>
      <c r="J130" s="2">
        <f t="shared" ref="J130:Q131" si="142">J131</f>
        <v>0</v>
      </c>
      <c r="K130" s="2">
        <f t="shared" si="142"/>
        <v>285000</v>
      </c>
      <c r="L130" s="2">
        <f t="shared" si="142"/>
        <v>285000</v>
      </c>
      <c r="M130" s="2">
        <f t="shared" si="142"/>
        <v>0</v>
      </c>
      <c r="N130" s="2">
        <f t="shared" si="142"/>
        <v>285000</v>
      </c>
      <c r="O130" s="2">
        <f t="shared" si="142"/>
        <v>0</v>
      </c>
      <c r="P130" s="2">
        <f t="shared" si="142"/>
        <v>285000</v>
      </c>
      <c r="Q130" s="2">
        <f t="shared" si="142"/>
        <v>0</v>
      </c>
      <c r="R130" s="2"/>
      <c r="S130" s="2"/>
      <c r="T130" s="2"/>
      <c r="U130" s="2">
        <f t="shared" ref="U130:AC131" si="143">U131</f>
        <v>285000</v>
      </c>
      <c r="V130" s="2">
        <f t="shared" si="143"/>
        <v>-207</v>
      </c>
      <c r="W130" s="2">
        <f t="shared" si="143"/>
        <v>-207</v>
      </c>
      <c r="X130" s="2">
        <f t="shared" si="143"/>
        <v>0</v>
      </c>
      <c r="Y130" s="2">
        <f t="shared" si="143"/>
        <v>0</v>
      </c>
      <c r="Z130" s="2">
        <f t="shared" si="143"/>
        <v>284793</v>
      </c>
      <c r="AA130" s="2">
        <f t="shared" si="143"/>
        <v>284793</v>
      </c>
      <c r="AB130" s="2">
        <f t="shared" si="143"/>
        <v>0</v>
      </c>
      <c r="AC130" s="2">
        <f t="shared" si="143"/>
        <v>0</v>
      </c>
    </row>
    <row r="131" spans="1:29" s="12" customFormat="1" ht="13.5" customHeight="1" x14ac:dyDescent="0.25">
      <c r="A131" s="305"/>
      <c r="B131" s="291" t="s">
        <v>436</v>
      </c>
      <c r="C131" s="295"/>
      <c r="E131" s="173">
        <v>851</v>
      </c>
      <c r="F131" s="17" t="s">
        <v>63</v>
      </c>
      <c r="G131" s="17" t="s">
        <v>72</v>
      </c>
      <c r="H131" s="17" t="s">
        <v>578</v>
      </c>
      <c r="I131" s="1" t="s">
        <v>75</v>
      </c>
      <c r="J131" s="2">
        <f t="shared" si="142"/>
        <v>0</v>
      </c>
      <c r="K131" s="2">
        <f t="shared" si="142"/>
        <v>285000</v>
      </c>
      <c r="L131" s="2">
        <f t="shared" si="142"/>
        <v>285000</v>
      </c>
      <c r="M131" s="2">
        <f t="shared" si="142"/>
        <v>0</v>
      </c>
      <c r="N131" s="2">
        <f t="shared" si="142"/>
        <v>285000</v>
      </c>
      <c r="O131" s="2">
        <f t="shared" si="142"/>
        <v>0</v>
      </c>
      <c r="P131" s="2">
        <f t="shared" si="142"/>
        <v>285000</v>
      </c>
      <c r="Q131" s="2">
        <f t="shared" si="142"/>
        <v>0</v>
      </c>
      <c r="R131" s="2"/>
      <c r="S131" s="2"/>
      <c r="T131" s="2"/>
      <c r="U131" s="2">
        <f t="shared" si="143"/>
        <v>285000</v>
      </c>
      <c r="V131" s="2">
        <f t="shared" si="143"/>
        <v>-207</v>
      </c>
      <c r="W131" s="2">
        <f t="shared" si="143"/>
        <v>-207</v>
      </c>
      <c r="X131" s="2">
        <f t="shared" si="143"/>
        <v>0</v>
      </c>
      <c r="Y131" s="2">
        <f t="shared" si="143"/>
        <v>0</v>
      </c>
      <c r="Z131" s="2">
        <f t="shared" si="143"/>
        <v>284793</v>
      </c>
      <c r="AA131" s="2">
        <f t="shared" si="143"/>
        <v>284793</v>
      </c>
      <c r="AB131" s="2">
        <f t="shared" si="143"/>
        <v>0</v>
      </c>
      <c r="AC131" s="2">
        <f t="shared" si="143"/>
        <v>0</v>
      </c>
    </row>
    <row r="132" spans="1:29" s="12" customFormat="1" ht="24" x14ac:dyDescent="0.25">
      <c r="A132" s="305"/>
      <c r="B132" s="291" t="s">
        <v>76</v>
      </c>
      <c r="C132" s="295"/>
      <c r="E132" s="173">
        <v>851</v>
      </c>
      <c r="F132" s="17" t="s">
        <v>63</v>
      </c>
      <c r="G132" s="17" t="s">
        <v>72</v>
      </c>
      <c r="H132" s="17" t="s">
        <v>578</v>
      </c>
      <c r="I132" s="1" t="s">
        <v>77</v>
      </c>
      <c r="J132" s="2">
        <v>0</v>
      </c>
      <c r="K132" s="2">
        <v>285000</v>
      </c>
      <c r="L132" s="2">
        <f t="shared" ref="L132" si="144">J132+K132</f>
        <v>285000</v>
      </c>
      <c r="M132" s="2"/>
      <c r="N132" s="2">
        <f t="shared" ref="N132:N138" si="145">L132+M132</f>
        <v>285000</v>
      </c>
      <c r="O132" s="2"/>
      <c r="P132" s="2">
        <f>N132+O132</f>
        <v>285000</v>
      </c>
      <c r="Q132" s="2"/>
      <c r="R132" s="2"/>
      <c r="S132" s="2"/>
      <c r="T132" s="2"/>
      <c r="U132" s="2">
        <f>P132+Q132</f>
        <v>285000</v>
      </c>
      <c r="V132" s="2">
        <v>-207</v>
      </c>
      <c r="W132" s="2">
        <v>-207</v>
      </c>
      <c r="X132" s="2"/>
      <c r="Y132" s="2"/>
      <c r="Z132" s="2">
        <f t="shared" ref="Z132" si="146">U132+V132</f>
        <v>284793</v>
      </c>
      <c r="AA132" s="2">
        <f>Z132</f>
        <v>284793</v>
      </c>
      <c r="AB132" s="305"/>
      <c r="AC132" s="305"/>
    </row>
    <row r="133" spans="1:29" ht="12" customHeight="1" x14ac:dyDescent="0.25">
      <c r="A133" s="324" t="s">
        <v>73</v>
      </c>
      <c r="B133" s="324"/>
      <c r="C133" s="291"/>
      <c r="D133" s="291"/>
      <c r="E133" s="173">
        <v>851</v>
      </c>
      <c r="F133" s="17" t="s">
        <v>63</v>
      </c>
      <c r="G133" s="17" t="s">
        <v>72</v>
      </c>
      <c r="H133" s="17" t="s">
        <v>74</v>
      </c>
      <c r="I133" s="1"/>
      <c r="J133" s="2">
        <f t="shared" ref="J133:Q134" si="147">J134</f>
        <v>700000</v>
      </c>
      <c r="K133" s="2">
        <f t="shared" si="147"/>
        <v>10570</v>
      </c>
      <c r="L133" s="2">
        <f t="shared" si="147"/>
        <v>710570</v>
      </c>
      <c r="M133" s="2">
        <f t="shared" si="147"/>
        <v>0</v>
      </c>
      <c r="N133" s="2">
        <f t="shared" si="147"/>
        <v>710570</v>
      </c>
      <c r="O133" s="2">
        <f t="shared" si="147"/>
        <v>0</v>
      </c>
      <c r="P133" s="2">
        <f t="shared" si="147"/>
        <v>710570</v>
      </c>
      <c r="Q133" s="2">
        <f t="shared" si="147"/>
        <v>0</v>
      </c>
      <c r="R133" s="2"/>
      <c r="S133" s="2"/>
      <c r="T133" s="2"/>
      <c r="U133" s="2">
        <f t="shared" ref="U133:AC134" si="148">U134</f>
        <v>710570</v>
      </c>
      <c r="V133" s="2">
        <f t="shared" si="148"/>
        <v>-127601.5</v>
      </c>
      <c r="W133" s="2">
        <f t="shared" si="148"/>
        <v>0</v>
      </c>
      <c r="X133" s="2">
        <f t="shared" si="148"/>
        <v>-127601.5</v>
      </c>
      <c r="Y133" s="2">
        <f t="shared" si="148"/>
        <v>0</v>
      </c>
      <c r="Z133" s="2">
        <f t="shared" si="148"/>
        <v>582968.5</v>
      </c>
      <c r="AA133" s="2">
        <f t="shared" si="148"/>
        <v>0</v>
      </c>
      <c r="AB133" s="2">
        <f t="shared" si="148"/>
        <v>582968.5</v>
      </c>
      <c r="AC133" s="2">
        <f t="shared" si="148"/>
        <v>0</v>
      </c>
    </row>
    <row r="134" spans="1:29" ht="13.5" customHeight="1" x14ac:dyDescent="0.25">
      <c r="A134" s="291"/>
      <c r="B134" s="291" t="s">
        <v>436</v>
      </c>
      <c r="C134" s="291"/>
      <c r="D134" s="291"/>
      <c r="E134" s="173">
        <v>851</v>
      </c>
      <c r="F134" s="17" t="s">
        <v>63</v>
      </c>
      <c r="G134" s="17" t="s">
        <v>72</v>
      </c>
      <c r="H134" s="17" t="s">
        <v>74</v>
      </c>
      <c r="I134" s="1" t="s">
        <v>75</v>
      </c>
      <c r="J134" s="2">
        <f t="shared" si="147"/>
        <v>700000</v>
      </c>
      <c r="K134" s="2">
        <f t="shared" si="147"/>
        <v>10570</v>
      </c>
      <c r="L134" s="2">
        <f t="shared" si="147"/>
        <v>710570</v>
      </c>
      <c r="M134" s="2">
        <f t="shared" si="147"/>
        <v>0</v>
      </c>
      <c r="N134" s="2">
        <f t="shared" si="147"/>
        <v>710570</v>
      </c>
      <c r="O134" s="2">
        <f t="shared" si="147"/>
        <v>0</v>
      </c>
      <c r="P134" s="2">
        <f t="shared" si="147"/>
        <v>710570</v>
      </c>
      <c r="Q134" s="2">
        <f t="shared" si="147"/>
        <v>0</v>
      </c>
      <c r="R134" s="2"/>
      <c r="S134" s="2"/>
      <c r="T134" s="2"/>
      <c r="U134" s="2">
        <f t="shared" si="148"/>
        <v>710570</v>
      </c>
      <c r="V134" s="2">
        <f t="shared" si="148"/>
        <v>-127601.5</v>
      </c>
      <c r="W134" s="2">
        <f t="shared" si="148"/>
        <v>0</v>
      </c>
      <c r="X134" s="2">
        <f t="shared" si="148"/>
        <v>-127601.5</v>
      </c>
      <c r="Y134" s="2">
        <f t="shared" si="148"/>
        <v>0</v>
      </c>
      <c r="Z134" s="2">
        <f t="shared" si="148"/>
        <v>582968.5</v>
      </c>
      <c r="AA134" s="2">
        <f t="shared" si="148"/>
        <v>0</v>
      </c>
      <c r="AB134" s="2">
        <f t="shared" si="148"/>
        <v>582968.5</v>
      </c>
      <c r="AC134" s="2">
        <f t="shared" si="148"/>
        <v>0</v>
      </c>
    </row>
    <row r="135" spans="1:29" ht="25.5" customHeight="1" x14ac:dyDescent="0.25">
      <c r="A135" s="14"/>
      <c r="B135" s="291" t="s">
        <v>76</v>
      </c>
      <c r="C135" s="291"/>
      <c r="D135" s="291"/>
      <c r="E135" s="173">
        <v>851</v>
      </c>
      <c r="F135" s="17" t="s">
        <v>63</v>
      </c>
      <c r="G135" s="17" t="s">
        <v>72</v>
      </c>
      <c r="H135" s="17" t="s">
        <v>74</v>
      </c>
      <c r="I135" s="1" t="s">
        <v>77</v>
      </c>
      <c r="J135" s="2">
        <v>700000</v>
      </c>
      <c r="K135" s="2">
        <v>10570</v>
      </c>
      <c r="L135" s="2">
        <f t="shared" si="105"/>
        <v>710570</v>
      </c>
      <c r="M135" s="2"/>
      <c r="N135" s="2">
        <f t="shared" si="145"/>
        <v>710570</v>
      </c>
      <c r="O135" s="2"/>
      <c r="P135" s="2">
        <f>N135+O135</f>
        <v>710570</v>
      </c>
      <c r="Q135" s="2"/>
      <c r="R135" s="2"/>
      <c r="S135" s="2"/>
      <c r="T135" s="2"/>
      <c r="U135" s="2">
        <f>P135+Q135</f>
        <v>710570</v>
      </c>
      <c r="V135" s="2">
        <v>-127601.5</v>
      </c>
      <c r="W135" s="2"/>
      <c r="X135" s="2">
        <f>V134</f>
        <v>-127601.5</v>
      </c>
      <c r="Y135" s="2"/>
      <c r="Z135" s="2">
        <f t="shared" ref="Z135" si="149">U135+V135</f>
        <v>582968.5</v>
      </c>
      <c r="AA135" s="14"/>
      <c r="AB135" s="2">
        <f>Z135</f>
        <v>582968.5</v>
      </c>
      <c r="AC135" s="14"/>
    </row>
    <row r="136" spans="1:29" ht="12.75" hidden="1" customHeight="1" x14ac:dyDescent="0.25">
      <c r="A136" s="324" t="s">
        <v>563</v>
      </c>
      <c r="B136" s="324"/>
      <c r="C136" s="291"/>
      <c r="D136" s="291"/>
      <c r="E136" s="173">
        <v>851</v>
      </c>
      <c r="F136" s="17" t="s">
        <v>63</v>
      </c>
      <c r="G136" s="17" t="s">
        <v>72</v>
      </c>
      <c r="H136" s="17" t="s">
        <v>564</v>
      </c>
      <c r="I136" s="1"/>
      <c r="J136" s="2">
        <f t="shared" ref="J136:Q137" si="150">J137</f>
        <v>0</v>
      </c>
      <c r="K136" s="2">
        <f t="shared" si="150"/>
        <v>15000</v>
      </c>
      <c r="L136" s="2">
        <f t="shared" si="150"/>
        <v>15000</v>
      </c>
      <c r="M136" s="2">
        <f t="shared" si="150"/>
        <v>0</v>
      </c>
      <c r="N136" s="2">
        <f t="shared" si="150"/>
        <v>15000</v>
      </c>
      <c r="O136" s="2">
        <f t="shared" si="150"/>
        <v>0</v>
      </c>
      <c r="P136" s="2">
        <f t="shared" si="150"/>
        <v>15000</v>
      </c>
      <c r="Q136" s="2">
        <f t="shared" si="150"/>
        <v>0</v>
      </c>
      <c r="R136" s="2"/>
      <c r="S136" s="2"/>
      <c r="T136" s="2"/>
      <c r="U136" s="2">
        <f t="shared" ref="U136:AC137" si="151">U137</f>
        <v>15000</v>
      </c>
      <c r="V136" s="2">
        <f t="shared" si="151"/>
        <v>0</v>
      </c>
      <c r="W136" s="2">
        <f t="shared" si="151"/>
        <v>0</v>
      </c>
      <c r="X136" s="2">
        <f t="shared" si="151"/>
        <v>0</v>
      </c>
      <c r="Y136" s="2">
        <f t="shared" si="151"/>
        <v>0</v>
      </c>
      <c r="Z136" s="2">
        <f t="shared" si="151"/>
        <v>15000</v>
      </c>
      <c r="AA136" s="2">
        <f t="shared" si="151"/>
        <v>0</v>
      </c>
      <c r="AB136" s="2">
        <f t="shared" si="151"/>
        <v>15000</v>
      </c>
      <c r="AC136" s="2">
        <f t="shared" si="151"/>
        <v>0</v>
      </c>
    </row>
    <row r="137" spans="1:29" ht="13.5" hidden="1" customHeight="1" x14ac:dyDescent="0.25">
      <c r="A137" s="291"/>
      <c r="B137" s="291" t="s">
        <v>436</v>
      </c>
      <c r="C137" s="291"/>
      <c r="D137" s="291"/>
      <c r="E137" s="173">
        <v>851</v>
      </c>
      <c r="F137" s="17" t="s">
        <v>63</v>
      </c>
      <c r="G137" s="17" t="s">
        <v>72</v>
      </c>
      <c r="H137" s="17" t="s">
        <v>564</v>
      </c>
      <c r="I137" s="1" t="s">
        <v>75</v>
      </c>
      <c r="J137" s="2">
        <f t="shared" si="150"/>
        <v>0</v>
      </c>
      <c r="K137" s="2">
        <f t="shared" si="150"/>
        <v>15000</v>
      </c>
      <c r="L137" s="2">
        <f t="shared" si="150"/>
        <v>15000</v>
      </c>
      <c r="M137" s="2">
        <f t="shared" si="150"/>
        <v>0</v>
      </c>
      <c r="N137" s="2">
        <f t="shared" si="150"/>
        <v>15000</v>
      </c>
      <c r="O137" s="2">
        <f t="shared" si="150"/>
        <v>0</v>
      </c>
      <c r="P137" s="2">
        <f t="shared" si="150"/>
        <v>15000</v>
      </c>
      <c r="Q137" s="2">
        <f t="shared" si="150"/>
        <v>0</v>
      </c>
      <c r="R137" s="2"/>
      <c r="S137" s="2"/>
      <c r="T137" s="2"/>
      <c r="U137" s="2">
        <f t="shared" si="151"/>
        <v>15000</v>
      </c>
      <c r="V137" s="2">
        <f t="shared" si="151"/>
        <v>0</v>
      </c>
      <c r="W137" s="2">
        <f t="shared" si="151"/>
        <v>0</v>
      </c>
      <c r="X137" s="2">
        <f t="shared" si="151"/>
        <v>0</v>
      </c>
      <c r="Y137" s="2">
        <f t="shared" si="151"/>
        <v>0</v>
      </c>
      <c r="Z137" s="2">
        <f t="shared" si="151"/>
        <v>15000</v>
      </c>
      <c r="AA137" s="2">
        <f t="shared" si="151"/>
        <v>0</v>
      </c>
      <c r="AB137" s="2">
        <f t="shared" si="151"/>
        <v>15000</v>
      </c>
      <c r="AC137" s="2">
        <f t="shared" si="151"/>
        <v>0</v>
      </c>
    </row>
    <row r="138" spans="1:29" ht="25.5" hidden="1" customHeight="1" x14ac:dyDescent="0.25">
      <c r="A138" s="14"/>
      <c r="B138" s="291" t="s">
        <v>76</v>
      </c>
      <c r="C138" s="291"/>
      <c r="D138" s="291"/>
      <c r="E138" s="173">
        <v>851</v>
      </c>
      <c r="F138" s="17" t="s">
        <v>63</v>
      </c>
      <c r="G138" s="17" t="s">
        <v>72</v>
      </c>
      <c r="H138" s="17" t="s">
        <v>564</v>
      </c>
      <c r="I138" s="1" t="s">
        <v>77</v>
      </c>
      <c r="J138" s="2">
        <v>0</v>
      </c>
      <c r="K138" s="2">
        <v>15000</v>
      </c>
      <c r="L138" s="2">
        <f t="shared" ref="L138" si="152">J138+K138</f>
        <v>15000</v>
      </c>
      <c r="M138" s="2"/>
      <c r="N138" s="2">
        <f t="shared" si="145"/>
        <v>15000</v>
      </c>
      <c r="O138" s="2"/>
      <c r="P138" s="2">
        <f>N138+O138</f>
        <v>15000</v>
      </c>
      <c r="Q138" s="2"/>
      <c r="R138" s="2"/>
      <c r="S138" s="2"/>
      <c r="T138" s="2"/>
      <c r="U138" s="2">
        <f>P138+Q138</f>
        <v>15000</v>
      </c>
      <c r="V138" s="2"/>
      <c r="W138" s="2"/>
      <c r="X138" s="2"/>
      <c r="Y138" s="2"/>
      <c r="Z138" s="2">
        <f t="shared" ref="Z138" si="153">U138+V138</f>
        <v>15000</v>
      </c>
      <c r="AA138" s="14"/>
      <c r="AB138" s="2">
        <f>Z138</f>
        <v>15000</v>
      </c>
      <c r="AC138" s="14"/>
    </row>
    <row r="139" spans="1:29" ht="12.75" hidden="1" customHeight="1" x14ac:dyDescent="0.25">
      <c r="A139" s="333" t="s">
        <v>582</v>
      </c>
      <c r="B139" s="334"/>
      <c r="C139" s="291"/>
      <c r="D139" s="291"/>
      <c r="E139" s="173">
        <v>851</v>
      </c>
      <c r="F139" s="17" t="s">
        <v>63</v>
      </c>
      <c r="G139" s="17" t="s">
        <v>72</v>
      </c>
      <c r="H139" s="17" t="s">
        <v>595</v>
      </c>
      <c r="I139" s="1"/>
      <c r="J139" s="2">
        <f t="shared" ref="J139:Q143" si="154">J140</f>
        <v>0</v>
      </c>
      <c r="K139" s="2">
        <f t="shared" si="154"/>
        <v>632468</v>
      </c>
      <c r="L139" s="2">
        <f t="shared" si="154"/>
        <v>632468</v>
      </c>
      <c r="M139" s="2">
        <f t="shared" si="154"/>
        <v>0</v>
      </c>
      <c r="N139" s="2">
        <f t="shared" si="154"/>
        <v>632468</v>
      </c>
      <c r="O139" s="2">
        <f t="shared" si="154"/>
        <v>0</v>
      </c>
      <c r="P139" s="2">
        <f t="shared" si="154"/>
        <v>632468</v>
      </c>
      <c r="Q139" s="2">
        <f t="shared" si="154"/>
        <v>-632468</v>
      </c>
      <c r="R139" s="2"/>
      <c r="S139" s="2"/>
      <c r="T139" s="2"/>
      <c r="U139" s="2">
        <f t="shared" ref="U139:AC143" si="155">U140</f>
        <v>0</v>
      </c>
      <c r="V139" s="2">
        <f t="shared" si="155"/>
        <v>0</v>
      </c>
      <c r="W139" s="2">
        <f t="shared" si="155"/>
        <v>0</v>
      </c>
      <c r="X139" s="2">
        <f t="shared" si="155"/>
        <v>0</v>
      </c>
      <c r="Y139" s="2">
        <f t="shared" si="155"/>
        <v>0</v>
      </c>
      <c r="Z139" s="2">
        <f t="shared" si="155"/>
        <v>0</v>
      </c>
      <c r="AA139" s="2">
        <f t="shared" si="155"/>
        <v>0</v>
      </c>
      <c r="AB139" s="2">
        <f t="shared" si="155"/>
        <v>0</v>
      </c>
      <c r="AC139" s="2">
        <f t="shared" si="155"/>
        <v>0</v>
      </c>
    </row>
    <row r="140" spans="1:29" s="12" customFormat="1" ht="12.75" hidden="1" customHeight="1" x14ac:dyDescent="0.25">
      <c r="A140" s="291"/>
      <c r="B140" s="303" t="s">
        <v>27</v>
      </c>
      <c r="C140" s="291"/>
      <c r="D140" s="291"/>
      <c r="E140" s="173">
        <v>851</v>
      </c>
      <c r="F140" s="17" t="s">
        <v>63</v>
      </c>
      <c r="G140" s="101" t="s">
        <v>72</v>
      </c>
      <c r="H140" s="17" t="s">
        <v>595</v>
      </c>
      <c r="I140" s="1" t="s">
        <v>28</v>
      </c>
      <c r="J140" s="2">
        <f t="shared" si="154"/>
        <v>0</v>
      </c>
      <c r="K140" s="2">
        <f t="shared" si="154"/>
        <v>632468</v>
      </c>
      <c r="L140" s="2">
        <f t="shared" si="154"/>
        <v>632468</v>
      </c>
      <c r="M140" s="2">
        <f t="shared" si="154"/>
        <v>0</v>
      </c>
      <c r="N140" s="2">
        <f t="shared" si="154"/>
        <v>632468</v>
      </c>
      <c r="O140" s="2">
        <f t="shared" si="154"/>
        <v>0</v>
      </c>
      <c r="P140" s="2">
        <f t="shared" si="154"/>
        <v>632468</v>
      </c>
      <c r="Q140" s="2">
        <f t="shared" si="154"/>
        <v>-632468</v>
      </c>
      <c r="R140" s="2"/>
      <c r="S140" s="2"/>
      <c r="T140" s="2"/>
      <c r="U140" s="2">
        <f t="shared" si="155"/>
        <v>0</v>
      </c>
      <c r="V140" s="2">
        <f t="shared" si="155"/>
        <v>0</v>
      </c>
      <c r="W140" s="2">
        <f t="shared" si="155"/>
        <v>0</v>
      </c>
      <c r="X140" s="2">
        <f t="shared" si="155"/>
        <v>0</v>
      </c>
      <c r="Y140" s="2">
        <f t="shared" si="155"/>
        <v>0</v>
      </c>
      <c r="Z140" s="2">
        <f t="shared" si="155"/>
        <v>0</v>
      </c>
      <c r="AA140" s="2">
        <f t="shared" si="155"/>
        <v>0</v>
      </c>
      <c r="AB140" s="2">
        <f t="shared" si="155"/>
        <v>0</v>
      </c>
      <c r="AC140" s="2">
        <f t="shared" si="155"/>
        <v>0</v>
      </c>
    </row>
    <row r="141" spans="1:29" s="12" customFormat="1" ht="26.25" hidden="1" customHeight="1" x14ac:dyDescent="0.25">
      <c r="A141" s="291"/>
      <c r="B141" s="303" t="s">
        <v>29</v>
      </c>
      <c r="C141" s="291"/>
      <c r="D141" s="291"/>
      <c r="E141" s="173">
        <v>851</v>
      </c>
      <c r="F141" s="17" t="s">
        <v>63</v>
      </c>
      <c r="G141" s="101" t="s">
        <v>72</v>
      </c>
      <c r="H141" s="17" t="s">
        <v>595</v>
      </c>
      <c r="I141" s="1" t="s">
        <v>30</v>
      </c>
      <c r="J141" s="2">
        <v>0</v>
      </c>
      <c r="K141" s="2">
        <v>632468</v>
      </c>
      <c r="L141" s="2">
        <f t="shared" ref="L141" si="156">J141+K141</f>
        <v>632468</v>
      </c>
      <c r="M141" s="2"/>
      <c r="N141" s="2">
        <f t="shared" ref="N141" si="157">L141+M141</f>
        <v>632468</v>
      </c>
      <c r="O141" s="2"/>
      <c r="P141" s="2">
        <f>N141+O141</f>
        <v>632468</v>
      </c>
      <c r="Q141" s="278">
        <f>-205963-426342-163</f>
        <v>-632468</v>
      </c>
      <c r="R141" s="2"/>
      <c r="S141" s="2">
        <f>Q141</f>
        <v>-632468</v>
      </c>
      <c r="T141" s="2"/>
      <c r="U141" s="2">
        <f>P141+Q141</f>
        <v>0</v>
      </c>
      <c r="V141" s="278"/>
      <c r="W141" s="2"/>
      <c r="X141" s="2"/>
      <c r="Y141" s="2"/>
      <c r="Z141" s="2">
        <f t="shared" ref="Z141" si="158">U141+V141</f>
        <v>0</v>
      </c>
      <c r="AA141" s="305"/>
      <c r="AB141" s="2">
        <f>Z141</f>
        <v>0</v>
      </c>
      <c r="AC141" s="305"/>
    </row>
    <row r="142" spans="1:29" s="12" customFormat="1" ht="26.25" customHeight="1" x14ac:dyDescent="0.25">
      <c r="A142" s="330" t="s">
        <v>693</v>
      </c>
      <c r="B142" s="331"/>
      <c r="C142" s="291"/>
      <c r="D142" s="291"/>
      <c r="E142" s="173">
        <v>851</v>
      </c>
      <c r="F142" s="17" t="s">
        <v>63</v>
      </c>
      <c r="G142" s="17" t="s">
        <v>72</v>
      </c>
      <c r="H142" s="17" t="s">
        <v>692</v>
      </c>
      <c r="I142" s="1"/>
      <c r="J142" s="2"/>
      <c r="K142" s="2"/>
      <c r="L142" s="2"/>
      <c r="M142" s="2"/>
      <c r="N142" s="2"/>
      <c r="O142" s="2"/>
      <c r="P142" s="2">
        <f t="shared" si="154"/>
        <v>0</v>
      </c>
      <c r="Q142" s="2">
        <f t="shared" si="154"/>
        <v>426205</v>
      </c>
      <c r="R142" s="2"/>
      <c r="S142" s="2"/>
      <c r="T142" s="2"/>
      <c r="U142" s="2">
        <f t="shared" si="155"/>
        <v>426205</v>
      </c>
      <c r="V142" s="2">
        <f t="shared" si="155"/>
        <v>-232232.67</v>
      </c>
      <c r="W142" s="2">
        <f t="shared" si="155"/>
        <v>0</v>
      </c>
      <c r="X142" s="2">
        <f t="shared" si="155"/>
        <v>-232232.67</v>
      </c>
      <c r="Y142" s="2">
        <f t="shared" si="155"/>
        <v>0</v>
      </c>
      <c r="Z142" s="2">
        <f t="shared" si="155"/>
        <v>193972.33</v>
      </c>
      <c r="AA142" s="2">
        <f t="shared" si="155"/>
        <v>0</v>
      </c>
      <c r="AB142" s="2">
        <f t="shared" si="155"/>
        <v>193972.33</v>
      </c>
      <c r="AC142" s="2">
        <f t="shared" si="155"/>
        <v>0</v>
      </c>
    </row>
    <row r="143" spans="1:29" s="12" customFormat="1" ht="12.75" customHeight="1" x14ac:dyDescent="0.25">
      <c r="A143" s="291"/>
      <c r="B143" s="291" t="s">
        <v>27</v>
      </c>
      <c r="C143" s="291"/>
      <c r="D143" s="291"/>
      <c r="E143" s="173">
        <v>851</v>
      </c>
      <c r="F143" s="17" t="s">
        <v>63</v>
      </c>
      <c r="G143" s="101" t="s">
        <v>72</v>
      </c>
      <c r="H143" s="17" t="s">
        <v>692</v>
      </c>
      <c r="I143" s="1" t="s">
        <v>28</v>
      </c>
      <c r="J143" s="2"/>
      <c r="K143" s="2"/>
      <c r="L143" s="2"/>
      <c r="M143" s="2"/>
      <c r="N143" s="2"/>
      <c r="O143" s="2"/>
      <c r="P143" s="2">
        <f t="shared" si="154"/>
        <v>0</v>
      </c>
      <c r="Q143" s="2">
        <f t="shared" si="154"/>
        <v>426205</v>
      </c>
      <c r="R143" s="2"/>
      <c r="S143" s="2"/>
      <c r="T143" s="2"/>
      <c r="U143" s="2">
        <f t="shared" si="155"/>
        <v>426205</v>
      </c>
      <c r="V143" s="2">
        <f t="shared" si="155"/>
        <v>-232232.67</v>
      </c>
      <c r="W143" s="2">
        <f t="shared" si="155"/>
        <v>0</v>
      </c>
      <c r="X143" s="2">
        <f t="shared" si="155"/>
        <v>-232232.67</v>
      </c>
      <c r="Y143" s="2">
        <f t="shared" si="155"/>
        <v>0</v>
      </c>
      <c r="Z143" s="2">
        <f t="shared" si="155"/>
        <v>193972.33</v>
      </c>
      <c r="AA143" s="2">
        <f t="shared" si="155"/>
        <v>0</v>
      </c>
      <c r="AB143" s="2">
        <f t="shared" si="155"/>
        <v>193972.33</v>
      </c>
      <c r="AC143" s="2">
        <f t="shared" si="155"/>
        <v>0</v>
      </c>
    </row>
    <row r="144" spans="1:29" s="12" customFormat="1" ht="12" customHeight="1" x14ac:dyDescent="0.25">
      <c r="A144" s="291"/>
      <c r="B144" s="291" t="s">
        <v>29</v>
      </c>
      <c r="C144" s="291"/>
      <c r="D144" s="291"/>
      <c r="E144" s="173">
        <v>851</v>
      </c>
      <c r="F144" s="17" t="s">
        <v>63</v>
      </c>
      <c r="G144" s="101" t="s">
        <v>72</v>
      </c>
      <c r="H144" s="17" t="s">
        <v>692</v>
      </c>
      <c r="I144" s="1" t="s">
        <v>30</v>
      </c>
      <c r="J144" s="2"/>
      <c r="K144" s="2"/>
      <c r="L144" s="2"/>
      <c r="M144" s="2"/>
      <c r="N144" s="2"/>
      <c r="O144" s="2"/>
      <c r="P144" s="2">
        <f>N144+O144</f>
        <v>0</v>
      </c>
      <c r="Q144" s="2">
        <f>426342+163-300</f>
        <v>426205</v>
      </c>
      <c r="R144" s="2"/>
      <c r="S144" s="2">
        <f>Q144</f>
        <v>426205</v>
      </c>
      <c r="T144" s="2"/>
      <c r="U144" s="2">
        <f>P144+Q144</f>
        <v>426205</v>
      </c>
      <c r="V144" s="2">
        <v>-232232.67</v>
      </c>
      <c r="W144" s="2"/>
      <c r="X144" s="2">
        <f>V143</f>
        <v>-232232.67</v>
      </c>
      <c r="Y144" s="2"/>
      <c r="Z144" s="2">
        <f t="shared" ref="Z144" si="159">U144+V144</f>
        <v>193972.33</v>
      </c>
      <c r="AA144" s="305"/>
      <c r="AB144" s="2">
        <f>Z144</f>
        <v>193972.33</v>
      </c>
      <c r="AC144" s="305"/>
    </row>
    <row r="145" spans="1:29" s="12" customFormat="1" ht="60" hidden="1" customHeight="1" x14ac:dyDescent="0.25">
      <c r="A145" s="330" t="s">
        <v>665</v>
      </c>
      <c r="B145" s="331"/>
      <c r="C145" s="291"/>
      <c r="D145" s="291"/>
      <c r="E145" s="173">
        <v>851</v>
      </c>
      <c r="F145" s="17" t="s">
        <v>63</v>
      </c>
      <c r="G145" s="17" t="s">
        <v>72</v>
      </c>
      <c r="H145" s="17" t="s">
        <v>666</v>
      </c>
      <c r="I145" s="1"/>
      <c r="J145" s="2"/>
      <c r="K145" s="2"/>
      <c r="L145" s="2"/>
      <c r="M145" s="2"/>
      <c r="N145" s="2"/>
      <c r="O145" s="2"/>
      <c r="P145" s="2">
        <f t="shared" ref="P145:AC145" si="160">P146</f>
        <v>0</v>
      </c>
      <c r="Q145" s="2">
        <f t="shared" si="160"/>
        <v>969400</v>
      </c>
      <c r="R145" s="2"/>
      <c r="S145" s="2"/>
      <c r="T145" s="2"/>
      <c r="U145" s="2">
        <f t="shared" si="160"/>
        <v>969400</v>
      </c>
      <c r="V145" s="2">
        <f t="shared" si="160"/>
        <v>0</v>
      </c>
      <c r="W145" s="2">
        <f t="shared" si="160"/>
        <v>0</v>
      </c>
      <c r="X145" s="2">
        <f t="shared" si="160"/>
        <v>0</v>
      </c>
      <c r="Y145" s="2">
        <f t="shared" si="160"/>
        <v>0</v>
      </c>
      <c r="Z145" s="2">
        <f t="shared" si="160"/>
        <v>969400</v>
      </c>
      <c r="AA145" s="2">
        <f t="shared" si="160"/>
        <v>969400</v>
      </c>
      <c r="AB145" s="2">
        <f t="shared" si="160"/>
        <v>0</v>
      </c>
      <c r="AC145" s="2">
        <f t="shared" si="160"/>
        <v>0</v>
      </c>
    </row>
    <row r="146" spans="1:29" s="12" customFormat="1" ht="24" hidden="1" customHeight="1" x14ac:dyDescent="0.25">
      <c r="A146" s="291"/>
      <c r="B146" s="291" t="s">
        <v>436</v>
      </c>
      <c r="C146" s="291"/>
      <c r="D146" s="291"/>
      <c r="E146" s="173">
        <v>851</v>
      </c>
      <c r="F146" s="17" t="s">
        <v>63</v>
      </c>
      <c r="G146" s="101" t="s">
        <v>72</v>
      </c>
      <c r="H146" s="17" t="s">
        <v>666</v>
      </c>
      <c r="I146" s="1" t="s">
        <v>75</v>
      </c>
      <c r="J146" s="2">
        <f t="shared" ref="J146:AC146" si="161">J147</f>
        <v>0</v>
      </c>
      <c r="K146" s="2">
        <f t="shared" si="161"/>
        <v>0</v>
      </c>
      <c r="L146" s="2">
        <f t="shared" si="161"/>
        <v>0</v>
      </c>
      <c r="M146" s="2">
        <f t="shared" si="161"/>
        <v>0</v>
      </c>
      <c r="N146" s="2">
        <f t="shared" si="161"/>
        <v>0</v>
      </c>
      <c r="O146" s="2">
        <f t="shared" si="161"/>
        <v>0</v>
      </c>
      <c r="P146" s="2">
        <f t="shared" si="161"/>
        <v>0</v>
      </c>
      <c r="Q146" s="2">
        <f t="shared" si="161"/>
        <v>969400</v>
      </c>
      <c r="R146" s="2"/>
      <c r="S146" s="2"/>
      <c r="T146" s="2"/>
      <c r="U146" s="2">
        <f t="shared" si="161"/>
        <v>969400</v>
      </c>
      <c r="V146" s="2">
        <f t="shared" si="161"/>
        <v>0</v>
      </c>
      <c r="W146" s="2">
        <f t="shared" si="161"/>
        <v>0</v>
      </c>
      <c r="X146" s="2">
        <f t="shared" si="161"/>
        <v>0</v>
      </c>
      <c r="Y146" s="2">
        <f t="shared" si="161"/>
        <v>0</v>
      </c>
      <c r="Z146" s="2">
        <f t="shared" si="161"/>
        <v>969400</v>
      </c>
      <c r="AA146" s="2">
        <f t="shared" si="161"/>
        <v>969400</v>
      </c>
      <c r="AB146" s="2">
        <f t="shared" si="161"/>
        <v>0</v>
      </c>
      <c r="AC146" s="2">
        <f t="shared" si="161"/>
        <v>0</v>
      </c>
    </row>
    <row r="147" spans="1:29" s="12" customFormat="1" ht="24" hidden="1" customHeight="1" x14ac:dyDescent="0.25">
      <c r="A147" s="291"/>
      <c r="B147" s="291" t="s">
        <v>76</v>
      </c>
      <c r="C147" s="291"/>
      <c r="D147" s="291"/>
      <c r="E147" s="173">
        <v>851</v>
      </c>
      <c r="F147" s="17" t="s">
        <v>63</v>
      </c>
      <c r="G147" s="101" t="s">
        <v>72</v>
      </c>
      <c r="H147" s="17" t="s">
        <v>666</v>
      </c>
      <c r="I147" s="1" t="s">
        <v>77</v>
      </c>
      <c r="J147" s="2"/>
      <c r="K147" s="2"/>
      <c r="L147" s="2"/>
      <c r="M147" s="2"/>
      <c r="N147" s="2"/>
      <c r="O147" s="2"/>
      <c r="P147" s="2"/>
      <c r="Q147" s="2">
        <v>969400</v>
      </c>
      <c r="R147" s="2">
        <v>969400</v>
      </c>
      <c r="S147" s="2"/>
      <c r="T147" s="2"/>
      <c r="U147" s="2">
        <f>P147+Q147</f>
        <v>969400</v>
      </c>
      <c r="V147" s="2"/>
      <c r="W147" s="2"/>
      <c r="X147" s="2"/>
      <c r="Y147" s="2"/>
      <c r="Z147" s="2">
        <f t="shared" ref="Z147" si="162">U147+V147</f>
        <v>969400</v>
      </c>
      <c r="AA147" s="2">
        <f>Z147</f>
        <v>969400</v>
      </c>
      <c r="AB147" s="305"/>
      <c r="AC147" s="305"/>
    </row>
    <row r="148" spans="1:29" s="9" customFormat="1" ht="15" customHeight="1" x14ac:dyDescent="0.25">
      <c r="A148" s="325" t="s">
        <v>78</v>
      </c>
      <c r="B148" s="325"/>
      <c r="C148" s="292"/>
      <c r="D148" s="292"/>
      <c r="E148" s="173">
        <v>851</v>
      </c>
      <c r="F148" s="6" t="s">
        <v>36</v>
      </c>
      <c r="G148" s="6"/>
      <c r="H148" s="6"/>
      <c r="I148" s="6"/>
      <c r="J148" s="7">
        <f t="shared" ref="J148:AC148" si="163">J149</f>
        <v>8214000</v>
      </c>
      <c r="K148" s="7">
        <f t="shared" si="163"/>
        <v>4517500</v>
      </c>
      <c r="L148" s="7">
        <f t="shared" si="163"/>
        <v>12731500</v>
      </c>
      <c r="M148" s="7">
        <f t="shared" si="163"/>
        <v>-940718</v>
      </c>
      <c r="N148" s="7">
        <f t="shared" si="163"/>
        <v>11790782</v>
      </c>
      <c r="O148" s="7">
        <f t="shared" si="163"/>
        <v>-4017500</v>
      </c>
      <c r="P148" s="7">
        <f t="shared" si="163"/>
        <v>7773282</v>
      </c>
      <c r="Q148" s="7">
        <f t="shared" si="163"/>
        <v>11500000</v>
      </c>
      <c r="R148" s="7"/>
      <c r="S148" s="7"/>
      <c r="T148" s="7"/>
      <c r="U148" s="7">
        <f t="shared" si="163"/>
        <v>19273282</v>
      </c>
      <c r="V148" s="7">
        <f t="shared" si="163"/>
        <v>3210097</v>
      </c>
      <c r="W148" s="7">
        <f t="shared" si="163"/>
        <v>6000000</v>
      </c>
      <c r="X148" s="7">
        <f t="shared" si="163"/>
        <v>-2789903</v>
      </c>
      <c r="Y148" s="7">
        <f t="shared" si="163"/>
        <v>0</v>
      </c>
      <c r="Z148" s="7">
        <f t="shared" si="163"/>
        <v>22483379</v>
      </c>
      <c r="AA148" s="7">
        <f t="shared" si="163"/>
        <v>12000000</v>
      </c>
      <c r="AB148" s="7">
        <f t="shared" si="163"/>
        <v>10483379</v>
      </c>
      <c r="AC148" s="7">
        <f t="shared" si="163"/>
        <v>0</v>
      </c>
    </row>
    <row r="149" spans="1:29" s="12" customFormat="1" ht="15" customHeight="1" x14ac:dyDescent="0.25">
      <c r="A149" s="328" t="s">
        <v>81</v>
      </c>
      <c r="B149" s="328"/>
      <c r="C149" s="295"/>
      <c r="D149" s="295"/>
      <c r="E149" s="173">
        <v>851</v>
      </c>
      <c r="F149" s="10" t="s">
        <v>36</v>
      </c>
      <c r="G149" s="10" t="s">
        <v>72</v>
      </c>
      <c r="H149" s="10"/>
      <c r="I149" s="10"/>
      <c r="J149" s="11">
        <f>J150+J153</f>
        <v>8214000</v>
      </c>
      <c r="K149" s="11">
        <f t="shared" ref="K149:AC149" si="164">K150+K153</f>
        <v>4517500</v>
      </c>
      <c r="L149" s="11">
        <f t="shared" si="164"/>
        <v>12731500</v>
      </c>
      <c r="M149" s="11">
        <f t="shared" si="164"/>
        <v>-940718</v>
      </c>
      <c r="N149" s="11">
        <f t="shared" si="164"/>
        <v>11790782</v>
      </c>
      <c r="O149" s="11">
        <f t="shared" si="164"/>
        <v>-4017500</v>
      </c>
      <c r="P149" s="11">
        <f t="shared" si="164"/>
        <v>7773282</v>
      </c>
      <c r="Q149" s="11">
        <f t="shared" si="164"/>
        <v>11500000</v>
      </c>
      <c r="R149" s="11"/>
      <c r="S149" s="11"/>
      <c r="T149" s="11"/>
      <c r="U149" s="11">
        <f t="shared" si="164"/>
        <v>19273282</v>
      </c>
      <c r="V149" s="11">
        <f t="shared" si="164"/>
        <v>3210097</v>
      </c>
      <c r="W149" s="11">
        <f t="shared" si="164"/>
        <v>6000000</v>
      </c>
      <c r="X149" s="11">
        <f t="shared" si="164"/>
        <v>-2789903</v>
      </c>
      <c r="Y149" s="11">
        <f t="shared" si="164"/>
        <v>0</v>
      </c>
      <c r="Z149" s="11">
        <f t="shared" si="164"/>
        <v>22483379</v>
      </c>
      <c r="AA149" s="11">
        <f t="shared" si="164"/>
        <v>12000000</v>
      </c>
      <c r="AB149" s="11">
        <f t="shared" si="164"/>
        <v>10483379</v>
      </c>
      <c r="AC149" s="11">
        <f t="shared" si="164"/>
        <v>0</v>
      </c>
    </row>
    <row r="150" spans="1:29" s="12" customFormat="1" ht="15" customHeight="1" x14ac:dyDescent="0.25">
      <c r="A150" s="333" t="s">
        <v>579</v>
      </c>
      <c r="B150" s="334"/>
      <c r="C150" s="295"/>
      <c r="D150" s="295"/>
      <c r="E150" s="173">
        <v>851</v>
      </c>
      <c r="F150" s="1" t="s">
        <v>36</v>
      </c>
      <c r="G150" s="17" t="s">
        <v>72</v>
      </c>
      <c r="H150" s="1" t="s">
        <v>578</v>
      </c>
      <c r="I150" s="10"/>
      <c r="J150" s="2">
        <f>J151</f>
        <v>0</v>
      </c>
      <c r="K150" s="2">
        <f t="shared" ref="K150:Z151" si="165">K151</f>
        <v>4517500</v>
      </c>
      <c r="L150" s="2">
        <f t="shared" si="165"/>
        <v>4517500</v>
      </c>
      <c r="M150" s="2">
        <f t="shared" si="165"/>
        <v>0</v>
      </c>
      <c r="N150" s="2">
        <f t="shared" si="165"/>
        <v>4517500</v>
      </c>
      <c r="O150" s="2">
        <f t="shared" si="165"/>
        <v>-4017500</v>
      </c>
      <c r="P150" s="2">
        <f t="shared" si="165"/>
        <v>500000</v>
      </c>
      <c r="Q150" s="2">
        <f t="shared" si="165"/>
        <v>11500000</v>
      </c>
      <c r="R150" s="2"/>
      <c r="S150" s="2"/>
      <c r="T150" s="2"/>
      <c r="U150" s="2">
        <f t="shared" si="165"/>
        <v>12000000</v>
      </c>
      <c r="V150" s="2">
        <f t="shared" si="165"/>
        <v>0</v>
      </c>
      <c r="W150" s="2">
        <f t="shared" si="165"/>
        <v>0</v>
      </c>
      <c r="X150" s="2">
        <f t="shared" si="165"/>
        <v>0</v>
      </c>
      <c r="Y150" s="2">
        <f t="shared" si="165"/>
        <v>0</v>
      </c>
      <c r="Z150" s="2">
        <f t="shared" si="165"/>
        <v>12000000</v>
      </c>
      <c r="AA150" s="2">
        <f t="shared" ref="AA150:AC151" si="166">AA151</f>
        <v>12000000</v>
      </c>
      <c r="AB150" s="2">
        <f t="shared" si="166"/>
        <v>0</v>
      </c>
      <c r="AC150" s="2">
        <f t="shared" si="166"/>
        <v>0</v>
      </c>
    </row>
    <row r="151" spans="1:29" s="12" customFormat="1" ht="12.75" customHeight="1" x14ac:dyDescent="0.25">
      <c r="A151" s="305"/>
      <c r="B151" s="291" t="s">
        <v>436</v>
      </c>
      <c r="C151" s="295"/>
      <c r="D151" s="295"/>
      <c r="E151" s="173">
        <v>851</v>
      </c>
      <c r="F151" s="1" t="s">
        <v>36</v>
      </c>
      <c r="G151" s="17" t="s">
        <v>72</v>
      </c>
      <c r="H151" s="1" t="s">
        <v>578</v>
      </c>
      <c r="I151" s="1" t="s">
        <v>75</v>
      </c>
      <c r="J151" s="2">
        <f t="shared" ref="J151:U151" si="167">J152</f>
        <v>0</v>
      </c>
      <c r="K151" s="2">
        <f t="shared" si="167"/>
        <v>4517500</v>
      </c>
      <c r="L151" s="2">
        <f t="shared" si="167"/>
        <v>4517500</v>
      </c>
      <c r="M151" s="2">
        <f t="shared" si="167"/>
        <v>0</v>
      </c>
      <c r="N151" s="2">
        <f t="shared" si="167"/>
        <v>4517500</v>
      </c>
      <c r="O151" s="2">
        <f t="shared" si="167"/>
        <v>-4017500</v>
      </c>
      <c r="P151" s="2">
        <f t="shared" si="167"/>
        <v>500000</v>
      </c>
      <c r="Q151" s="2">
        <f t="shared" si="167"/>
        <v>11500000</v>
      </c>
      <c r="R151" s="2"/>
      <c r="S151" s="2"/>
      <c r="T151" s="2"/>
      <c r="U151" s="2">
        <f t="shared" si="167"/>
        <v>12000000</v>
      </c>
      <c r="V151" s="2">
        <f t="shared" si="165"/>
        <v>0</v>
      </c>
      <c r="W151" s="2">
        <f t="shared" si="165"/>
        <v>0</v>
      </c>
      <c r="X151" s="2">
        <f t="shared" si="165"/>
        <v>0</v>
      </c>
      <c r="Y151" s="2">
        <f t="shared" si="165"/>
        <v>0</v>
      </c>
      <c r="Z151" s="2">
        <f t="shared" si="165"/>
        <v>12000000</v>
      </c>
      <c r="AA151" s="2">
        <f t="shared" si="166"/>
        <v>12000000</v>
      </c>
      <c r="AB151" s="2">
        <f t="shared" si="166"/>
        <v>0</v>
      </c>
      <c r="AC151" s="2">
        <f t="shared" si="166"/>
        <v>0</v>
      </c>
    </row>
    <row r="152" spans="1:29" s="12" customFormat="1" ht="24" x14ac:dyDescent="0.25">
      <c r="A152" s="305"/>
      <c r="B152" s="291" t="s">
        <v>76</v>
      </c>
      <c r="C152" s="295"/>
      <c r="D152" s="295"/>
      <c r="E152" s="173">
        <v>851</v>
      </c>
      <c r="F152" s="1" t="s">
        <v>36</v>
      </c>
      <c r="G152" s="17" t="s">
        <v>72</v>
      </c>
      <c r="H152" s="1" t="s">
        <v>578</v>
      </c>
      <c r="I152" s="1" t="s">
        <v>77</v>
      </c>
      <c r="J152" s="2"/>
      <c r="K152" s="2">
        <v>4517500</v>
      </c>
      <c r="L152" s="2">
        <f t="shared" ref="L152:L154" si="168">J152+K152</f>
        <v>4517500</v>
      </c>
      <c r="M152" s="2"/>
      <c r="N152" s="2">
        <f t="shared" ref="N152:N157" si="169">L152+M152</f>
        <v>4517500</v>
      </c>
      <c r="O152" s="2">
        <v>-4017500</v>
      </c>
      <c r="P152" s="2">
        <f>N152+O152</f>
        <v>500000</v>
      </c>
      <c r="Q152" s="2">
        <v>11500000</v>
      </c>
      <c r="R152" s="2">
        <v>11500000</v>
      </c>
      <c r="S152" s="2"/>
      <c r="T152" s="2"/>
      <c r="U152" s="2">
        <f>P152+Q152</f>
        <v>12000000</v>
      </c>
      <c r="V152" s="2"/>
      <c r="W152" s="2"/>
      <c r="X152" s="2"/>
      <c r="Y152" s="2"/>
      <c r="Z152" s="2">
        <f t="shared" ref="Z152" si="170">U152+V152</f>
        <v>12000000</v>
      </c>
      <c r="AA152" s="2">
        <f>Z152</f>
        <v>12000000</v>
      </c>
      <c r="AB152" s="305"/>
      <c r="AC152" s="305"/>
    </row>
    <row r="153" spans="1:29" x14ac:dyDescent="0.25">
      <c r="A153" s="324" t="s">
        <v>116</v>
      </c>
      <c r="B153" s="324"/>
      <c r="C153" s="291"/>
      <c r="D153" s="291"/>
      <c r="E153" s="173">
        <v>851</v>
      </c>
      <c r="F153" s="1" t="s">
        <v>36</v>
      </c>
      <c r="G153" s="17" t="s">
        <v>72</v>
      </c>
      <c r="H153" s="1" t="s">
        <v>80</v>
      </c>
      <c r="I153" s="1"/>
      <c r="J153" s="2">
        <f t="shared" ref="J153:K153" si="171">J154</f>
        <v>8214000</v>
      </c>
      <c r="K153" s="2">
        <f t="shared" si="171"/>
        <v>0</v>
      </c>
      <c r="L153" s="2">
        <f>L156</f>
        <v>8214000</v>
      </c>
      <c r="M153" s="2">
        <f t="shared" ref="M153:AC153" si="172">M156</f>
        <v>-940718</v>
      </c>
      <c r="N153" s="2">
        <f t="shared" si="172"/>
        <v>7273282</v>
      </c>
      <c r="O153" s="2">
        <f t="shared" si="172"/>
        <v>0</v>
      </c>
      <c r="P153" s="2">
        <f t="shared" si="172"/>
        <v>7273282</v>
      </c>
      <c r="Q153" s="2">
        <f t="shared" si="172"/>
        <v>0</v>
      </c>
      <c r="R153" s="2"/>
      <c r="S153" s="2"/>
      <c r="T153" s="2"/>
      <c r="U153" s="2">
        <f t="shared" si="172"/>
        <v>7273282</v>
      </c>
      <c r="V153" s="2">
        <f t="shared" si="172"/>
        <v>3210097</v>
      </c>
      <c r="W153" s="2">
        <f t="shared" si="172"/>
        <v>6000000</v>
      </c>
      <c r="X153" s="2">
        <f t="shared" si="172"/>
        <v>-2789903</v>
      </c>
      <c r="Y153" s="2">
        <f t="shared" si="172"/>
        <v>0</v>
      </c>
      <c r="Z153" s="2">
        <f t="shared" si="172"/>
        <v>10483379</v>
      </c>
      <c r="AA153" s="2">
        <f t="shared" si="172"/>
        <v>0</v>
      </c>
      <c r="AB153" s="2">
        <f t="shared" si="172"/>
        <v>10483379</v>
      </c>
      <c r="AC153" s="2">
        <f t="shared" si="172"/>
        <v>0</v>
      </c>
    </row>
    <row r="154" spans="1:29" hidden="1" x14ac:dyDescent="0.25">
      <c r="A154" s="291"/>
      <c r="B154" s="291" t="s">
        <v>27</v>
      </c>
      <c r="C154" s="301"/>
      <c r="D154" s="301"/>
      <c r="E154" s="173">
        <v>851</v>
      </c>
      <c r="F154" s="1" t="s">
        <v>36</v>
      </c>
      <c r="G154" s="17" t="s">
        <v>72</v>
      </c>
      <c r="H154" s="1" t="s">
        <v>80</v>
      </c>
      <c r="I154" s="1" t="s">
        <v>28</v>
      </c>
      <c r="J154" s="2">
        <f>10245000-2030982-18</f>
        <v>8214000</v>
      </c>
      <c r="K154" s="2"/>
      <c r="L154" s="2">
        <f t="shared" si="168"/>
        <v>8214000</v>
      </c>
      <c r="M154" s="2"/>
      <c r="N154" s="2">
        <f t="shared" si="169"/>
        <v>8214000</v>
      </c>
      <c r="O154" s="2"/>
      <c r="P154" s="2">
        <f>N154+O154</f>
        <v>8214000</v>
      </c>
      <c r="Q154" s="2"/>
      <c r="R154" s="2"/>
      <c r="S154" s="2"/>
      <c r="T154" s="2"/>
      <c r="U154" s="2">
        <f>P154+Q154</f>
        <v>8214000</v>
      </c>
      <c r="V154" s="2"/>
      <c r="W154" s="2"/>
      <c r="X154" s="2"/>
      <c r="Y154" s="2"/>
      <c r="Z154" s="2"/>
      <c r="AA154" s="2"/>
      <c r="AB154" s="2"/>
      <c r="AC154" s="2"/>
    </row>
    <row r="155" spans="1:29" ht="24" hidden="1" x14ac:dyDescent="0.25">
      <c r="A155" s="291"/>
      <c r="B155" s="291" t="s">
        <v>29</v>
      </c>
      <c r="C155" s="291"/>
      <c r="D155" s="291"/>
      <c r="E155" s="173">
        <v>851</v>
      </c>
      <c r="F155" s="1" t="s">
        <v>36</v>
      </c>
      <c r="G155" s="17" t="s">
        <v>72</v>
      </c>
      <c r="H155" s="1" t="s">
        <v>80</v>
      </c>
      <c r="I155" s="1" t="s">
        <v>30</v>
      </c>
      <c r="J155" s="2"/>
      <c r="K155" s="2"/>
      <c r="L155" s="2">
        <f t="shared" si="105"/>
        <v>0</v>
      </c>
      <c r="M155" s="2"/>
      <c r="N155" s="2">
        <f t="shared" si="169"/>
        <v>0</v>
      </c>
      <c r="O155" s="2"/>
      <c r="P155" s="2">
        <f>N155+O155</f>
        <v>0</v>
      </c>
      <c r="Q155" s="2"/>
      <c r="R155" s="2"/>
      <c r="S155" s="2"/>
      <c r="T155" s="2"/>
      <c r="U155" s="2">
        <f>P155+Q155</f>
        <v>0</v>
      </c>
      <c r="V155" s="2"/>
      <c r="W155" s="2"/>
      <c r="X155" s="2"/>
      <c r="Y155" s="2"/>
      <c r="Z155" s="2"/>
      <c r="AA155" s="2"/>
      <c r="AB155" s="2"/>
      <c r="AC155" s="2"/>
    </row>
    <row r="156" spans="1:29" ht="13.5" customHeight="1" x14ac:dyDescent="0.25">
      <c r="A156" s="291"/>
      <c r="B156" s="291" t="s">
        <v>436</v>
      </c>
      <c r="C156" s="291"/>
      <c r="D156" s="291"/>
      <c r="E156" s="173">
        <v>851</v>
      </c>
      <c r="F156" s="1" t="s">
        <v>36</v>
      </c>
      <c r="G156" s="17" t="s">
        <v>72</v>
      </c>
      <c r="H156" s="1" t="s">
        <v>80</v>
      </c>
      <c r="I156" s="1" t="s">
        <v>75</v>
      </c>
      <c r="J156" s="2">
        <f t="shared" ref="J156:Q156" si="173">J157</f>
        <v>8214000</v>
      </c>
      <c r="K156" s="2">
        <f t="shared" si="173"/>
        <v>0</v>
      </c>
      <c r="L156" s="2">
        <f t="shared" si="105"/>
        <v>8214000</v>
      </c>
      <c r="M156" s="2">
        <f t="shared" si="173"/>
        <v>-940718</v>
      </c>
      <c r="N156" s="2">
        <f t="shared" si="169"/>
        <v>7273282</v>
      </c>
      <c r="O156" s="2">
        <f t="shared" si="173"/>
        <v>0</v>
      </c>
      <c r="P156" s="2">
        <f>P157</f>
        <v>7273282</v>
      </c>
      <c r="Q156" s="2">
        <f t="shared" si="173"/>
        <v>0</v>
      </c>
      <c r="R156" s="2"/>
      <c r="S156" s="2"/>
      <c r="T156" s="2"/>
      <c r="U156" s="2">
        <f>P156+Q156</f>
        <v>7273282</v>
      </c>
      <c r="V156" s="2">
        <f t="shared" ref="V156:AC156" si="174">V157</f>
        <v>3210097</v>
      </c>
      <c r="W156" s="2">
        <f t="shared" si="174"/>
        <v>6000000</v>
      </c>
      <c r="X156" s="2">
        <f t="shared" si="174"/>
        <v>-2789903</v>
      </c>
      <c r="Y156" s="2">
        <f t="shared" si="174"/>
        <v>0</v>
      </c>
      <c r="Z156" s="2">
        <f t="shared" si="174"/>
        <v>10483379</v>
      </c>
      <c r="AA156" s="2">
        <f t="shared" si="174"/>
        <v>0</v>
      </c>
      <c r="AB156" s="2">
        <f t="shared" si="174"/>
        <v>10483379</v>
      </c>
      <c r="AC156" s="2">
        <f t="shared" si="174"/>
        <v>0</v>
      </c>
    </row>
    <row r="157" spans="1:29" ht="25.5" customHeight="1" x14ac:dyDescent="0.25">
      <c r="A157" s="291"/>
      <c r="B157" s="291" t="s">
        <v>76</v>
      </c>
      <c r="C157" s="291"/>
      <c r="D157" s="291"/>
      <c r="E157" s="173">
        <v>851</v>
      </c>
      <c r="F157" s="1" t="s">
        <v>36</v>
      </c>
      <c r="G157" s="17" t="s">
        <v>72</v>
      </c>
      <c r="H157" s="1" t="s">
        <v>80</v>
      </c>
      <c r="I157" s="1" t="s">
        <v>77</v>
      </c>
      <c r="J157" s="2">
        <f>10245000-2030982-18</f>
        <v>8214000</v>
      </c>
      <c r="K157" s="2"/>
      <c r="L157" s="2">
        <f t="shared" si="105"/>
        <v>8214000</v>
      </c>
      <c r="M157" s="2">
        <f>-57314-700000-115000-68104-300</f>
        <v>-940718</v>
      </c>
      <c r="N157" s="2">
        <f t="shared" si="169"/>
        <v>7273282</v>
      </c>
      <c r="O157" s="2"/>
      <c r="P157" s="2">
        <f>N157+O157</f>
        <v>7273282</v>
      </c>
      <c r="Q157" s="2"/>
      <c r="R157" s="2"/>
      <c r="S157" s="2"/>
      <c r="T157" s="2"/>
      <c r="U157" s="2">
        <f>P157+Q157</f>
        <v>7273282</v>
      </c>
      <c r="V157" s="2">
        <f>6000000-2789903</f>
        <v>3210097</v>
      </c>
      <c r="W157" s="2">
        <v>6000000</v>
      </c>
      <c r="X157" s="2">
        <v>-2789903</v>
      </c>
      <c r="Y157" s="2"/>
      <c r="Z157" s="2">
        <f t="shared" ref="Z157" si="175">U157+V157</f>
        <v>10483379</v>
      </c>
      <c r="AA157" s="14"/>
      <c r="AB157" s="2">
        <f>Z157</f>
        <v>10483379</v>
      </c>
      <c r="AC157" s="14"/>
    </row>
    <row r="158" spans="1:29" x14ac:dyDescent="0.25">
      <c r="A158" s="325" t="s">
        <v>82</v>
      </c>
      <c r="B158" s="325"/>
      <c r="C158" s="292"/>
      <c r="D158" s="292"/>
      <c r="E158" s="173">
        <v>851</v>
      </c>
      <c r="F158" s="6" t="s">
        <v>83</v>
      </c>
      <c r="G158" s="6"/>
      <c r="H158" s="6"/>
      <c r="I158" s="6"/>
      <c r="J158" s="7">
        <f t="shared" ref="J158:AC158" si="176">J159+J185</f>
        <v>14871640</v>
      </c>
      <c r="K158" s="7">
        <f t="shared" si="176"/>
        <v>605000</v>
      </c>
      <c r="L158" s="7">
        <f t="shared" si="176"/>
        <v>15476640</v>
      </c>
      <c r="M158" s="7">
        <f t="shared" si="176"/>
        <v>0</v>
      </c>
      <c r="N158" s="7">
        <f t="shared" si="176"/>
        <v>15476640</v>
      </c>
      <c r="O158" s="7">
        <f t="shared" si="176"/>
        <v>30000</v>
      </c>
      <c r="P158" s="7">
        <f t="shared" si="176"/>
        <v>15506640</v>
      </c>
      <c r="Q158" s="7">
        <f t="shared" si="176"/>
        <v>261321.25</v>
      </c>
      <c r="R158" s="7">
        <f>SUM(R159:R188)</f>
        <v>261321.25</v>
      </c>
      <c r="S158" s="7">
        <f t="shared" ref="S158:T158" si="177">SUM(S159:S188)</f>
        <v>0</v>
      </c>
      <c r="T158" s="7">
        <f t="shared" si="177"/>
        <v>0</v>
      </c>
      <c r="U158" s="7">
        <f t="shared" si="176"/>
        <v>15767961.25</v>
      </c>
      <c r="V158" s="7">
        <f t="shared" si="176"/>
        <v>-316797</v>
      </c>
      <c r="W158" s="7">
        <f t="shared" si="176"/>
        <v>-3180</v>
      </c>
      <c r="X158" s="7">
        <f t="shared" si="176"/>
        <v>-67717</v>
      </c>
      <c r="Y158" s="7">
        <f t="shared" si="176"/>
        <v>-245900</v>
      </c>
      <c r="Z158" s="7">
        <f t="shared" si="176"/>
        <v>15451164.25</v>
      </c>
      <c r="AA158" s="7">
        <f t="shared" si="176"/>
        <v>275631.25</v>
      </c>
      <c r="AB158" s="7">
        <f t="shared" si="176"/>
        <v>3601083</v>
      </c>
      <c r="AC158" s="7">
        <f t="shared" si="176"/>
        <v>11574450</v>
      </c>
    </row>
    <row r="159" spans="1:29" x14ac:dyDescent="0.25">
      <c r="A159" s="328" t="s">
        <v>84</v>
      </c>
      <c r="B159" s="328"/>
      <c r="C159" s="295"/>
      <c r="D159" s="295"/>
      <c r="E159" s="173">
        <v>851</v>
      </c>
      <c r="F159" s="10" t="s">
        <v>83</v>
      </c>
      <c r="G159" s="10" t="s">
        <v>17</v>
      </c>
      <c r="H159" s="10"/>
      <c r="I159" s="10"/>
      <c r="J159" s="11">
        <f t="shared" ref="J159:O159" si="178">J160+J163+J166+J169+J173+J176+J179</f>
        <v>14856640</v>
      </c>
      <c r="K159" s="11">
        <f t="shared" si="178"/>
        <v>605000</v>
      </c>
      <c r="L159" s="11">
        <f t="shared" si="178"/>
        <v>15461640</v>
      </c>
      <c r="M159" s="11">
        <f t="shared" si="178"/>
        <v>0</v>
      </c>
      <c r="N159" s="11">
        <f t="shared" si="178"/>
        <v>15461640</v>
      </c>
      <c r="O159" s="11">
        <f t="shared" si="178"/>
        <v>30000</v>
      </c>
      <c r="P159" s="11">
        <f>P160+P163+P166+P169+P173+P176+P179+P182</f>
        <v>15491640</v>
      </c>
      <c r="Q159" s="11">
        <f t="shared" ref="Q159:AC159" si="179">Q160+Q163+Q166+Q169+Q173+Q176+Q179+Q182</f>
        <v>261321.25</v>
      </c>
      <c r="R159" s="11"/>
      <c r="S159" s="11"/>
      <c r="T159" s="11"/>
      <c r="U159" s="11">
        <f t="shared" si="179"/>
        <v>15752961.25</v>
      </c>
      <c r="V159" s="11">
        <f t="shared" si="179"/>
        <v>-316797</v>
      </c>
      <c r="W159" s="11">
        <f t="shared" si="179"/>
        <v>-3180</v>
      </c>
      <c r="X159" s="11">
        <f t="shared" si="179"/>
        <v>-67717</v>
      </c>
      <c r="Y159" s="11">
        <f t="shared" si="179"/>
        <v>-245900</v>
      </c>
      <c r="Z159" s="11">
        <f t="shared" si="179"/>
        <v>15436164.25</v>
      </c>
      <c r="AA159" s="11">
        <f t="shared" si="179"/>
        <v>275631.25</v>
      </c>
      <c r="AB159" s="11">
        <f t="shared" si="179"/>
        <v>3586083</v>
      </c>
      <c r="AC159" s="11">
        <f t="shared" si="179"/>
        <v>11574450</v>
      </c>
    </row>
    <row r="160" spans="1:29" hidden="1" x14ac:dyDescent="0.25">
      <c r="A160" s="324" t="s">
        <v>89</v>
      </c>
      <c r="B160" s="324"/>
      <c r="C160" s="291"/>
      <c r="D160" s="291"/>
      <c r="E160" s="173">
        <v>851</v>
      </c>
      <c r="F160" s="1" t="s">
        <v>83</v>
      </c>
      <c r="G160" s="1" t="s">
        <v>17</v>
      </c>
      <c r="H160" s="1" t="s">
        <v>524</v>
      </c>
      <c r="I160" s="1"/>
      <c r="J160" s="2">
        <f t="shared" ref="J160:Q161" si="180">J161</f>
        <v>2580900</v>
      </c>
      <c r="K160" s="2">
        <f t="shared" si="180"/>
        <v>0</v>
      </c>
      <c r="L160" s="2">
        <f t="shared" si="180"/>
        <v>2580900</v>
      </c>
      <c r="M160" s="2">
        <f t="shared" si="180"/>
        <v>0</v>
      </c>
      <c r="N160" s="2">
        <f t="shared" si="180"/>
        <v>2580900</v>
      </c>
      <c r="O160" s="2">
        <f t="shared" si="180"/>
        <v>11130</v>
      </c>
      <c r="P160" s="2">
        <f t="shared" si="180"/>
        <v>2592030</v>
      </c>
      <c r="Q160" s="2">
        <f t="shared" si="180"/>
        <v>-11130</v>
      </c>
      <c r="R160" s="2"/>
      <c r="S160" s="2"/>
      <c r="T160" s="2"/>
      <c r="U160" s="2">
        <f t="shared" ref="U160:AC161" si="181">U161</f>
        <v>2580900</v>
      </c>
      <c r="V160" s="2">
        <f t="shared" si="181"/>
        <v>0</v>
      </c>
      <c r="W160" s="2">
        <f t="shared" si="181"/>
        <v>0</v>
      </c>
      <c r="X160" s="2">
        <f t="shared" si="181"/>
        <v>0</v>
      </c>
      <c r="Y160" s="2">
        <f t="shared" si="181"/>
        <v>0</v>
      </c>
      <c r="Z160" s="2">
        <f t="shared" si="181"/>
        <v>2580900</v>
      </c>
      <c r="AA160" s="2">
        <f t="shared" si="181"/>
        <v>0</v>
      </c>
      <c r="AB160" s="2">
        <f t="shared" si="181"/>
        <v>2580900</v>
      </c>
      <c r="AC160" s="2">
        <f t="shared" si="181"/>
        <v>0</v>
      </c>
    </row>
    <row r="161" spans="1:29" ht="25.5" hidden="1" customHeight="1" x14ac:dyDescent="0.25">
      <c r="A161" s="295"/>
      <c r="B161" s="170" t="s">
        <v>90</v>
      </c>
      <c r="C161" s="295"/>
      <c r="D161" s="295"/>
      <c r="E161" s="173">
        <v>851</v>
      </c>
      <c r="F161" s="1" t="s">
        <v>83</v>
      </c>
      <c r="G161" s="1" t="s">
        <v>17</v>
      </c>
      <c r="H161" s="1" t="s">
        <v>524</v>
      </c>
      <c r="I161" s="1" t="s">
        <v>86</v>
      </c>
      <c r="J161" s="2">
        <f t="shared" si="180"/>
        <v>2580900</v>
      </c>
      <c r="K161" s="2">
        <f t="shared" si="180"/>
        <v>0</v>
      </c>
      <c r="L161" s="2">
        <f t="shared" si="180"/>
        <v>2580900</v>
      </c>
      <c r="M161" s="2">
        <f t="shared" si="180"/>
        <v>0</v>
      </c>
      <c r="N161" s="2">
        <f t="shared" si="180"/>
        <v>2580900</v>
      </c>
      <c r="O161" s="2">
        <f t="shared" si="180"/>
        <v>11130</v>
      </c>
      <c r="P161" s="2">
        <f t="shared" si="180"/>
        <v>2592030</v>
      </c>
      <c r="Q161" s="2">
        <f t="shared" si="180"/>
        <v>-11130</v>
      </c>
      <c r="R161" s="2"/>
      <c r="S161" s="2"/>
      <c r="T161" s="2"/>
      <c r="U161" s="2">
        <f t="shared" si="181"/>
        <v>2580900</v>
      </c>
      <c r="V161" s="2">
        <f t="shared" si="181"/>
        <v>0</v>
      </c>
      <c r="W161" s="2">
        <f t="shared" si="181"/>
        <v>0</v>
      </c>
      <c r="X161" s="2">
        <f t="shared" si="181"/>
        <v>0</v>
      </c>
      <c r="Y161" s="2">
        <f t="shared" si="181"/>
        <v>0</v>
      </c>
      <c r="Z161" s="2">
        <f t="shared" si="181"/>
        <v>2580900</v>
      </c>
      <c r="AA161" s="2">
        <f t="shared" si="181"/>
        <v>0</v>
      </c>
      <c r="AB161" s="2">
        <f t="shared" si="181"/>
        <v>2580900</v>
      </c>
      <c r="AC161" s="2">
        <f t="shared" si="181"/>
        <v>0</v>
      </c>
    </row>
    <row r="162" spans="1:29" ht="37.5" hidden="1" customHeight="1" x14ac:dyDescent="0.25">
      <c r="A162" s="295"/>
      <c r="B162" s="291" t="s">
        <v>87</v>
      </c>
      <c r="C162" s="295"/>
      <c r="D162" s="295"/>
      <c r="E162" s="173">
        <v>851</v>
      </c>
      <c r="F162" s="1" t="s">
        <v>83</v>
      </c>
      <c r="G162" s="1" t="s">
        <v>17</v>
      </c>
      <c r="H162" s="1" t="s">
        <v>524</v>
      </c>
      <c r="I162" s="1" t="s">
        <v>88</v>
      </c>
      <c r="J162" s="2">
        <f>636584+1944239+77</f>
        <v>2580900</v>
      </c>
      <c r="K162" s="2"/>
      <c r="L162" s="2">
        <f t="shared" si="105"/>
        <v>2580900</v>
      </c>
      <c r="M162" s="2"/>
      <c r="N162" s="2">
        <f t="shared" ref="N162:N181" si="182">L162+M162</f>
        <v>2580900</v>
      </c>
      <c r="O162" s="2">
        <v>11130</v>
      </c>
      <c r="P162" s="2">
        <f>N162+O162</f>
        <v>2592030</v>
      </c>
      <c r="Q162" s="2">
        <v>-11130</v>
      </c>
      <c r="R162" s="2">
        <v>-11130</v>
      </c>
      <c r="S162" s="2"/>
      <c r="T162" s="2"/>
      <c r="U162" s="2">
        <f>P162+Q162</f>
        <v>2580900</v>
      </c>
      <c r="V162" s="2"/>
      <c r="W162" s="2"/>
      <c r="X162" s="2"/>
      <c r="Y162" s="2"/>
      <c r="Z162" s="2">
        <f t="shared" ref="Z162" si="183">U162+V162</f>
        <v>2580900</v>
      </c>
      <c r="AA162" s="14"/>
      <c r="AB162" s="2">
        <f>Z162</f>
        <v>2580900</v>
      </c>
      <c r="AC162" s="14"/>
    </row>
    <row r="163" spans="1:29" ht="12" customHeight="1" x14ac:dyDescent="0.25">
      <c r="A163" s="330" t="s">
        <v>441</v>
      </c>
      <c r="B163" s="331"/>
      <c r="C163" s="291"/>
      <c r="D163" s="291"/>
      <c r="E163" s="173">
        <v>851</v>
      </c>
      <c r="F163" s="1" t="s">
        <v>83</v>
      </c>
      <c r="G163" s="1" t="s">
        <v>17</v>
      </c>
      <c r="H163" s="1" t="s">
        <v>525</v>
      </c>
      <c r="I163" s="1"/>
      <c r="J163" s="2">
        <f t="shared" ref="J163:Q164" si="184">J164</f>
        <v>157900</v>
      </c>
      <c r="K163" s="2">
        <f t="shared" si="184"/>
        <v>0</v>
      </c>
      <c r="L163" s="2">
        <f t="shared" si="184"/>
        <v>157900</v>
      </c>
      <c r="M163" s="2">
        <f t="shared" si="184"/>
        <v>0</v>
      </c>
      <c r="N163" s="2">
        <f t="shared" si="184"/>
        <v>157900</v>
      </c>
      <c r="O163" s="2">
        <f t="shared" si="184"/>
        <v>0</v>
      </c>
      <c r="P163" s="2">
        <f t="shared" si="184"/>
        <v>157900</v>
      </c>
      <c r="Q163" s="2">
        <f t="shared" si="184"/>
        <v>0</v>
      </c>
      <c r="R163" s="2"/>
      <c r="S163" s="2"/>
      <c r="T163" s="2"/>
      <c r="U163" s="2">
        <f t="shared" ref="U163:AC164" si="185">U164</f>
        <v>157900</v>
      </c>
      <c r="V163" s="2">
        <f t="shared" si="185"/>
        <v>-57717</v>
      </c>
      <c r="W163" s="2">
        <f t="shared" si="185"/>
        <v>0</v>
      </c>
      <c r="X163" s="2">
        <f t="shared" si="185"/>
        <v>-57717</v>
      </c>
      <c r="Y163" s="2">
        <f t="shared" si="185"/>
        <v>0</v>
      </c>
      <c r="Z163" s="2">
        <f t="shared" si="185"/>
        <v>100183</v>
      </c>
      <c r="AA163" s="2">
        <f t="shared" si="185"/>
        <v>0</v>
      </c>
      <c r="AB163" s="2">
        <f t="shared" si="185"/>
        <v>100183</v>
      </c>
      <c r="AC163" s="2">
        <f t="shared" si="185"/>
        <v>0</v>
      </c>
    </row>
    <row r="164" spans="1:29" ht="27" customHeight="1" x14ac:dyDescent="0.25">
      <c r="A164" s="291"/>
      <c r="B164" s="170" t="s">
        <v>90</v>
      </c>
      <c r="C164" s="291"/>
      <c r="D164" s="291"/>
      <c r="E164" s="173">
        <v>851</v>
      </c>
      <c r="F164" s="1" t="s">
        <v>83</v>
      </c>
      <c r="G164" s="1" t="s">
        <v>17</v>
      </c>
      <c r="H164" s="1" t="s">
        <v>525</v>
      </c>
      <c r="I164" s="14">
        <v>600</v>
      </c>
      <c r="J164" s="2">
        <f t="shared" si="184"/>
        <v>157900</v>
      </c>
      <c r="K164" s="2">
        <f t="shared" si="184"/>
        <v>0</v>
      </c>
      <c r="L164" s="2">
        <f t="shared" si="184"/>
        <v>157900</v>
      </c>
      <c r="M164" s="2">
        <f t="shared" si="184"/>
        <v>0</v>
      </c>
      <c r="N164" s="2">
        <f t="shared" si="184"/>
        <v>157900</v>
      </c>
      <c r="O164" s="2">
        <f t="shared" si="184"/>
        <v>0</v>
      </c>
      <c r="P164" s="2">
        <f t="shared" si="184"/>
        <v>157900</v>
      </c>
      <c r="Q164" s="2">
        <f t="shared" si="184"/>
        <v>0</v>
      </c>
      <c r="R164" s="2"/>
      <c r="S164" s="2"/>
      <c r="T164" s="2"/>
      <c r="U164" s="2">
        <f t="shared" si="185"/>
        <v>157900</v>
      </c>
      <c r="V164" s="2">
        <f t="shared" si="185"/>
        <v>-57717</v>
      </c>
      <c r="W164" s="2">
        <f t="shared" si="185"/>
        <v>0</v>
      </c>
      <c r="X164" s="2">
        <f t="shared" si="185"/>
        <v>-57717</v>
      </c>
      <c r="Y164" s="2">
        <f t="shared" si="185"/>
        <v>0</v>
      </c>
      <c r="Z164" s="2">
        <f t="shared" si="185"/>
        <v>100183</v>
      </c>
      <c r="AA164" s="2">
        <f t="shared" si="185"/>
        <v>0</v>
      </c>
      <c r="AB164" s="2">
        <f t="shared" si="185"/>
        <v>100183</v>
      </c>
      <c r="AC164" s="2">
        <f t="shared" si="185"/>
        <v>0</v>
      </c>
    </row>
    <row r="165" spans="1:29" ht="36" customHeight="1" x14ac:dyDescent="0.25">
      <c r="A165" s="291"/>
      <c r="B165" s="291" t="s">
        <v>87</v>
      </c>
      <c r="C165" s="291"/>
      <c r="D165" s="291"/>
      <c r="E165" s="173">
        <v>851</v>
      </c>
      <c r="F165" s="1" t="s">
        <v>83</v>
      </c>
      <c r="G165" s="1" t="s">
        <v>17</v>
      </c>
      <c r="H165" s="1" t="s">
        <v>525</v>
      </c>
      <c r="I165" s="14">
        <v>611</v>
      </c>
      <c r="J165" s="2">
        <f>157664+36+200</f>
        <v>157900</v>
      </c>
      <c r="K165" s="2"/>
      <c r="L165" s="2">
        <f t="shared" si="105"/>
        <v>157900</v>
      </c>
      <c r="M165" s="2"/>
      <c r="N165" s="2">
        <f t="shared" si="182"/>
        <v>157900</v>
      </c>
      <c r="O165" s="2"/>
      <c r="P165" s="2">
        <f>N165+O165</f>
        <v>157900</v>
      </c>
      <c r="Q165" s="2"/>
      <c r="R165" s="2"/>
      <c r="S165" s="2"/>
      <c r="T165" s="2"/>
      <c r="U165" s="2">
        <f>P165+Q165</f>
        <v>157900</v>
      </c>
      <c r="V165" s="2">
        <v>-57717</v>
      </c>
      <c r="W165" s="2"/>
      <c r="X165" s="2">
        <v>-57717</v>
      </c>
      <c r="Y165" s="2"/>
      <c r="Z165" s="2">
        <f t="shared" ref="Z165" si="186">U165+V165</f>
        <v>100183</v>
      </c>
      <c r="AA165" s="14"/>
      <c r="AB165" s="2">
        <f>Z165</f>
        <v>100183</v>
      </c>
      <c r="AC165" s="14"/>
    </row>
    <row r="166" spans="1:29" ht="38.25" customHeight="1" x14ac:dyDescent="0.25">
      <c r="A166" s="324" t="s">
        <v>442</v>
      </c>
      <c r="B166" s="324"/>
      <c r="C166" s="291"/>
      <c r="D166" s="291"/>
      <c r="E166" s="173">
        <v>851</v>
      </c>
      <c r="F166" s="1" t="s">
        <v>83</v>
      </c>
      <c r="G166" s="1" t="s">
        <v>17</v>
      </c>
      <c r="H166" s="1" t="s">
        <v>526</v>
      </c>
      <c r="I166" s="14"/>
      <c r="J166" s="2">
        <f t="shared" ref="J166:Q167" si="187">J167</f>
        <v>8947680</v>
      </c>
      <c r="K166" s="2">
        <f t="shared" si="187"/>
        <v>0</v>
      </c>
      <c r="L166" s="2">
        <f t="shared" si="187"/>
        <v>8947680</v>
      </c>
      <c r="M166" s="2">
        <f t="shared" si="187"/>
        <v>0</v>
      </c>
      <c r="N166" s="2">
        <f t="shared" si="187"/>
        <v>8947680</v>
      </c>
      <c r="O166" s="2">
        <f t="shared" si="187"/>
        <v>20795</v>
      </c>
      <c r="P166" s="2">
        <f t="shared" si="187"/>
        <v>8968475</v>
      </c>
      <c r="Q166" s="2">
        <f t="shared" si="187"/>
        <v>-51675</v>
      </c>
      <c r="R166" s="2"/>
      <c r="S166" s="2"/>
      <c r="T166" s="2"/>
      <c r="U166" s="2">
        <f t="shared" ref="U166:AC167" si="188">U167</f>
        <v>8916800</v>
      </c>
      <c r="V166" s="2">
        <f t="shared" si="188"/>
        <v>-230000</v>
      </c>
      <c r="W166" s="2">
        <f t="shared" si="188"/>
        <v>0</v>
      </c>
      <c r="X166" s="2">
        <f t="shared" si="188"/>
        <v>0</v>
      </c>
      <c r="Y166" s="2">
        <f t="shared" si="188"/>
        <v>-230000</v>
      </c>
      <c r="Z166" s="2">
        <f t="shared" si="188"/>
        <v>8686800</v>
      </c>
      <c r="AA166" s="2">
        <f t="shared" si="188"/>
        <v>0</v>
      </c>
      <c r="AB166" s="2">
        <f t="shared" si="188"/>
        <v>0</v>
      </c>
      <c r="AC166" s="2">
        <f t="shared" si="188"/>
        <v>8686800</v>
      </c>
    </row>
    <row r="167" spans="1:29" ht="24" customHeight="1" x14ac:dyDescent="0.25">
      <c r="A167" s="291"/>
      <c r="B167" s="170" t="s">
        <v>90</v>
      </c>
      <c r="C167" s="291"/>
      <c r="D167" s="291"/>
      <c r="E167" s="173">
        <v>851</v>
      </c>
      <c r="F167" s="1" t="s">
        <v>83</v>
      </c>
      <c r="G167" s="1" t="s">
        <v>17</v>
      </c>
      <c r="H167" s="1" t="s">
        <v>526</v>
      </c>
      <c r="I167" s="14">
        <v>600</v>
      </c>
      <c r="J167" s="2">
        <f t="shared" si="187"/>
        <v>8947680</v>
      </c>
      <c r="K167" s="2">
        <f t="shared" si="187"/>
        <v>0</v>
      </c>
      <c r="L167" s="2">
        <f t="shared" si="187"/>
        <v>8947680</v>
      </c>
      <c r="M167" s="2">
        <f t="shared" si="187"/>
        <v>0</v>
      </c>
      <c r="N167" s="2">
        <f t="shared" si="187"/>
        <v>8947680</v>
      </c>
      <c r="O167" s="2">
        <f t="shared" si="187"/>
        <v>20795</v>
      </c>
      <c r="P167" s="2">
        <f>P168</f>
        <v>8968475</v>
      </c>
      <c r="Q167" s="2">
        <f t="shared" si="187"/>
        <v>-51675</v>
      </c>
      <c r="R167" s="2"/>
      <c r="S167" s="2"/>
      <c r="T167" s="2"/>
      <c r="U167" s="2">
        <f t="shared" si="188"/>
        <v>8916800</v>
      </c>
      <c r="V167" s="2">
        <f t="shared" si="188"/>
        <v>-230000</v>
      </c>
      <c r="W167" s="2">
        <f t="shared" si="188"/>
        <v>0</v>
      </c>
      <c r="X167" s="2">
        <f t="shared" si="188"/>
        <v>0</v>
      </c>
      <c r="Y167" s="2">
        <f t="shared" si="188"/>
        <v>-230000</v>
      </c>
      <c r="Z167" s="2">
        <f t="shared" si="188"/>
        <v>8686800</v>
      </c>
      <c r="AA167" s="2">
        <f t="shared" si="188"/>
        <v>0</v>
      </c>
      <c r="AB167" s="2">
        <f t="shared" si="188"/>
        <v>0</v>
      </c>
      <c r="AC167" s="2">
        <f t="shared" si="188"/>
        <v>8686800</v>
      </c>
    </row>
    <row r="168" spans="1:29" ht="35.25" customHeight="1" x14ac:dyDescent="0.25">
      <c r="A168" s="291"/>
      <c r="B168" s="291" t="s">
        <v>87</v>
      </c>
      <c r="C168" s="291"/>
      <c r="D168" s="291"/>
      <c r="E168" s="173">
        <v>851</v>
      </c>
      <c r="F168" s="1" t="s">
        <v>83</v>
      </c>
      <c r="G168" s="1" t="s">
        <v>17</v>
      </c>
      <c r="H168" s="1" t="s">
        <v>526</v>
      </c>
      <c r="I168" s="14">
        <v>611</v>
      </c>
      <c r="J168" s="2">
        <f>22260+28620+8896800</f>
        <v>8947680</v>
      </c>
      <c r="K168" s="2"/>
      <c r="L168" s="2">
        <f t="shared" si="105"/>
        <v>8947680</v>
      </c>
      <c r="M168" s="2"/>
      <c r="N168" s="2">
        <f t="shared" si="182"/>
        <v>8947680</v>
      </c>
      <c r="O168" s="2">
        <f>-55000+75000+795</f>
        <v>20795</v>
      </c>
      <c r="P168" s="2">
        <f>N168+O168</f>
        <v>8968475</v>
      </c>
      <c r="Q168" s="2">
        <v>-51675</v>
      </c>
      <c r="R168" s="2">
        <v>-51675</v>
      </c>
      <c r="S168" s="2"/>
      <c r="T168" s="2"/>
      <c r="U168" s="2">
        <f>P168+Q168</f>
        <v>8916800</v>
      </c>
      <c r="V168" s="2">
        <v>-230000</v>
      </c>
      <c r="W168" s="2"/>
      <c r="X168" s="2"/>
      <c r="Y168" s="2">
        <f>-20000+35000-245000</f>
        <v>-230000</v>
      </c>
      <c r="Z168" s="2">
        <f t="shared" ref="Z168" si="189">U168+V168</f>
        <v>8686800</v>
      </c>
      <c r="AA168" s="14"/>
      <c r="AB168" s="14"/>
      <c r="AC168" s="2">
        <f>Z168</f>
        <v>8686800</v>
      </c>
    </row>
    <row r="169" spans="1:29" ht="38.25" hidden="1" customHeight="1" x14ac:dyDescent="0.25">
      <c r="A169" s="324" t="s">
        <v>443</v>
      </c>
      <c r="B169" s="324"/>
      <c r="C169" s="291"/>
      <c r="D169" s="291"/>
      <c r="E169" s="173">
        <v>851</v>
      </c>
      <c r="F169" s="1" t="s">
        <v>83</v>
      </c>
      <c r="G169" s="1" t="s">
        <v>17</v>
      </c>
      <c r="H169" s="1" t="s">
        <v>527</v>
      </c>
      <c r="I169" s="14"/>
      <c r="J169" s="2">
        <f t="shared" ref="J169:Q170" si="190">J170</f>
        <v>2860620</v>
      </c>
      <c r="K169" s="2">
        <f t="shared" si="190"/>
        <v>0</v>
      </c>
      <c r="L169" s="2">
        <f t="shared" si="190"/>
        <v>2860620</v>
      </c>
      <c r="M169" s="2">
        <f t="shared" si="190"/>
        <v>0</v>
      </c>
      <c r="N169" s="2">
        <f t="shared" si="190"/>
        <v>2860620</v>
      </c>
      <c r="O169" s="2">
        <f t="shared" si="190"/>
        <v>-8745</v>
      </c>
      <c r="P169" s="2">
        <f t="shared" si="190"/>
        <v>2851875</v>
      </c>
      <c r="Q169" s="2">
        <f t="shared" si="190"/>
        <v>-35775</v>
      </c>
      <c r="R169" s="2"/>
      <c r="S169" s="2"/>
      <c r="T169" s="2"/>
      <c r="U169" s="2">
        <f t="shared" ref="U169:AC169" si="191">U170</f>
        <v>2816100</v>
      </c>
      <c r="V169" s="2">
        <f t="shared" si="191"/>
        <v>0</v>
      </c>
      <c r="W169" s="2">
        <f t="shared" si="191"/>
        <v>0</v>
      </c>
      <c r="X169" s="2">
        <f t="shared" si="191"/>
        <v>0</v>
      </c>
      <c r="Y169" s="2">
        <f t="shared" si="191"/>
        <v>0</v>
      </c>
      <c r="Z169" s="2">
        <f t="shared" si="191"/>
        <v>2816100</v>
      </c>
      <c r="AA169" s="2">
        <f t="shared" si="191"/>
        <v>0</v>
      </c>
      <c r="AB169" s="2">
        <f t="shared" si="191"/>
        <v>0</v>
      </c>
      <c r="AC169" s="2">
        <f t="shared" si="191"/>
        <v>2816100</v>
      </c>
    </row>
    <row r="170" spans="1:29" ht="24.75" hidden="1" customHeight="1" x14ac:dyDescent="0.25">
      <c r="A170" s="291"/>
      <c r="B170" s="170" t="s">
        <v>90</v>
      </c>
      <c r="C170" s="291"/>
      <c r="D170" s="291"/>
      <c r="E170" s="173">
        <v>851</v>
      </c>
      <c r="F170" s="1" t="s">
        <v>83</v>
      </c>
      <c r="G170" s="1" t="s">
        <v>17</v>
      </c>
      <c r="H170" s="1" t="s">
        <v>527</v>
      </c>
      <c r="I170" s="14">
        <v>600</v>
      </c>
      <c r="J170" s="2">
        <f t="shared" si="190"/>
        <v>2860620</v>
      </c>
      <c r="K170" s="2">
        <f t="shared" si="190"/>
        <v>0</v>
      </c>
      <c r="L170" s="2">
        <f t="shared" si="190"/>
        <v>2860620</v>
      </c>
      <c r="M170" s="2">
        <f t="shared" si="190"/>
        <v>0</v>
      </c>
      <c r="N170" s="2">
        <f t="shared" si="190"/>
        <v>2860620</v>
      </c>
      <c r="O170" s="2">
        <f t="shared" si="190"/>
        <v>-8745</v>
      </c>
      <c r="P170" s="2">
        <f>P171+P172</f>
        <v>2851875</v>
      </c>
      <c r="Q170" s="2">
        <f t="shared" ref="Q170:AC170" si="192">Q171+Q172</f>
        <v>-35775</v>
      </c>
      <c r="R170" s="2"/>
      <c r="S170" s="2"/>
      <c r="T170" s="2"/>
      <c r="U170" s="2">
        <f t="shared" si="192"/>
        <v>2816100</v>
      </c>
      <c r="V170" s="2">
        <f t="shared" si="192"/>
        <v>0</v>
      </c>
      <c r="W170" s="2">
        <f t="shared" si="192"/>
        <v>0</v>
      </c>
      <c r="X170" s="2">
        <f t="shared" si="192"/>
        <v>0</v>
      </c>
      <c r="Y170" s="2">
        <f t="shared" si="192"/>
        <v>0</v>
      </c>
      <c r="Z170" s="2">
        <f t="shared" si="192"/>
        <v>2816100</v>
      </c>
      <c r="AA170" s="2">
        <f t="shared" si="192"/>
        <v>0</v>
      </c>
      <c r="AB170" s="2">
        <f t="shared" si="192"/>
        <v>0</v>
      </c>
      <c r="AC170" s="2">
        <f t="shared" si="192"/>
        <v>2816100</v>
      </c>
    </row>
    <row r="171" spans="1:29" ht="38.25" hidden="1" customHeight="1" x14ac:dyDescent="0.25">
      <c r="A171" s="291"/>
      <c r="B171" s="291" t="s">
        <v>87</v>
      </c>
      <c r="C171" s="291"/>
      <c r="D171" s="291"/>
      <c r="E171" s="173">
        <v>851</v>
      </c>
      <c r="F171" s="1" t="s">
        <v>83</v>
      </c>
      <c r="G171" s="1" t="s">
        <v>17</v>
      </c>
      <c r="H171" s="1" t="s">
        <v>527</v>
      </c>
      <c r="I171" s="14">
        <v>611</v>
      </c>
      <c r="J171" s="2">
        <f>2816100+44520</f>
        <v>2860620</v>
      </c>
      <c r="K171" s="2">
        <v>0</v>
      </c>
      <c r="L171" s="2">
        <f t="shared" si="105"/>
        <v>2860620</v>
      </c>
      <c r="M171" s="2">
        <v>0</v>
      </c>
      <c r="N171" s="2">
        <f t="shared" si="182"/>
        <v>2860620</v>
      </c>
      <c r="O171" s="2">
        <v>-8745</v>
      </c>
      <c r="P171" s="2">
        <f>N171+O171</f>
        <v>2851875</v>
      </c>
      <c r="Q171" s="2">
        <f>-57075-35775</f>
        <v>-92850</v>
      </c>
      <c r="R171" s="2">
        <v>-35775</v>
      </c>
      <c r="S171" s="2"/>
      <c r="T171" s="2">
        <v>-57075</v>
      </c>
      <c r="U171" s="2">
        <f>P171+Q171</f>
        <v>2759025</v>
      </c>
      <c r="V171" s="2"/>
      <c r="W171" s="2"/>
      <c r="X171" s="2"/>
      <c r="Y171" s="2"/>
      <c r="Z171" s="2">
        <f t="shared" ref="Z171:Z172" si="193">U171+V171</f>
        <v>2759025</v>
      </c>
      <c r="AA171" s="14"/>
      <c r="AB171" s="14"/>
      <c r="AC171" s="2">
        <f>Z171</f>
        <v>2759025</v>
      </c>
    </row>
    <row r="172" spans="1:29" ht="14.25" hidden="1" customHeight="1" x14ac:dyDescent="0.25">
      <c r="A172" s="291"/>
      <c r="B172" s="170" t="s">
        <v>118</v>
      </c>
      <c r="C172" s="291"/>
      <c r="D172" s="291"/>
      <c r="E172" s="173">
        <v>851</v>
      </c>
      <c r="F172" s="1" t="s">
        <v>83</v>
      </c>
      <c r="G172" s="1" t="s">
        <v>17</v>
      </c>
      <c r="H172" s="1" t="s">
        <v>527</v>
      </c>
      <c r="I172" s="14">
        <v>612</v>
      </c>
      <c r="J172" s="2"/>
      <c r="K172" s="2"/>
      <c r="L172" s="2"/>
      <c r="M172" s="2"/>
      <c r="N172" s="2"/>
      <c r="O172" s="2"/>
      <c r="P172" s="2"/>
      <c r="Q172" s="2">
        <v>57075</v>
      </c>
      <c r="R172" s="2"/>
      <c r="S172" s="2"/>
      <c r="T172" s="2">
        <v>57075</v>
      </c>
      <c r="U172" s="2">
        <f>P172+Q172</f>
        <v>57075</v>
      </c>
      <c r="V172" s="2"/>
      <c r="W172" s="2"/>
      <c r="X172" s="2"/>
      <c r="Y172" s="2"/>
      <c r="Z172" s="2">
        <f t="shared" si="193"/>
        <v>57075</v>
      </c>
      <c r="AA172" s="14"/>
      <c r="AB172" s="14"/>
      <c r="AC172" s="2">
        <f>Z172</f>
        <v>57075</v>
      </c>
    </row>
    <row r="173" spans="1:29" ht="36" customHeight="1" x14ac:dyDescent="0.25">
      <c r="A173" s="324" t="s">
        <v>85</v>
      </c>
      <c r="B173" s="324"/>
      <c r="C173" s="291"/>
      <c r="D173" s="291"/>
      <c r="E173" s="173">
        <v>851</v>
      </c>
      <c r="F173" s="1" t="s">
        <v>83</v>
      </c>
      <c r="G173" s="1" t="s">
        <v>17</v>
      </c>
      <c r="H173" s="1" t="s">
        <v>528</v>
      </c>
      <c r="I173" s="1"/>
      <c r="J173" s="2">
        <f t="shared" ref="J173:Q174" si="194">J174</f>
        <v>9540</v>
      </c>
      <c r="K173" s="2">
        <f t="shared" si="194"/>
        <v>0</v>
      </c>
      <c r="L173" s="2">
        <f t="shared" si="194"/>
        <v>9540</v>
      </c>
      <c r="M173" s="2">
        <f t="shared" si="194"/>
        <v>0</v>
      </c>
      <c r="N173" s="2">
        <f t="shared" si="194"/>
        <v>9540</v>
      </c>
      <c r="O173" s="2">
        <f t="shared" si="194"/>
        <v>-3180</v>
      </c>
      <c r="P173" s="2">
        <f t="shared" si="194"/>
        <v>6360</v>
      </c>
      <c r="Q173" s="2">
        <f t="shared" si="194"/>
        <v>98580</v>
      </c>
      <c r="R173" s="2"/>
      <c r="S173" s="2"/>
      <c r="T173" s="2"/>
      <c r="U173" s="2">
        <f t="shared" ref="U173:AC174" si="195">U174</f>
        <v>104940</v>
      </c>
      <c r="V173" s="2">
        <f t="shared" si="195"/>
        <v>-19080</v>
      </c>
      <c r="W173" s="2">
        <f t="shared" si="195"/>
        <v>-3180</v>
      </c>
      <c r="X173" s="2">
        <f t="shared" si="195"/>
        <v>0</v>
      </c>
      <c r="Y173" s="2">
        <f t="shared" si="195"/>
        <v>-15900</v>
      </c>
      <c r="Z173" s="2">
        <f t="shared" si="195"/>
        <v>85860</v>
      </c>
      <c r="AA173" s="2">
        <f t="shared" si="195"/>
        <v>14310</v>
      </c>
      <c r="AB173" s="2">
        <f t="shared" si="195"/>
        <v>0</v>
      </c>
      <c r="AC173" s="2">
        <f t="shared" si="195"/>
        <v>71550</v>
      </c>
    </row>
    <row r="174" spans="1:29" ht="24" customHeight="1" x14ac:dyDescent="0.25">
      <c r="A174" s="291"/>
      <c r="B174" s="170" t="s">
        <v>90</v>
      </c>
      <c r="C174" s="291"/>
      <c r="D174" s="291"/>
      <c r="E174" s="173">
        <v>851</v>
      </c>
      <c r="F174" s="1" t="s">
        <v>83</v>
      </c>
      <c r="G174" s="1" t="s">
        <v>17</v>
      </c>
      <c r="H174" s="1" t="s">
        <v>528</v>
      </c>
      <c r="I174" s="1" t="s">
        <v>86</v>
      </c>
      <c r="J174" s="2">
        <f t="shared" si="194"/>
        <v>9540</v>
      </c>
      <c r="K174" s="2">
        <f t="shared" si="194"/>
        <v>0</v>
      </c>
      <c r="L174" s="2">
        <f t="shared" si="194"/>
        <v>9540</v>
      </c>
      <c r="M174" s="2">
        <f t="shared" si="194"/>
        <v>0</v>
      </c>
      <c r="N174" s="2">
        <f t="shared" si="194"/>
        <v>9540</v>
      </c>
      <c r="O174" s="2">
        <f t="shared" si="194"/>
        <v>-3180</v>
      </c>
      <c r="P174" s="2">
        <f t="shared" si="194"/>
        <v>6360</v>
      </c>
      <c r="Q174" s="2">
        <f t="shared" si="194"/>
        <v>98580</v>
      </c>
      <c r="R174" s="2"/>
      <c r="S174" s="2"/>
      <c r="T174" s="2"/>
      <c r="U174" s="2">
        <f t="shared" si="195"/>
        <v>104940</v>
      </c>
      <c r="V174" s="2">
        <f t="shared" si="195"/>
        <v>-19080</v>
      </c>
      <c r="W174" s="2">
        <f t="shared" si="195"/>
        <v>-3180</v>
      </c>
      <c r="X174" s="2">
        <f t="shared" si="195"/>
        <v>0</v>
      </c>
      <c r="Y174" s="2">
        <f t="shared" si="195"/>
        <v>-15900</v>
      </c>
      <c r="Z174" s="2">
        <f t="shared" si="195"/>
        <v>85860</v>
      </c>
      <c r="AA174" s="2">
        <f t="shared" si="195"/>
        <v>14310</v>
      </c>
      <c r="AB174" s="2">
        <f t="shared" si="195"/>
        <v>0</v>
      </c>
      <c r="AC174" s="2">
        <f t="shared" si="195"/>
        <v>71550</v>
      </c>
    </row>
    <row r="175" spans="1:29" ht="38.25" customHeight="1" x14ac:dyDescent="0.25">
      <c r="A175" s="291"/>
      <c r="B175" s="291" t="s">
        <v>87</v>
      </c>
      <c r="C175" s="291"/>
      <c r="D175" s="291"/>
      <c r="E175" s="173">
        <v>851</v>
      </c>
      <c r="F175" s="1" t="s">
        <v>83</v>
      </c>
      <c r="G175" s="1" t="s">
        <v>17</v>
      </c>
      <c r="H175" s="1" t="s">
        <v>528</v>
      </c>
      <c r="I175" s="1" t="s">
        <v>88</v>
      </c>
      <c r="J175" s="2">
        <v>9540</v>
      </c>
      <c r="K175" s="2"/>
      <c r="L175" s="2">
        <f t="shared" si="105"/>
        <v>9540</v>
      </c>
      <c r="M175" s="2"/>
      <c r="N175" s="2">
        <f t="shared" si="182"/>
        <v>9540</v>
      </c>
      <c r="O175" s="2">
        <v>-3180</v>
      </c>
      <c r="P175" s="2">
        <f>N175+O175</f>
        <v>6360</v>
      </c>
      <c r="Q175" s="2">
        <f>51675+35775+11130</f>
        <v>98580</v>
      </c>
      <c r="R175" s="2">
        <v>98580</v>
      </c>
      <c r="S175" s="2"/>
      <c r="T175" s="2"/>
      <c r="U175" s="2">
        <f>P175+Q175</f>
        <v>104940</v>
      </c>
      <c r="V175" s="2">
        <v>-19080</v>
      </c>
      <c r="W175" s="2">
        <v>-3180</v>
      </c>
      <c r="X175" s="2"/>
      <c r="Y175" s="2">
        <v>-15900</v>
      </c>
      <c r="Z175" s="2">
        <f t="shared" ref="Z175" si="196">U175+V175</f>
        <v>85860</v>
      </c>
      <c r="AA175" s="279">
        <v>14310</v>
      </c>
      <c r="AB175" s="279"/>
      <c r="AC175" s="279">
        <v>71550</v>
      </c>
    </row>
    <row r="176" spans="1:29" ht="25.5" customHeight="1" x14ac:dyDescent="0.25">
      <c r="A176" s="324" t="s">
        <v>91</v>
      </c>
      <c r="B176" s="324"/>
      <c r="C176" s="291"/>
      <c r="D176" s="291"/>
      <c r="E176" s="173">
        <v>851</v>
      </c>
      <c r="F176" s="1" t="s">
        <v>83</v>
      </c>
      <c r="G176" s="1" t="s">
        <v>17</v>
      </c>
      <c r="H176" s="1" t="s">
        <v>529</v>
      </c>
      <c r="I176" s="1"/>
      <c r="J176" s="2">
        <f t="shared" ref="J176:Z177" si="197">J177</f>
        <v>100000</v>
      </c>
      <c r="K176" s="2">
        <f t="shared" si="197"/>
        <v>0</v>
      </c>
      <c r="L176" s="2">
        <f t="shared" si="197"/>
        <v>100000</v>
      </c>
      <c r="M176" s="2">
        <f t="shared" si="197"/>
        <v>0</v>
      </c>
      <c r="N176" s="2">
        <f t="shared" si="197"/>
        <v>100000</v>
      </c>
      <c r="O176" s="2">
        <f t="shared" si="197"/>
        <v>0</v>
      </c>
      <c r="P176" s="2">
        <f t="shared" si="197"/>
        <v>100000</v>
      </c>
      <c r="Q176" s="2">
        <f t="shared" si="197"/>
        <v>0</v>
      </c>
      <c r="R176" s="2"/>
      <c r="S176" s="2"/>
      <c r="T176" s="2"/>
      <c r="U176" s="2">
        <f t="shared" si="197"/>
        <v>100000</v>
      </c>
      <c r="V176" s="2">
        <f t="shared" si="197"/>
        <v>-10000</v>
      </c>
      <c r="W176" s="2">
        <f t="shared" si="197"/>
        <v>0</v>
      </c>
      <c r="X176" s="2">
        <f t="shared" si="197"/>
        <v>-10000</v>
      </c>
      <c r="Y176" s="2">
        <f t="shared" si="197"/>
        <v>0</v>
      </c>
      <c r="Z176" s="2">
        <f t="shared" si="197"/>
        <v>90000</v>
      </c>
      <c r="AA176" s="2">
        <f t="shared" ref="W176:AC177" si="198">AA177</f>
        <v>0</v>
      </c>
      <c r="AB176" s="2">
        <f t="shared" si="198"/>
        <v>90000</v>
      </c>
      <c r="AC176" s="2">
        <f t="shared" si="198"/>
        <v>0</v>
      </c>
    </row>
    <row r="177" spans="1:29" ht="15" customHeight="1" x14ac:dyDescent="0.25">
      <c r="A177" s="14"/>
      <c r="B177" s="291" t="s">
        <v>27</v>
      </c>
      <c r="C177" s="301"/>
      <c r="D177" s="301"/>
      <c r="E177" s="173">
        <v>851</v>
      </c>
      <c r="F177" s="1" t="s">
        <v>83</v>
      </c>
      <c r="G177" s="1" t="s">
        <v>17</v>
      </c>
      <c r="H177" s="1" t="s">
        <v>529</v>
      </c>
      <c r="I177" s="1" t="s">
        <v>28</v>
      </c>
      <c r="J177" s="2">
        <f t="shared" si="197"/>
        <v>100000</v>
      </c>
      <c r="K177" s="2">
        <f t="shared" si="197"/>
        <v>0</v>
      </c>
      <c r="L177" s="2">
        <f t="shared" si="197"/>
        <v>100000</v>
      </c>
      <c r="M177" s="2">
        <f t="shared" si="197"/>
        <v>0</v>
      </c>
      <c r="N177" s="2">
        <f t="shared" si="197"/>
        <v>100000</v>
      </c>
      <c r="O177" s="2">
        <f t="shared" si="197"/>
        <v>0</v>
      </c>
      <c r="P177" s="2">
        <f t="shared" si="197"/>
        <v>100000</v>
      </c>
      <c r="Q177" s="2">
        <f t="shared" si="197"/>
        <v>0</v>
      </c>
      <c r="R177" s="2"/>
      <c r="S177" s="2"/>
      <c r="T177" s="2"/>
      <c r="U177" s="2">
        <f t="shared" si="197"/>
        <v>100000</v>
      </c>
      <c r="V177" s="2">
        <f t="shared" si="197"/>
        <v>-10000</v>
      </c>
      <c r="W177" s="2">
        <f t="shared" si="198"/>
        <v>0</v>
      </c>
      <c r="X177" s="2">
        <f t="shared" si="198"/>
        <v>-10000</v>
      </c>
      <c r="Y177" s="2">
        <f t="shared" si="198"/>
        <v>0</v>
      </c>
      <c r="Z177" s="2">
        <f t="shared" si="198"/>
        <v>90000</v>
      </c>
      <c r="AA177" s="2">
        <f t="shared" si="198"/>
        <v>0</v>
      </c>
      <c r="AB177" s="2">
        <f t="shared" si="198"/>
        <v>90000</v>
      </c>
      <c r="AC177" s="2">
        <f t="shared" si="198"/>
        <v>0</v>
      </c>
    </row>
    <row r="178" spans="1:29" ht="24" customHeight="1" x14ac:dyDescent="0.25">
      <c r="A178" s="14"/>
      <c r="B178" s="291" t="s">
        <v>29</v>
      </c>
      <c r="C178" s="291"/>
      <c r="D178" s="291"/>
      <c r="E178" s="173">
        <v>851</v>
      </c>
      <c r="F178" s="1" t="s">
        <v>83</v>
      </c>
      <c r="G178" s="1" t="s">
        <v>17</v>
      </c>
      <c r="H178" s="1" t="s">
        <v>529</v>
      </c>
      <c r="I178" s="1" t="s">
        <v>30</v>
      </c>
      <c r="J178" s="2">
        <v>100000</v>
      </c>
      <c r="K178" s="2"/>
      <c r="L178" s="2">
        <f t="shared" si="105"/>
        <v>100000</v>
      </c>
      <c r="M178" s="2"/>
      <c r="N178" s="2">
        <f t="shared" si="182"/>
        <v>100000</v>
      </c>
      <c r="O178" s="2"/>
      <c r="P178" s="2">
        <f>N178+O178</f>
        <v>100000</v>
      </c>
      <c r="Q178" s="2"/>
      <c r="R178" s="2"/>
      <c r="S178" s="2"/>
      <c r="T178" s="2"/>
      <c r="U178" s="2">
        <f>P178+Q178</f>
        <v>100000</v>
      </c>
      <c r="V178" s="2">
        <v>-10000</v>
      </c>
      <c r="W178" s="2"/>
      <c r="X178" s="2">
        <f>V177</f>
        <v>-10000</v>
      </c>
      <c r="Y178" s="2"/>
      <c r="Z178" s="2">
        <f t="shared" ref="Z178" si="199">U178+V178</f>
        <v>90000</v>
      </c>
      <c r="AA178" s="14"/>
      <c r="AB178" s="2">
        <f>Z178</f>
        <v>90000</v>
      </c>
      <c r="AC178" s="14"/>
    </row>
    <row r="179" spans="1:29" hidden="1" x14ac:dyDescent="0.25">
      <c r="A179" s="324" t="s">
        <v>92</v>
      </c>
      <c r="B179" s="324"/>
      <c r="C179" s="291"/>
      <c r="D179" s="291"/>
      <c r="E179" s="173">
        <v>851</v>
      </c>
      <c r="F179" s="1" t="s">
        <v>83</v>
      </c>
      <c r="G179" s="1" t="s">
        <v>17</v>
      </c>
      <c r="H179" s="1" t="s">
        <v>530</v>
      </c>
      <c r="I179" s="1"/>
      <c r="J179" s="2">
        <f t="shared" ref="J179:Q180" si="200">J180</f>
        <v>200000</v>
      </c>
      <c r="K179" s="2">
        <f t="shared" si="200"/>
        <v>605000</v>
      </c>
      <c r="L179" s="2">
        <f t="shared" si="200"/>
        <v>805000</v>
      </c>
      <c r="M179" s="2">
        <f t="shared" si="200"/>
        <v>0</v>
      </c>
      <c r="N179" s="2">
        <f t="shared" si="200"/>
        <v>805000</v>
      </c>
      <c r="O179" s="2">
        <f t="shared" si="200"/>
        <v>10000</v>
      </c>
      <c r="P179" s="2">
        <f t="shared" si="200"/>
        <v>815000</v>
      </c>
      <c r="Q179" s="2">
        <f t="shared" si="200"/>
        <v>0</v>
      </c>
      <c r="R179" s="2"/>
      <c r="S179" s="2"/>
      <c r="T179" s="2"/>
      <c r="U179" s="2">
        <f t="shared" ref="U179:AC180" si="201">U180</f>
        <v>815000</v>
      </c>
      <c r="V179" s="2">
        <f t="shared" si="201"/>
        <v>0</v>
      </c>
      <c r="W179" s="2">
        <f t="shared" si="201"/>
        <v>0</v>
      </c>
      <c r="X179" s="2">
        <f t="shared" si="201"/>
        <v>0</v>
      </c>
      <c r="Y179" s="2">
        <f t="shared" si="201"/>
        <v>0</v>
      </c>
      <c r="Z179" s="2">
        <f t="shared" si="201"/>
        <v>815000</v>
      </c>
      <c r="AA179" s="2">
        <f t="shared" si="201"/>
        <v>0</v>
      </c>
      <c r="AB179" s="2">
        <f t="shared" si="201"/>
        <v>815000</v>
      </c>
      <c r="AC179" s="2">
        <f t="shared" si="201"/>
        <v>0</v>
      </c>
    </row>
    <row r="180" spans="1:29" ht="15" hidden="1" customHeight="1" x14ac:dyDescent="0.25">
      <c r="A180" s="14"/>
      <c r="B180" s="291" t="s">
        <v>27</v>
      </c>
      <c r="C180" s="301"/>
      <c r="D180" s="301"/>
      <c r="E180" s="173">
        <v>851</v>
      </c>
      <c r="F180" s="1" t="s">
        <v>83</v>
      </c>
      <c r="G180" s="1" t="s">
        <v>17</v>
      </c>
      <c r="H180" s="1" t="s">
        <v>530</v>
      </c>
      <c r="I180" s="1" t="s">
        <v>28</v>
      </c>
      <c r="J180" s="2">
        <f t="shared" si="200"/>
        <v>200000</v>
      </c>
      <c r="K180" s="2">
        <f t="shared" si="200"/>
        <v>605000</v>
      </c>
      <c r="L180" s="2">
        <f t="shared" si="200"/>
        <v>805000</v>
      </c>
      <c r="M180" s="2">
        <f t="shared" si="200"/>
        <v>0</v>
      </c>
      <c r="N180" s="2">
        <f t="shared" si="200"/>
        <v>805000</v>
      </c>
      <c r="O180" s="2">
        <f t="shared" si="200"/>
        <v>10000</v>
      </c>
      <c r="P180" s="2">
        <f t="shared" si="200"/>
        <v>815000</v>
      </c>
      <c r="Q180" s="2">
        <f t="shared" si="200"/>
        <v>0</v>
      </c>
      <c r="R180" s="2"/>
      <c r="S180" s="2"/>
      <c r="T180" s="2"/>
      <c r="U180" s="2">
        <f t="shared" si="201"/>
        <v>815000</v>
      </c>
      <c r="V180" s="2">
        <f t="shared" si="201"/>
        <v>0</v>
      </c>
      <c r="W180" s="2">
        <f t="shared" si="201"/>
        <v>0</v>
      </c>
      <c r="X180" s="2">
        <f t="shared" si="201"/>
        <v>0</v>
      </c>
      <c r="Y180" s="2">
        <f t="shared" si="201"/>
        <v>0</v>
      </c>
      <c r="Z180" s="2">
        <f t="shared" si="201"/>
        <v>815000</v>
      </c>
      <c r="AA180" s="2">
        <f t="shared" si="201"/>
        <v>0</v>
      </c>
      <c r="AB180" s="2">
        <f t="shared" si="201"/>
        <v>815000</v>
      </c>
      <c r="AC180" s="2">
        <f t="shared" si="201"/>
        <v>0</v>
      </c>
    </row>
    <row r="181" spans="1:29" ht="24.75" hidden="1" customHeight="1" x14ac:dyDescent="0.25">
      <c r="A181" s="14"/>
      <c r="B181" s="291" t="s">
        <v>29</v>
      </c>
      <c r="C181" s="291"/>
      <c r="D181" s="291"/>
      <c r="E181" s="173">
        <v>851</v>
      </c>
      <c r="F181" s="1" t="s">
        <v>83</v>
      </c>
      <c r="G181" s="1" t="s">
        <v>17</v>
      </c>
      <c r="H181" s="1" t="s">
        <v>530</v>
      </c>
      <c r="I181" s="1" t="s">
        <v>30</v>
      </c>
      <c r="J181" s="2">
        <v>200000</v>
      </c>
      <c r="K181" s="2">
        <f>500000+95000+10000</f>
        <v>605000</v>
      </c>
      <c r="L181" s="2">
        <f t="shared" si="105"/>
        <v>805000</v>
      </c>
      <c r="M181" s="2"/>
      <c r="N181" s="2">
        <f t="shared" si="182"/>
        <v>805000</v>
      </c>
      <c r="O181" s="2">
        <v>10000</v>
      </c>
      <c r="P181" s="2">
        <f>N181+O181</f>
        <v>815000</v>
      </c>
      <c r="Q181" s="2"/>
      <c r="R181" s="2"/>
      <c r="S181" s="2"/>
      <c r="T181" s="2"/>
      <c r="U181" s="2">
        <f>P181+Q181</f>
        <v>815000</v>
      </c>
      <c r="V181" s="2"/>
      <c r="W181" s="2"/>
      <c r="X181" s="2"/>
      <c r="Y181" s="2"/>
      <c r="Z181" s="2">
        <f t="shared" ref="Z181" si="202">U181+V181</f>
        <v>815000</v>
      </c>
      <c r="AA181" s="14"/>
      <c r="AB181" s="2">
        <f>Z181</f>
        <v>815000</v>
      </c>
      <c r="AC181" s="14"/>
    </row>
    <row r="182" spans="1:29" ht="60" hidden="1" customHeight="1" x14ac:dyDescent="0.25">
      <c r="A182" s="324" t="s">
        <v>678</v>
      </c>
      <c r="B182" s="324"/>
      <c r="C182" s="291"/>
      <c r="D182" s="291"/>
      <c r="E182" s="173">
        <v>851</v>
      </c>
      <c r="F182" s="1" t="s">
        <v>83</v>
      </c>
      <c r="G182" s="1" t="s">
        <v>17</v>
      </c>
      <c r="H182" s="1" t="s">
        <v>677</v>
      </c>
      <c r="I182" s="1"/>
      <c r="J182" s="2"/>
      <c r="K182" s="2"/>
      <c r="L182" s="2"/>
      <c r="M182" s="2"/>
      <c r="N182" s="2"/>
      <c r="O182" s="2"/>
      <c r="P182" s="2">
        <f>P183</f>
        <v>0</v>
      </c>
      <c r="Q182" s="2">
        <f t="shared" ref="Q182:AC183" si="203">Q183</f>
        <v>261321.25</v>
      </c>
      <c r="R182" s="2"/>
      <c r="S182" s="2"/>
      <c r="T182" s="2"/>
      <c r="U182" s="2">
        <f t="shared" si="203"/>
        <v>261321.25</v>
      </c>
      <c r="V182" s="2">
        <f t="shared" si="203"/>
        <v>0</v>
      </c>
      <c r="W182" s="2">
        <f t="shared" si="203"/>
        <v>0</v>
      </c>
      <c r="X182" s="2">
        <f t="shared" si="203"/>
        <v>0</v>
      </c>
      <c r="Y182" s="2">
        <f t="shared" si="203"/>
        <v>0</v>
      </c>
      <c r="Z182" s="2">
        <f t="shared" si="203"/>
        <v>261321.25</v>
      </c>
      <c r="AA182" s="2">
        <f t="shared" si="203"/>
        <v>261321.25</v>
      </c>
      <c r="AB182" s="2">
        <f t="shared" si="203"/>
        <v>0</v>
      </c>
      <c r="AC182" s="2">
        <f t="shared" si="203"/>
        <v>0</v>
      </c>
    </row>
    <row r="183" spans="1:29" ht="24.75" hidden="1" customHeight="1" x14ac:dyDescent="0.25">
      <c r="A183" s="223"/>
      <c r="B183" s="224" t="s">
        <v>90</v>
      </c>
      <c r="C183" s="291"/>
      <c r="D183" s="291"/>
      <c r="E183" s="173">
        <v>851</v>
      </c>
      <c r="F183" s="1" t="s">
        <v>83</v>
      </c>
      <c r="G183" s="1" t="s">
        <v>17</v>
      </c>
      <c r="H183" s="1" t="s">
        <v>677</v>
      </c>
      <c r="I183" s="1" t="s">
        <v>86</v>
      </c>
      <c r="J183" s="2"/>
      <c r="K183" s="2"/>
      <c r="L183" s="2"/>
      <c r="M183" s="2"/>
      <c r="N183" s="2"/>
      <c r="O183" s="2"/>
      <c r="P183" s="2">
        <f>P184</f>
        <v>0</v>
      </c>
      <c r="Q183" s="2">
        <f t="shared" si="203"/>
        <v>261321.25</v>
      </c>
      <c r="R183" s="2"/>
      <c r="S183" s="2"/>
      <c r="T183" s="2"/>
      <c r="U183" s="2">
        <f t="shared" si="203"/>
        <v>261321.25</v>
      </c>
      <c r="V183" s="2">
        <f t="shared" si="203"/>
        <v>0</v>
      </c>
      <c r="W183" s="2">
        <f t="shared" si="203"/>
        <v>0</v>
      </c>
      <c r="X183" s="2">
        <f t="shared" si="203"/>
        <v>0</v>
      </c>
      <c r="Y183" s="2">
        <f t="shared" si="203"/>
        <v>0</v>
      </c>
      <c r="Z183" s="2">
        <f t="shared" si="203"/>
        <v>261321.25</v>
      </c>
      <c r="AA183" s="2">
        <f t="shared" si="203"/>
        <v>261321.25</v>
      </c>
      <c r="AB183" s="2">
        <f t="shared" si="203"/>
        <v>0</v>
      </c>
      <c r="AC183" s="2">
        <f t="shared" si="203"/>
        <v>0</v>
      </c>
    </row>
    <row r="184" spans="1:29" ht="14.25" hidden="1" customHeight="1" x14ac:dyDescent="0.25">
      <c r="A184" s="14"/>
      <c r="B184" s="170" t="s">
        <v>118</v>
      </c>
      <c r="C184" s="291"/>
      <c r="D184" s="291"/>
      <c r="E184" s="173">
        <v>851</v>
      </c>
      <c r="F184" s="1" t="s">
        <v>83</v>
      </c>
      <c r="G184" s="1" t="s">
        <v>17</v>
      </c>
      <c r="H184" s="1" t="s">
        <v>677</v>
      </c>
      <c r="I184" s="1" t="s">
        <v>119</v>
      </c>
      <c r="J184" s="2"/>
      <c r="K184" s="2"/>
      <c r="L184" s="2"/>
      <c r="M184" s="2"/>
      <c r="N184" s="2"/>
      <c r="O184" s="2"/>
      <c r="P184" s="2"/>
      <c r="Q184" s="2">
        <v>261321.25</v>
      </c>
      <c r="R184" s="2">
        <v>261321.25</v>
      </c>
      <c r="S184" s="2"/>
      <c r="T184" s="2"/>
      <c r="U184" s="2">
        <f>P184+Q184</f>
        <v>261321.25</v>
      </c>
      <c r="V184" s="2"/>
      <c r="W184" s="2"/>
      <c r="X184" s="2"/>
      <c r="Y184" s="2"/>
      <c r="Z184" s="2">
        <f>U184+V184</f>
        <v>261321.25</v>
      </c>
      <c r="AA184" s="2">
        <f>Z184</f>
        <v>261321.25</v>
      </c>
      <c r="AB184" s="14"/>
      <c r="AC184" s="14"/>
    </row>
    <row r="185" spans="1:29" ht="15.75" hidden="1" customHeight="1" x14ac:dyDescent="0.25">
      <c r="A185" s="328" t="s">
        <v>93</v>
      </c>
      <c r="B185" s="328"/>
      <c r="C185" s="295"/>
      <c r="D185" s="295"/>
      <c r="E185" s="173">
        <v>851</v>
      </c>
      <c r="F185" s="10" t="s">
        <v>83</v>
      </c>
      <c r="G185" s="10" t="s">
        <v>6</v>
      </c>
      <c r="H185" s="10"/>
      <c r="I185" s="10"/>
      <c r="J185" s="21">
        <f t="shared" ref="J185:Y187" si="204">J186</f>
        <v>15000</v>
      </c>
      <c r="K185" s="21">
        <f t="shared" si="204"/>
        <v>0</v>
      </c>
      <c r="L185" s="21">
        <f t="shared" si="204"/>
        <v>15000</v>
      </c>
      <c r="M185" s="21">
        <f t="shared" si="204"/>
        <v>0</v>
      </c>
      <c r="N185" s="21">
        <f t="shared" si="204"/>
        <v>15000</v>
      </c>
      <c r="O185" s="21">
        <f t="shared" si="204"/>
        <v>0</v>
      </c>
      <c r="P185" s="21">
        <f t="shared" si="204"/>
        <v>15000</v>
      </c>
      <c r="Q185" s="21">
        <f t="shared" si="204"/>
        <v>0</v>
      </c>
      <c r="R185" s="21"/>
      <c r="S185" s="21"/>
      <c r="T185" s="21"/>
      <c r="U185" s="21">
        <f t="shared" si="204"/>
        <v>15000</v>
      </c>
      <c r="V185" s="21">
        <f t="shared" si="204"/>
        <v>0</v>
      </c>
      <c r="W185" s="21">
        <f t="shared" si="204"/>
        <v>0</v>
      </c>
      <c r="X185" s="21">
        <f t="shared" si="204"/>
        <v>0</v>
      </c>
      <c r="Y185" s="21">
        <f t="shared" si="204"/>
        <v>0</v>
      </c>
      <c r="Z185" s="21">
        <f t="shared" ref="V185:AC187" si="205">Z186</f>
        <v>15000</v>
      </c>
      <c r="AA185" s="21">
        <f t="shared" si="205"/>
        <v>0</v>
      </c>
      <c r="AB185" s="21">
        <f t="shared" si="205"/>
        <v>15000</v>
      </c>
      <c r="AC185" s="21">
        <f t="shared" si="205"/>
        <v>0</v>
      </c>
    </row>
    <row r="186" spans="1:29" hidden="1" x14ac:dyDescent="0.25">
      <c r="A186" s="324" t="s">
        <v>94</v>
      </c>
      <c r="B186" s="324"/>
      <c r="C186" s="291"/>
      <c r="D186" s="291"/>
      <c r="E186" s="173">
        <v>851</v>
      </c>
      <c r="F186" s="1" t="s">
        <v>83</v>
      </c>
      <c r="G186" s="1" t="s">
        <v>6</v>
      </c>
      <c r="H186" s="1" t="s">
        <v>531</v>
      </c>
      <c r="I186" s="1"/>
      <c r="J186" s="2">
        <f t="shared" si="204"/>
        <v>15000</v>
      </c>
      <c r="K186" s="2">
        <f t="shared" si="204"/>
        <v>0</v>
      </c>
      <c r="L186" s="2">
        <f t="shared" si="204"/>
        <v>15000</v>
      </c>
      <c r="M186" s="2">
        <f t="shared" si="204"/>
        <v>0</v>
      </c>
      <c r="N186" s="2">
        <f t="shared" si="204"/>
        <v>15000</v>
      </c>
      <c r="O186" s="2">
        <f t="shared" si="204"/>
        <v>0</v>
      </c>
      <c r="P186" s="2">
        <f t="shared" si="204"/>
        <v>15000</v>
      </c>
      <c r="Q186" s="2">
        <f t="shared" si="204"/>
        <v>0</v>
      </c>
      <c r="R186" s="2"/>
      <c r="S186" s="2"/>
      <c r="T186" s="2"/>
      <c r="U186" s="2">
        <f t="shared" si="204"/>
        <v>15000</v>
      </c>
      <c r="V186" s="2">
        <f t="shared" si="204"/>
        <v>0</v>
      </c>
      <c r="W186" s="2">
        <f t="shared" si="204"/>
        <v>0</v>
      </c>
      <c r="X186" s="2">
        <f t="shared" si="204"/>
        <v>0</v>
      </c>
      <c r="Y186" s="2">
        <f t="shared" si="204"/>
        <v>0</v>
      </c>
      <c r="Z186" s="2">
        <f t="shared" si="205"/>
        <v>15000</v>
      </c>
      <c r="AA186" s="2">
        <f t="shared" si="205"/>
        <v>0</v>
      </c>
      <c r="AB186" s="2">
        <f t="shared" si="205"/>
        <v>15000</v>
      </c>
      <c r="AC186" s="2">
        <f t="shared" si="205"/>
        <v>0</v>
      </c>
    </row>
    <row r="187" spans="1:29" ht="11.25" hidden="1" customHeight="1" x14ac:dyDescent="0.25">
      <c r="A187" s="14"/>
      <c r="B187" s="291" t="s">
        <v>27</v>
      </c>
      <c r="C187" s="301"/>
      <c r="D187" s="301"/>
      <c r="E187" s="173">
        <v>851</v>
      </c>
      <c r="F187" s="1" t="s">
        <v>83</v>
      </c>
      <c r="G187" s="1" t="s">
        <v>6</v>
      </c>
      <c r="H187" s="1" t="s">
        <v>531</v>
      </c>
      <c r="I187" s="1" t="s">
        <v>28</v>
      </c>
      <c r="J187" s="2">
        <f t="shared" si="204"/>
        <v>15000</v>
      </c>
      <c r="K187" s="2">
        <f t="shared" si="204"/>
        <v>0</v>
      </c>
      <c r="L187" s="2">
        <f t="shared" si="204"/>
        <v>15000</v>
      </c>
      <c r="M187" s="2">
        <f t="shared" si="204"/>
        <v>0</v>
      </c>
      <c r="N187" s="2">
        <f t="shared" si="204"/>
        <v>15000</v>
      </c>
      <c r="O187" s="2">
        <f t="shared" si="204"/>
        <v>0</v>
      </c>
      <c r="P187" s="2">
        <f t="shared" si="204"/>
        <v>15000</v>
      </c>
      <c r="Q187" s="2">
        <f t="shared" si="204"/>
        <v>0</v>
      </c>
      <c r="R187" s="2"/>
      <c r="S187" s="2"/>
      <c r="T187" s="2"/>
      <c r="U187" s="2">
        <f t="shared" si="204"/>
        <v>15000</v>
      </c>
      <c r="V187" s="2">
        <f t="shared" si="205"/>
        <v>0</v>
      </c>
      <c r="W187" s="2">
        <f t="shared" si="205"/>
        <v>0</v>
      </c>
      <c r="X187" s="2">
        <f t="shared" si="205"/>
        <v>0</v>
      </c>
      <c r="Y187" s="2">
        <f t="shared" si="205"/>
        <v>0</v>
      </c>
      <c r="Z187" s="2">
        <f t="shared" si="205"/>
        <v>15000</v>
      </c>
      <c r="AA187" s="2">
        <f t="shared" si="205"/>
        <v>0</v>
      </c>
      <c r="AB187" s="2">
        <f t="shared" si="205"/>
        <v>15000</v>
      </c>
      <c r="AC187" s="2">
        <f t="shared" si="205"/>
        <v>0</v>
      </c>
    </row>
    <row r="188" spans="1:29" ht="23.25" hidden="1" customHeight="1" x14ac:dyDescent="0.25">
      <c r="A188" s="14"/>
      <c r="B188" s="291" t="s">
        <v>29</v>
      </c>
      <c r="C188" s="291"/>
      <c r="D188" s="291"/>
      <c r="E188" s="173">
        <v>851</v>
      </c>
      <c r="F188" s="1" t="s">
        <v>83</v>
      </c>
      <c r="G188" s="1" t="s">
        <v>6</v>
      </c>
      <c r="H188" s="1" t="s">
        <v>531</v>
      </c>
      <c r="I188" s="1" t="s">
        <v>30</v>
      </c>
      <c r="J188" s="2">
        <v>15000</v>
      </c>
      <c r="K188" s="2"/>
      <c r="L188" s="2">
        <f t="shared" si="105"/>
        <v>15000</v>
      </c>
      <c r="M188" s="2"/>
      <c r="N188" s="2">
        <f t="shared" ref="N188" si="206">L188+M188</f>
        <v>15000</v>
      </c>
      <c r="O188" s="2"/>
      <c r="P188" s="2">
        <f>N188+O188</f>
        <v>15000</v>
      </c>
      <c r="Q188" s="2"/>
      <c r="R188" s="2"/>
      <c r="S188" s="2"/>
      <c r="T188" s="2"/>
      <c r="U188" s="2">
        <f>P188+Q188</f>
        <v>15000</v>
      </c>
      <c r="V188" s="2"/>
      <c r="W188" s="2"/>
      <c r="X188" s="2"/>
      <c r="Y188" s="2"/>
      <c r="Z188" s="2">
        <f t="shared" ref="Z188" si="207">U188+V188</f>
        <v>15000</v>
      </c>
      <c r="AA188" s="14"/>
      <c r="AB188" s="2">
        <f>Z188</f>
        <v>15000</v>
      </c>
      <c r="AC188" s="14"/>
    </row>
    <row r="189" spans="1:29" x14ac:dyDescent="0.25">
      <c r="A189" s="325" t="s">
        <v>95</v>
      </c>
      <c r="B189" s="325"/>
      <c r="C189" s="292"/>
      <c r="D189" s="292"/>
      <c r="E189" s="173">
        <v>851</v>
      </c>
      <c r="F189" s="6" t="s">
        <v>0</v>
      </c>
      <c r="G189" s="6"/>
      <c r="H189" s="6"/>
      <c r="I189" s="6"/>
      <c r="J189" s="7">
        <f t="shared" ref="J189:AC189" si="208">J190+J194+J204+J208</f>
        <v>11451235</v>
      </c>
      <c r="K189" s="7">
        <f t="shared" si="208"/>
        <v>0</v>
      </c>
      <c r="L189" s="7">
        <f t="shared" si="208"/>
        <v>11451235</v>
      </c>
      <c r="M189" s="7">
        <f t="shared" si="208"/>
        <v>115000</v>
      </c>
      <c r="N189" s="7">
        <f t="shared" si="208"/>
        <v>11566235</v>
      </c>
      <c r="O189" s="7">
        <f t="shared" si="208"/>
        <v>59000</v>
      </c>
      <c r="P189" s="7">
        <f t="shared" si="208"/>
        <v>11625235</v>
      </c>
      <c r="Q189" s="7">
        <f t="shared" si="208"/>
        <v>2170904</v>
      </c>
      <c r="R189" s="7">
        <f>SUM(R190:R213)</f>
        <v>2136420</v>
      </c>
      <c r="S189" s="7">
        <f t="shared" ref="S189:T189" si="209">SUM(S190:S213)</f>
        <v>34484</v>
      </c>
      <c r="T189" s="7">
        <f t="shared" si="209"/>
        <v>0</v>
      </c>
      <c r="U189" s="7">
        <f t="shared" si="208"/>
        <v>13796139</v>
      </c>
      <c r="V189" s="7">
        <f t="shared" si="208"/>
        <v>111387.5</v>
      </c>
      <c r="W189" s="7">
        <f t="shared" si="208"/>
        <v>267052.5</v>
      </c>
      <c r="X189" s="7">
        <f t="shared" si="208"/>
        <v>-155665</v>
      </c>
      <c r="Y189" s="7">
        <f t="shared" si="208"/>
        <v>0</v>
      </c>
      <c r="Z189" s="7">
        <f t="shared" si="208"/>
        <v>13907526.5</v>
      </c>
      <c r="AA189" s="7">
        <f t="shared" si="208"/>
        <v>10415047.5</v>
      </c>
      <c r="AB189" s="7">
        <f t="shared" si="208"/>
        <v>3492479</v>
      </c>
      <c r="AC189" s="7">
        <f t="shared" si="208"/>
        <v>0</v>
      </c>
    </row>
    <row r="190" spans="1:29" hidden="1" x14ac:dyDescent="0.25">
      <c r="A190" s="328" t="s">
        <v>96</v>
      </c>
      <c r="B190" s="328"/>
      <c r="C190" s="295"/>
      <c r="D190" s="295"/>
      <c r="E190" s="173">
        <v>851</v>
      </c>
      <c r="F190" s="10" t="s">
        <v>0</v>
      </c>
      <c r="G190" s="10" t="s">
        <v>17</v>
      </c>
      <c r="H190" s="10"/>
      <c r="I190" s="10"/>
      <c r="J190" s="11">
        <f t="shared" ref="J190:Y192" si="210">J191</f>
        <v>2587000</v>
      </c>
      <c r="K190" s="11">
        <f t="shared" si="210"/>
        <v>0</v>
      </c>
      <c r="L190" s="11">
        <f t="shared" si="210"/>
        <v>2587000</v>
      </c>
      <c r="M190" s="11">
        <f t="shared" si="210"/>
        <v>115000</v>
      </c>
      <c r="N190" s="11">
        <f t="shared" si="210"/>
        <v>2702000</v>
      </c>
      <c r="O190" s="11">
        <f t="shared" si="210"/>
        <v>0</v>
      </c>
      <c r="P190" s="11">
        <f t="shared" si="210"/>
        <v>2702000</v>
      </c>
      <c r="Q190" s="11">
        <f t="shared" si="210"/>
        <v>14484</v>
      </c>
      <c r="R190" s="11"/>
      <c r="S190" s="11"/>
      <c r="T190" s="11"/>
      <c r="U190" s="11">
        <f t="shared" si="210"/>
        <v>2716484</v>
      </c>
      <c r="V190" s="11">
        <f t="shared" si="210"/>
        <v>0</v>
      </c>
      <c r="W190" s="11">
        <f t="shared" si="210"/>
        <v>0</v>
      </c>
      <c r="X190" s="11">
        <f t="shared" si="210"/>
        <v>0</v>
      </c>
      <c r="Y190" s="11">
        <f t="shared" si="210"/>
        <v>0</v>
      </c>
      <c r="Z190" s="11">
        <f t="shared" ref="V190:AC192" si="211">Z191</f>
        <v>2716484</v>
      </c>
      <c r="AA190" s="11">
        <f t="shared" si="211"/>
        <v>0</v>
      </c>
      <c r="AB190" s="11">
        <f t="shared" si="211"/>
        <v>2716484</v>
      </c>
      <c r="AC190" s="11">
        <f t="shared" si="211"/>
        <v>0</v>
      </c>
    </row>
    <row r="191" spans="1:29" ht="36.75" hidden="1" customHeight="1" x14ac:dyDescent="0.25">
      <c r="A191" s="324" t="s">
        <v>97</v>
      </c>
      <c r="B191" s="324"/>
      <c r="C191" s="291"/>
      <c r="D191" s="291"/>
      <c r="E191" s="173">
        <v>851</v>
      </c>
      <c r="F191" s="1" t="s">
        <v>0</v>
      </c>
      <c r="G191" s="1" t="s">
        <v>17</v>
      </c>
      <c r="H191" s="1" t="s">
        <v>534</v>
      </c>
      <c r="I191" s="1"/>
      <c r="J191" s="2">
        <f t="shared" si="210"/>
        <v>2587000</v>
      </c>
      <c r="K191" s="2">
        <f t="shared" si="210"/>
        <v>0</v>
      </c>
      <c r="L191" s="2">
        <f t="shared" si="210"/>
        <v>2587000</v>
      </c>
      <c r="M191" s="2">
        <f t="shared" si="210"/>
        <v>115000</v>
      </c>
      <c r="N191" s="2">
        <f t="shared" si="210"/>
        <v>2702000</v>
      </c>
      <c r="O191" s="2">
        <f t="shared" si="210"/>
        <v>0</v>
      </c>
      <c r="P191" s="2">
        <f t="shared" si="210"/>
        <v>2702000</v>
      </c>
      <c r="Q191" s="2">
        <f t="shared" si="210"/>
        <v>14484</v>
      </c>
      <c r="R191" s="2"/>
      <c r="S191" s="2"/>
      <c r="T191" s="2"/>
      <c r="U191" s="2">
        <f t="shared" si="210"/>
        <v>2716484</v>
      </c>
      <c r="V191" s="2">
        <f t="shared" si="210"/>
        <v>0</v>
      </c>
      <c r="W191" s="2">
        <f t="shared" si="210"/>
        <v>0</v>
      </c>
      <c r="X191" s="2">
        <f t="shared" si="210"/>
        <v>0</v>
      </c>
      <c r="Y191" s="2">
        <f t="shared" si="210"/>
        <v>0</v>
      </c>
      <c r="Z191" s="2">
        <f t="shared" si="211"/>
        <v>2716484</v>
      </c>
      <c r="AA191" s="2">
        <f t="shared" si="211"/>
        <v>0</v>
      </c>
      <c r="AB191" s="2">
        <f t="shared" si="211"/>
        <v>2716484</v>
      </c>
      <c r="AC191" s="2">
        <f t="shared" si="211"/>
        <v>0</v>
      </c>
    </row>
    <row r="192" spans="1:29" ht="14.25" hidden="1" customHeight="1" x14ac:dyDescent="0.25">
      <c r="A192" s="299"/>
      <c r="B192" s="301" t="s">
        <v>98</v>
      </c>
      <c r="C192" s="301"/>
      <c r="D192" s="301"/>
      <c r="E192" s="173">
        <v>851</v>
      </c>
      <c r="F192" s="1" t="s">
        <v>0</v>
      </c>
      <c r="G192" s="1" t="s">
        <v>17</v>
      </c>
      <c r="H192" s="1" t="s">
        <v>534</v>
      </c>
      <c r="I192" s="1" t="s">
        <v>99</v>
      </c>
      <c r="J192" s="2">
        <f t="shared" si="210"/>
        <v>2587000</v>
      </c>
      <c r="K192" s="2">
        <f t="shared" si="210"/>
        <v>0</v>
      </c>
      <c r="L192" s="2">
        <f t="shared" si="210"/>
        <v>2587000</v>
      </c>
      <c r="M192" s="2">
        <f t="shared" si="210"/>
        <v>115000</v>
      </c>
      <c r="N192" s="2">
        <f t="shared" si="210"/>
        <v>2702000</v>
      </c>
      <c r="O192" s="2">
        <f t="shared" si="210"/>
        <v>0</v>
      </c>
      <c r="P192" s="2">
        <f t="shared" si="210"/>
        <v>2702000</v>
      </c>
      <c r="Q192" s="2">
        <f t="shared" si="210"/>
        <v>14484</v>
      </c>
      <c r="R192" s="2"/>
      <c r="S192" s="2"/>
      <c r="T192" s="2"/>
      <c r="U192" s="2">
        <f t="shared" si="210"/>
        <v>2716484</v>
      </c>
      <c r="V192" s="2">
        <f t="shared" si="211"/>
        <v>0</v>
      </c>
      <c r="W192" s="2">
        <f t="shared" si="211"/>
        <v>0</v>
      </c>
      <c r="X192" s="2">
        <f t="shared" si="211"/>
        <v>0</v>
      </c>
      <c r="Y192" s="2">
        <f t="shared" si="211"/>
        <v>0</v>
      </c>
      <c r="Z192" s="2">
        <f t="shared" si="211"/>
        <v>2716484</v>
      </c>
      <c r="AA192" s="2">
        <f t="shared" si="211"/>
        <v>0</v>
      </c>
      <c r="AB192" s="2">
        <f t="shared" si="211"/>
        <v>2716484</v>
      </c>
      <c r="AC192" s="2">
        <f t="shared" si="211"/>
        <v>0</v>
      </c>
    </row>
    <row r="193" spans="1:29" ht="24.75" hidden="1" customHeight="1" x14ac:dyDescent="0.25">
      <c r="A193" s="299"/>
      <c r="B193" s="301" t="s">
        <v>132</v>
      </c>
      <c r="C193" s="301"/>
      <c r="D193" s="301"/>
      <c r="E193" s="173">
        <v>851</v>
      </c>
      <c r="F193" s="1" t="s">
        <v>0</v>
      </c>
      <c r="G193" s="1" t="s">
        <v>17</v>
      </c>
      <c r="H193" s="1" t="s">
        <v>534</v>
      </c>
      <c r="I193" s="1" t="s">
        <v>100</v>
      </c>
      <c r="J193" s="2">
        <v>2587000</v>
      </c>
      <c r="K193" s="2"/>
      <c r="L193" s="2">
        <f t="shared" si="105"/>
        <v>2587000</v>
      </c>
      <c r="M193" s="2">
        <v>115000</v>
      </c>
      <c r="N193" s="2">
        <f t="shared" ref="N193" si="212">L193+M193</f>
        <v>2702000</v>
      </c>
      <c r="O193" s="2"/>
      <c r="P193" s="2">
        <f>N193+O193</f>
        <v>2702000</v>
      </c>
      <c r="Q193" s="2">
        <v>14484</v>
      </c>
      <c r="R193" s="2"/>
      <c r="S193" s="2">
        <v>14484</v>
      </c>
      <c r="T193" s="2"/>
      <c r="U193" s="2">
        <f>P193+Q193</f>
        <v>2716484</v>
      </c>
      <c r="V193" s="2"/>
      <c r="W193" s="2"/>
      <c r="X193" s="2"/>
      <c r="Y193" s="2"/>
      <c r="Z193" s="2">
        <f t="shared" ref="Z193" si="213">U193+V193</f>
        <v>2716484</v>
      </c>
      <c r="AA193" s="14"/>
      <c r="AB193" s="2">
        <f>Z193</f>
        <v>2716484</v>
      </c>
      <c r="AC193" s="14"/>
    </row>
    <row r="194" spans="1:29" x14ac:dyDescent="0.25">
      <c r="A194" s="328" t="s">
        <v>101</v>
      </c>
      <c r="B194" s="328"/>
      <c r="C194" s="309"/>
      <c r="D194" s="309"/>
      <c r="E194" s="173">
        <v>851</v>
      </c>
      <c r="F194" s="10" t="s">
        <v>0</v>
      </c>
      <c r="G194" s="10" t="s">
        <v>3</v>
      </c>
      <c r="H194" s="10"/>
      <c r="I194" s="10"/>
      <c r="J194" s="11">
        <f>J201</f>
        <v>582660</v>
      </c>
      <c r="K194" s="11">
        <f>K201</f>
        <v>0</v>
      </c>
      <c r="L194" s="11">
        <f>L201</f>
        <v>582660</v>
      </c>
      <c r="M194" s="11">
        <f>M201</f>
        <v>0</v>
      </c>
      <c r="N194" s="11">
        <f>N195+N201</f>
        <v>582660</v>
      </c>
      <c r="O194" s="11">
        <f t="shared" ref="O194" si="214">O195+O201</f>
        <v>59000</v>
      </c>
      <c r="P194" s="11">
        <f>P195+P198+P201</f>
        <v>641660</v>
      </c>
      <c r="Q194" s="11">
        <f t="shared" ref="Q194:AC194" si="215">Q195+Q198+Q201</f>
        <v>2156420</v>
      </c>
      <c r="R194" s="11"/>
      <c r="S194" s="11"/>
      <c r="T194" s="11"/>
      <c r="U194" s="11">
        <f t="shared" si="215"/>
        <v>2798080</v>
      </c>
      <c r="V194" s="11">
        <f t="shared" si="215"/>
        <v>136387.5</v>
      </c>
      <c r="W194" s="11">
        <f t="shared" si="215"/>
        <v>267052.5</v>
      </c>
      <c r="X194" s="11">
        <f t="shared" si="215"/>
        <v>-130665</v>
      </c>
      <c r="Y194" s="11">
        <f t="shared" si="215"/>
        <v>0</v>
      </c>
      <c r="Z194" s="11">
        <f t="shared" si="215"/>
        <v>2934467.5</v>
      </c>
      <c r="AA194" s="11">
        <f t="shared" si="215"/>
        <v>2403472.5</v>
      </c>
      <c r="AB194" s="11">
        <f t="shared" si="215"/>
        <v>530995</v>
      </c>
      <c r="AC194" s="11">
        <f t="shared" si="215"/>
        <v>0</v>
      </c>
    </row>
    <row r="195" spans="1:29" x14ac:dyDescent="0.25">
      <c r="A195" s="324" t="s">
        <v>40</v>
      </c>
      <c r="B195" s="324"/>
      <c r="C195" s="291"/>
      <c r="D195" s="14"/>
      <c r="E195" s="173">
        <v>851</v>
      </c>
      <c r="F195" s="1" t="s">
        <v>0</v>
      </c>
      <c r="G195" s="1" t="s">
        <v>3</v>
      </c>
      <c r="H195" s="1" t="s">
        <v>39</v>
      </c>
      <c r="I195" s="1"/>
      <c r="J195" s="2">
        <f t="shared" ref="J195:Q196" si="216">J196</f>
        <v>0</v>
      </c>
      <c r="K195" s="2">
        <f t="shared" si="216"/>
        <v>0</v>
      </c>
      <c r="L195" s="2">
        <f t="shared" si="216"/>
        <v>0</v>
      </c>
      <c r="M195" s="2">
        <f t="shared" si="216"/>
        <v>0</v>
      </c>
      <c r="N195" s="2">
        <f t="shared" si="216"/>
        <v>0</v>
      </c>
      <c r="O195" s="2">
        <f t="shared" si="216"/>
        <v>59000</v>
      </c>
      <c r="P195" s="2">
        <f t="shared" si="216"/>
        <v>59000</v>
      </c>
      <c r="Q195" s="2">
        <f t="shared" si="216"/>
        <v>20000</v>
      </c>
      <c r="R195" s="2"/>
      <c r="S195" s="2"/>
      <c r="T195" s="2"/>
      <c r="U195" s="2">
        <f t="shared" ref="U195:AC196" si="217">U196</f>
        <v>79000</v>
      </c>
      <c r="V195" s="2">
        <f t="shared" si="217"/>
        <v>15000</v>
      </c>
      <c r="W195" s="2">
        <f t="shared" si="217"/>
        <v>0</v>
      </c>
      <c r="X195" s="2">
        <f t="shared" si="217"/>
        <v>15000</v>
      </c>
      <c r="Y195" s="2">
        <f t="shared" si="217"/>
        <v>0</v>
      </c>
      <c r="Z195" s="2">
        <f t="shared" si="217"/>
        <v>94000</v>
      </c>
      <c r="AA195" s="2">
        <f t="shared" si="217"/>
        <v>0</v>
      </c>
      <c r="AB195" s="2">
        <f t="shared" si="217"/>
        <v>94000</v>
      </c>
      <c r="AC195" s="2">
        <f t="shared" si="217"/>
        <v>0</v>
      </c>
    </row>
    <row r="196" spans="1:29" x14ac:dyDescent="0.25">
      <c r="A196" s="14"/>
      <c r="B196" s="301" t="s">
        <v>98</v>
      </c>
      <c r="C196" s="291"/>
      <c r="D196" s="14"/>
      <c r="E196" s="173">
        <v>851</v>
      </c>
      <c r="F196" s="1" t="s">
        <v>0</v>
      </c>
      <c r="G196" s="1" t="s">
        <v>3</v>
      </c>
      <c r="H196" s="1" t="s">
        <v>39</v>
      </c>
      <c r="I196" s="1" t="s">
        <v>99</v>
      </c>
      <c r="J196" s="2">
        <f t="shared" si="216"/>
        <v>0</v>
      </c>
      <c r="K196" s="2">
        <f t="shared" si="216"/>
        <v>0</v>
      </c>
      <c r="L196" s="2">
        <f t="shared" si="216"/>
        <v>0</v>
      </c>
      <c r="M196" s="2">
        <f t="shared" si="216"/>
        <v>0</v>
      </c>
      <c r="N196" s="2">
        <f t="shared" si="216"/>
        <v>0</v>
      </c>
      <c r="O196" s="2">
        <f t="shared" si="216"/>
        <v>59000</v>
      </c>
      <c r="P196" s="2">
        <f t="shared" si="216"/>
        <v>59000</v>
      </c>
      <c r="Q196" s="2">
        <f t="shared" si="216"/>
        <v>20000</v>
      </c>
      <c r="R196" s="2"/>
      <c r="S196" s="2"/>
      <c r="T196" s="2"/>
      <c r="U196" s="2">
        <f t="shared" si="217"/>
        <v>79000</v>
      </c>
      <c r="V196" s="2">
        <f t="shared" si="217"/>
        <v>15000</v>
      </c>
      <c r="W196" s="2">
        <f t="shared" si="217"/>
        <v>0</v>
      </c>
      <c r="X196" s="2">
        <f t="shared" si="217"/>
        <v>15000</v>
      </c>
      <c r="Y196" s="2">
        <f t="shared" si="217"/>
        <v>0</v>
      </c>
      <c r="Z196" s="2">
        <f t="shared" si="217"/>
        <v>94000</v>
      </c>
      <c r="AA196" s="2">
        <f t="shared" si="217"/>
        <v>0</v>
      </c>
      <c r="AB196" s="2">
        <f t="shared" si="217"/>
        <v>94000</v>
      </c>
      <c r="AC196" s="2">
        <f t="shared" si="217"/>
        <v>0</v>
      </c>
    </row>
    <row r="197" spans="1:29" ht="24" x14ac:dyDescent="0.25">
      <c r="A197" s="14"/>
      <c r="B197" s="301" t="s">
        <v>132</v>
      </c>
      <c r="C197" s="301"/>
      <c r="D197" s="14"/>
      <c r="E197" s="173">
        <v>851</v>
      </c>
      <c r="F197" s="1" t="s">
        <v>0</v>
      </c>
      <c r="G197" s="1" t="s">
        <v>3</v>
      </c>
      <c r="H197" s="1" t="s">
        <v>39</v>
      </c>
      <c r="I197" s="1" t="s">
        <v>100</v>
      </c>
      <c r="J197" s="11"/>
      <c r="K197" s="11"/>
      <c r="L197" s="11"/>
      <c r="M197" s="11"/>
      <c r="N197" s="2"/>
      <c r="O197" s="2">
        <v>59000</v>
      </c>
      <c r="P197" s="2">
        <f>N197+O197</f>
        <v>59000</v>
      </c>
      <c r="Q197" s="2">
        <v>20000</v>
      </c>
      <c r="R197" s="2"/>
      <c r="S197" s="2">
        <v>20000</v>
      </c>
      <c r="T197" s="2"/>
      <c r="U197" s="2">
        <f>P197+Q197</f>
        <v>79000</v>
      </c>
      <c r="V197" s="2">
        <v>15000</v>
      </c>
      <c r="W197" s="2"/>
      <c r="X197" s="2">
        <f>V197</f>
        <v>15000</v>
      </c>
      <c r="Y197" s="2"/>
      <c r="Z197" s="2">
        <f t="shared" ref="Z197" si="218">U197+V197</f>
        <v>94000</v>
      </c>
      <c r="AA197" s="14"/>
      <c r="AB197" s="2">
        <f>Z197</f>
        <v>94000</v>
      </c>
      <c r="AC197" s="14"/>
    </row>
    <row r="198" spans="1:29" ht="13.5" customHeight="1" x14ac:dyDescent="0.25">
      <c r="A198" s="339" t="s">
        <v>688</v>
      </c>
      <c r="B198" s="340"/>
      <c r="C198" s="301"/>
      <c r="D198" s="301"/>
      <c r="E198" s="173">
        <v>851</v>
      </c>
      <c r="F198" s="1" t="s">
        <v>0</v>
      </c>
      <c r="G198" s="1" t="s">
        <v>3</v>
      </c>
      <c r="H198" s="1" t="s">
        <v>687</v>
      </c>
      <c r="I198" s="1"/>
      <c r="J198" s="2">
        <f t="shared" ref="J198:Y199" si="219">J199</f>
        <v>582660</v>
      </c>
      <c r="K198" s="2">
        <f t="shared" si="219"/>
        <v>0</v>
      </c>
      <c r="L198" s="2">
        <f t="shared" si="219"/>
        <v>582660</v>
      </c>
      <c r="M198" s="2">
        <f t="shared" si="219"/>
        <v>0</v>
      </c>
      <c r="N198" s="2">
        <f t="shared" si="219"/>
        <v>582660</v>
      </c>
      <c r="O198" s="2">
        <f t="shared" si="219"/>
        <v>0</v>
      </c>
      <c r="P198" s="2">
        <f t="shared" si="219"/>
        <v>0</v>
      </c>
      <c r="Q198" s="2">
        <f t="shared" si="219"/>
        <v>2136420</v>
      </c>
      <c r="R198" s="2"/>
      <c r="S198" s="2"/>
      <c r="T198" s="2"/>
      <c r="U198" s="2">
        <f t="shared" si="219"/>
        <v>2136420</v>
      </c>
      <c r="V198" s="2">
        <f t="shared" si="219"/>
        <v>267052.5</v>
      </c>
      <c r="W198" s="2">
        <f t="shared" si="219"/>
        <v>267052.5</v>
      </c>
      <c r="X198" s="2">
        <f t="shared" si="219"/>
        <v>0</v>
      </c>
      <c r="Y198" s="2">
        <f t="shared" si="219"/>
        <v>0</v>
      </c>
      <c r="Z198" s="2">
        <f t="shared" ref="Z198:AC199" si="220">Z199</f>
        <v>2403472.5</v>
      </c>
      <c r="AA198" s="2">
        <f t="shared" si="220"/>
        <v>2403472.5</v>
      </c>
      <c r="AB198" s="2">
        <f t="shared" si="220"/>
        <v>0</v>
      </c>
      <c r="AC198" s="2">
        <f t="shared" si="220"/>
        <v>0</v>
      </c>
    </row>
    <row r="199" spans="1:29" ht="13.5" customHeight="1" x14ac:dyDescent="0.25">
      <c r="A199" s="299"/>
      <c r="B199" s="301" t="s">
        <v>98</v>
      </c>
      <c r="C199" s="301"/>
      <c r="D199" s="301"/>
      <c r="E199" s="173">
        <v>851</v>
      </c>
      <c r="F199" s="1" t="s">
        <v>0</v>
      </c>
      <c r="G199" s="1" t="s">
        <v>3</v>
      </c>
      <c r="H199" s="1" t="s">
        <v>687</v>
      </c>
      <c r="I199" s="1" t="s">
        <v>99</v>
      </c>
      <c r="J199" s="2">
        <f t="shared" si="219"/>
        <v>582660</v>
      </c>
      <c r="K199" s="2">
        <f t="shared" si="219"/>
        <v>0</v>
      </c>
      <c r="L199" s="2">
        <f t="shared" si="219"/>
        <v>582660</v>
      </c>
      <c r="M199" s="2">
        <f t="shared" si="219"/>
        <v>0</v>
      </c>
      <c r="N199" s="2">
        <f t="shared" si="219"/>
        <v>582660</v>
      </c>
      <c r="O199" s="2">
        <f t="shared" si="219"/>
        <v>0</v>
      </c>
      <c r="P199" s="2">
        <f t="shared" si="219"/>
        <v>0</v>
      </c>
      <c r="Q199" s="2">
        <f t="shared" si="219"/>
        <v>2136420</v>
      </c>
      <c r="R199" s="2"/>
      <c r="S199" s="2"/>
      <c r="T199" s="2"/>
      <c r="U199" s="2">
        <f t="shared" si="219"/>
        <v>2136420</v>
      </c>
      <c r="V199" s="2">
        <f t="shared" si="219"/>
        <v>267052.5</v>
      </c>
      <c r="W199" s="2">
        <f t="shared" si="219"/>
        <v>267052.5</v>
      </c>
      <c r="X199" s="2">
        <f t="shared" si="219"/>
        <v>0</v>
      </c>
      <c r="Y199" s="2">
        <f t="shared" si="219"/>
        <v>0</v>
      </c>
      <c r="Z199" s="2">
        <f t="shared" si="220"/>
        <v>2403472.5</v>
      </c>
      <c r="AA199" s="2">
        <f t="shared" si="220"/>
        <v>2403472.5</v>
      </c>
      <c r="AB199" s="2">
        <f t="shared" si="220"/>
        <v>0</v>
      </c>
      <c r="AC199" s="2">
        <f t="shared" si="220"/>
        <v>0</v>
      </c>
    </row>
    <row r="200" spans="1:29" ht="13.5" customHeight="1" x14ac:dyDescent="0.25">
      <c r="A200" s="299"/>
      <c r="B200" s="301" t="s">
        <v>137</v>
      </c>
      <c r="C200" s="301"/>
      <c r="D200" s="301"/>
      <c r="E200" s="173">
        <v>851</v>
      </c>
      <c r="F200" s="1" t="s">
        <v>0</v>
      </c>
      <c r="G200" s="1" t="s">
        <v>3</v>
      </c>
      <c r="H200" s="1" t="s">
        <v>687</v>
      </c>
      <c r="I200" s="1" t="s">
        <v>138</v>
      </c>
      <c r="J200" s="2">
        <v>582660</v>
      </c>
      <c r="K200" s="2"/>
      <c r="L200" s="2">
        <f t="shared" ref="L200" si="221">J200+K200</f>
        <v>582660</v>
      </c>
      <c r="M200" s="2"/>
      <c r="N200" s="2">
        <f t="shared" ref="N200" si="222">L200+M200</f>
        <v>582660</v>
      </c>
      <c r="O200" s="2"/>
      <c r="P200" s="2"/>
      <c r="Q200" s="2">
        <v>2136420</v>
      </c>
      <c r="R200" s="2">
        <v>2136420</v>
      </c>
      <c r="S200" s="2"/>
      <c r="T200" s="2"/>
      <c r="U200" s="2">
        <f>P200+Q200</f>
        <v>2136420</v>
      </c>
      <c r="V200" s="2">
        <v>267052.5</v>
      </c>
      <c r="W200" s="2">
        <f>V200</f>
        <v>267052.5</v>
      </c>
      <c r="X200" s="2"/>
      <c r="Y200" s="2"/>
      <c r="Z200" s="2">
        <f t="shared" ref="Z200" si="223">U200+V200</f>
        <v>2403472.5</v>
      </c>
      <c r="AA200" s="2">
        <f>Z200</f>
        <v>2403472.5</v>
      </c>
      <c r="AB200" s="2"/>
      <c r="AC200" s="14"/>
    </row>
    <row r="201" spans="1:29" ht="12.75" customHeight="1" x14ac:dyDescent="0.25">
      <c r="A201" s="339" t="s">
        <v>136</v>
      </c>
      <c r="B201" s="340"/>
      <c r="C201" s="301"/>
      <c r="D201" s="301"/>
      <c r="E201" s="173">
        <v>851</v>
      </c>
      <c r="F201" s="1" t="s">
        <v>0</v>
      </c>
      <c r="G201" s="1" t="s">
        <v>3</v>
      </c>
      <c r="H201" s="1" t="s">
        <v>537</v>
      </c>
      <c r="I201" s="1"/>
      <c r="J201" s="2">
        <f t="shared" ref="J201:Q202" si="224">J202</f>
        <v>582660</v>
      </c>
      <c r="K201" s="2">
        <f t="shared" si="224"/>
        <v>0</v>
      </c>
      <c r="L201" s="2">
        <f t="shared" si="224"/>
        <v>582660</v>
      </c>
      <c r="M201" s="2">
        <f t="shared" si="224"/>
        <v>0</v>
      </c>
      <c r="N201" s="2">
        <f t="shared" si="224"/>
        <v>582660</v>
      </c>
      <c r="O201" s="2">
        <f t="shared" si="224"/>
        <v>0</v>
      </c>
      <c r="P201" s="2">
        <f t="shared" si="224"/>
        <v>582660</v>
      </c>
      <c r="Q201" s="2">
        <f t="shared" si="224"/>
        <v>0</v>
      </c>
      <c r="R201" s="2"/>
      <c r="S201" s="2"/>
      <c r="T201" s="2"/>
      <c r="U201" s="2">
        <f t="shared" ref="U201:AC202" si="225">U202</f>
        <v>582660</v>
      </c>
      <c r="V201" s="2">
        <f t="shared" si="225"/>
        <v>-145665</v>
      </c>
      <c r="W201" s="2">
        <f t="shared" si="225"/>
        <v>0</v>
      </c>
      <c r="X201" s="2">
        <f t="shared" si="225"/>
        <v>-145665</v>
      </c>
      <c r="Y201" s="2">
        <f t="shared" si="225"/>
        <v>0</v>
      </c>
      <c r="Z201" s="2">
        <f t="shared" si="225"/>
        <v>436995</v>
      </c>
      <c r="AA201" s="2">
        <f t="shared" si="225"/>
        <v>0</v>
      </c>
      <c r="AB201" s="2">
        <f t="shared" si="225"/>
        <v>436995</v>
      </c>
      <c r="AC201" s="2">
        <f t="shared" si="225"/>
        <v>0</v>
      </c>
    </row>
    <row r="202" spans="1:29" ht="13.5" customHeight="1" x14ac:dyDescent="0.25">
      <c r="A202" s="299"/>
      <c r="B202" s="301" t="s">
        <v>98</v>
      </c>
      <c r="C202" s="301"/>
      <c r="D202" s="301"/>
      <c r="E202" s="173">
        <v>851</v>
      </c>
      <c r="F202" s="1" t="s">
        <v>0</v>
      </c>
      <c r="G202" s="1" t="s">
        <v>3</v>
      </c>
      <c r="H202" s="1" t="s">
        <v>537</v>
      </c>
      <c r="I202" s="1" t="s">
        <v>99</v>
      </c>
      <c r="J202" s="2">
        <f t="shared" si="224"/>
        <v>582660</v>
      </c>
      <c r="K202" s="2">
        <f t="shared" si="224"/>
        <v>0</v>
      </c>
      <c r="L202" s="2">
        <f t="shared" si="224"/>
        <v>582660</v>
      </c>
      <c r="M202" s="2">
        <f t="shared" si="224"/>
        <v>0</v>
      </c>
      <c r="N202" s="2">
        <f t="shared" si="224"/>
        <v>582660</v>
      </c>
      <c r="O202" s="2">
        <f t="shared" si="224"/>
        <v>0</v>
      </c>
      <c r="P202" s="2">
        <f t="shared" si="224"/>
        <v>582660</v>
      </c>
      <c r="Q202" s="2">
        <f t="shared" si="224"/>
        <v>0</v>
      </c>
      <c r="R202" s="2"/>
      <c r="S202" s="2"/>
      <c r="T202" s="2"/>
      <c r="U202" s="2">
        <f t="shared" si="225"/>
        <v>582660</v>
      </c>
      <c r="V202" s="2">
        <f t="shared" si="225"/>
        <v>-145665</v>
      </c>
      <c r="W202" s="2">
        <f t="shared" si="225"/>
        <v>0</v>
      </c>
      <c r="X202" s="2">
        <f t="shared" si="225"/>
        <v>-145665</v>
      </c>
      <c r="Y202" s="2">
        <f t="shared" si="225"/>
        <v>0</v>
      </c>
      <c r="Z202" s="2">
        <f t="shared" si="225"/>
        <v>436995</v>
      </c>
      <c r="AA202" s="2">
        <f t="shared" si="225"/>
        <v>0</v>
      </c>
      <c r="AB202" s="2">
        <f t="shared" si="225"/>
        <v>436995</v>
      </c>
      <c r="AC202" s="2">
        <f t="shared" si="225"/>
        <v>0</v>
      </c>
    </row>
    <row r="203" spans="1:29" ht="13.5" customHeight="1" x14ac:dyDescent="0.25">
      <c r="A203" s="299"/>
      <c r="B203" s="301" t="s">
        <v>137</v>
      </c>
      <c r="C203" s="301"/>
      <c r="D203" s="301"/>
      <c r="E203" s="173">
        <v>851</v>
      </c>
      <c r="F203" s="1" t="s">
        <v>0</v>
      </c>
      <c r="G203" s="1" t="s">
        <v>3</v>
      </c>
      <c r="H203" s="1" t="s">
        <v>537</v>
      </c>
      <c r="I203" s="1" t="s">
        <v>138</v>
      </c>
      <c r="J203" s="2">
        <v>582660</v>
      </c>
      <c r="K203" s="2"/>
      <c r="L203" s="2">
        <f t="shared" ref="L203:L281" si="226">J203+K203</f>
        <v>582660</v>
      </c>
      <c r="M203" s="2"/>
      <c r="N203" s="2">
        <f t="shared" ref="N203" si="227">L203+M203</f>
        <v>582660</v>
      </c>
      <c r="O203" s="2"/>
      <c r="P203" s="2">
        <f>N203+O203</f>
        <v>582660</v>
      </c>
      <c r="Q203" s="2"/>
      <c r="R203" s="2"/>
      <c r="S203" s="2"/>
      <c r="T203" s="2"/>
      <c r="U203" s="2">
        <f>P203+Q203</f>
        <v>582660</v>
      </c>
      <c r="V203" s="2">
        <v>-145665</v>
      </c>
      <c r="W203" s="2"/>
      <c r="X203" s="2">
        <v>-145665</v>
      </c>
      <c r="Y203" s="2"/>
      <c r="Z203" s="2">
        <f t="shared" ref="Z203" si="228">U203+V203</f>
        <v>436995</v>
      </c>
      <c r="AA203" s="14"/>
      <c r="AB203" s="2">
        <f>Z203</f>
        <v>436995</v>
      </c>
      <c r="AC203" s="14"/>
    </row>
    <row r="204" spans="1:29" hidden="1" x14ac:dyDescent="0.25">
      <c r="A204" s="328" t="s">
        <v>102</v>
      </c>
      <c r="B204" s="328"/>
      <c r="C204" s="295"/>
      <c r="D204" s="295"/>
      <c r="E204" s="173">
        <v>851</v>
      </c>
      <c r="F204" s="10" t="s">
        <v>0</v>
      </c>
      <c r="G204" s="10" t="s">
        <v>6</v>
      </c>
      <c r="H204" s="10"/>
      <c r="I204" s="10"/>
      <c r="J204" s="11">
        <f t="shared" ref="J204:AC204" si="229">J206</f>
        <v>8011575</v>
      </c>
      <c r="K204" s="11">
        <f t="shared" si="229"/>
        <v>0</v>
      </c>
      <c r="L204" s="11">
        <f t="shared" si="229"/>
        <v>8011575</v>
      </c>
      <c r="M204" s="11">
        <f t="shared" si="229"/>
        <v>0</v>
      </c>
      <c r="N204" s="11">
        <f t="shared" si="229"/>
        <v>8011575</v>
      </c>
      <c r="O204" s="11">
        <f t="shared" si="229"/>
        <v>0</v>
      </c>
      <c r="P204" s="11">
        <f t="shared" si="229"/>
        <v>8011575</v>
      </c>
      <c r="Q204" s="11">
        <f t="shared" si="229"/>
        <v>0</v>
      </c>
      <c r="R204" s="11"/>
      <c r="S204" s="11"/>
      <c r="T204" s="11"/>
      <c r="U204" s="11">
        <f t="shared" si="229"/>
        <v>8011575</v>
      </c>
      <c r="V204" s="11">
        <f t="shared" si="229"/>
        <v>0</v>
      </c>
      <c r="W204" s="11">
        <f t="shared" si="229"/>
        <v>0</v>
      </c>
      <c r="X204" s="11">
        <f t="shared" si="229"/>
        <v>0</v>
      </c>
      <c r="Y204" s="11">
        <f t="shared" si="229"/>
        <v>0</v>
      </c>
      <c r="Z204" s="11">
        <f t="shared" si="229"/>
        <v>8011575</v>
      </c>
      <c r="AA204" s="11">
        <f t="shared" si="229"/>
        <v>8011575</v>
      </c>
      <c r="AB204" s="11">
        <f t="shared" si="229"/>
        <v>0</v>
      </c>
      <c r="AC204" s="11">
        <f t="shared" si="229"/>
        <v>0</v>
      </c>
    </row>
    <row r="205" spans="1:29" s="22" customFormat="1" ht="36" hidden="1" customHeight="1" x14ac:dyDescent="0.25">
      <c r="A205" s="324" t="s">
        <v>437</v>
      </c>
      <c r="B205" s="324"/>
      <c r="C205" s="297"/>
      <c r="D205" s="291"/>
      <c r="E205" s="173">
        <v>851</v>
      </c>
      <c r="F205" s="17" t="s">
        <v>0</v>
      </c>
      <c r="G205" s="17" t="s">
        <v>6</v>
      </c>
      <c r="H205" s="17" t="s">
        <v>536</v>
      </c>
      <c r="I205" s="17"/>
      <c r="J205" s="2">
        <f t="shared" ref="J205:Q206" si="230">J206</f>
        <v>8011575</v>
      </c>
      <c r="K205" s="2">
        <f t="shared" si="230"/>
        <v>0</v>
      </c>
      <c r="L205" s="2">
        <f t="shared" si="230"/>
        <v>8011575</v>
      </c>
      <c r="M205" s="2">
        <f t="shared" si="230"/>
        <v>0</v>
      </c>
      <c r="N205" s="2">
        <f t="shared" si="230"/>
        <v>8011575</v>
      </c>
      <c r="O205" s="2">
        <f t="shared" si="230"/>
        <v>0</v>
      </c>
      <c r="P205" s="2">
        <f t="shared" si="230"/>
        <v>8011575</v>
      </c>
      <c r="Q205" s="2">
        <f t="shared" si="230"/>
        <v>0</v>
      </c>
      <c r="R205" s="2"/>
      <c r="S205" s="2"/>
      <c r="T205" s="2"/>
      <c r="U205" s="2">
        <f t="shared" ref="U205:AC206" si="231">U206</f>
        <v>8011575</v>
      </c>
      <c r="V205" s="2">
        <f t="shared" si="231"/>
        <v>0</v>
      </c>
      <c r="W205" s="2">
        <f t="shared" si="231"/>
        <v>0</v>
      </c>
      <c r="X205" s="2">
        <f t="shared" si="231"/>
        <v>0</v>
      </c>
      <c r="Y205" s="2">
        <f t="shared" si="231"/>
        <v>0</v>
      </c>
      <c r="Z205" s="2">
        <f t="shared" si="231"/>
        <v>8011575</v>
      </c>
      <c r="AA205" s="2">
        <f t="shared" si="231"/>
        <v>8011575</v>
      </c>
      <c r="AB205" s="2">
        <f t="shared" si="231"/>
        <v>0</v>
      </c>
      <c r="AC205" s="2">
        <f t="shared" si="231"/>
        <v>0</v>
      </c>
    </row>
    <row r="206" spans="1:29" ht="14.25" hidden="1" customHeight="1" x14ac:dyDescent="0.25">
      <c r="A206" s="14"/>
      <c r="B206" s="301" t="s">
        <v>98</v>
      </c>
      <c r="C206" s="297"/>
      <c r="D206" s="297"/>
      <c r="E206" s="173">
        <v>851</v>
      </c>
      <c r="F206" s="17" t="s">
        <v>0</v>
      </c>
      <c r="G206" s="17" t="s">
        <v>6</v>
      </c>
      <c r="H206" s="17" t="s">
        <v>536</v>
      </c>
      <c r="I206" s="1" t="s">
        <v>99</v>
      </c>
      <c r="J206" s="2">
        <f t="shared" si="230"/>
        <v>8011575</v>
      </c>
      <c r="K206" s="2">
        <f t="shared" si="230"/>
        <v>0</v>
      </c>
      <c r="L206" s="2">
        <f t="shared" si="230"/>
        <v>8011575</v>
      </c>
      <c r="M206" s="2">
        <f t="shared" si="230"/>
        <v>0</v>
      </c>
      <c r="N206" s="2">
        <f t="shared" si="230"/>
        <v>8011575</v>
      </c>
      <c r="O206" s="2">
        <f t="shared" si="230"/>
        <v>0</v>
      </c>
      <c r="P206" s="2">
        <f t="shared" si="230"/>
        <v>8011575</v>
      </c>
      <c r="Q206" s="2">
        <f t="shared" si="230"/>
        <v>0</v>
      </c>
      <c r="R206" s="2"/>
      <c r="S206" s="2"/>
      <c r="T206" s="2"/>
      <c r="U206" s="2">
        <f t="shared" si="231"/>
        <v>8011575</v>
      </c>
      <c r="V206" s="2">
        <f t="shared" si="231"/>
        <v>0</v>
      </c>
      <c r="W206" s="2">
        <f t="shared" si="231"/>
        <v>0</v>
      </c>
      <c r="X206" s="2">
        <f t="shared" si="231"/>
        <v>0</v>
      </c>
      <c r="Y206" s="2">
        <f t="shared" si="231"/>
        <v>0</v>
      </c>
      <c r="Z206" s="2">
        <f t="shared" si="231"/>
        <v>8011575</v>
      </c>
      <c r="AA206" s="2">
        <f t="shared" si="231"/>
        <v>8011575</v>
      </c>
      <c r="AB206" s="2">
        <f t="shared" si="231"/>
        <v>0</v>
      </c>
      <c r="AC206" s="2">
        <f t="shared" si="231"/>
        <v>0</v>
      </c>
    </row>
    <row r="207" spans="1:29" s="22" customFormat="1" ht="24" hidden="1" customHeight="1" x14ac:dyDescent="0.25">
      <c r="A207" s="291"/>
      <c r="B207" s="291" t="s">
        <v>103</v>
      </c>
      <c r="C207" s="297"/>
      <c r="D207" s="297"/>
      <c r="E207" s="173">
        <v>851</v>
      </c>
      <c r="F207" s="17" t="s">
        <v>0</v>
      </c>
      <c r="G207" s="17" t="s">
        <v>6</v>
      </c>
      <c r="H207" s="17" t="s">
        <v>536</v>
      </c>
      <c r="I207" s="17" t="s">
        <v>104</v>
      </c>
      <c r="J207" s="20">
        <v>8011575</v>
      </c>
      <c r="K207" s="20"/>
      <c r="L207" s="2">
        <f t="shared" si="226"/>
        <v>8011575</v>
      </c>
      <c r="M207" s="20"/>
      <c r="N207" s="2">
        <f t="shared" ref="N207" si="232">L207+M207</f>
        <v>8011575</v>
      </c>
      <c r="O207" s="20"/>
      <c r="P207" s="2">
        <f>N207+O207</f>
        <v>8011575</v>
      </c>
      <c r="Q207" s="20"/>
      <c r="R207" s="20"/>
      <c r="S207" s="20"/>
      <c r="T207" s="20"/>
      <c r="U207" s="2">
        <f>P207+Q207</f>
        <v>8011575</v>
      </c>
      <c r="V207" s="20"/>
      <c r="W207" s="20"/>
      <c r="X207" s="20"/>
      <c r="Y207" s="20"/>
      <c r="Z207" s="2">
        <f t="shared" ref="Z207" si="233">U207+V207</f>
        <v>8011575</v>
      </c>
      <c r="AA207" s="2">
        <f>Z207</f>
        <v>8011575</v>
      </c>
      <c r="AB207" s="301"/>
      <c r="AC207" s="301"/>
    </row>
    <row r="208" spans="1:29" x14ac:dyDescent="0.25">
      <c r="A208" s="328" t="s">
        <v>105</v>
      </c>
      <c r="B208" s="328"/>
      <c r="C208" s="295"/>
      <c r="D208" s="295"/>
      <c r="E208" s="173">
        <v>851</v>
      </c>
      <c r="F208" s="10" t="s">
        <v>0</v>
      </c>
      <c r="G208" s="10" t="s">
        <v>1</v>
      </c>
      <c r="H208" s="10"/>
      <c r="I208" s="10"/>
      <c r="J208" s="11">
        <f t="shared" ref="J208:AC208" si="234">J209</f>
        <v>270000</v>
      </c>
      <c r="K208" s="11">
        <f t="shared" si="234"/>
        <v>0</v>
      </c>
      <c r="L208" s="11">
        <f t="shared" si="234"/>
        <v>270000</v>
      </c>
      <c r="M208" s="11">
        <f t="shared" si="234"/>
        <v>0</v>
      </c>
      <c r="N208" s="11">
        <f t="shared" si="234"/>
        <v>270000</v>
      </c>
      <c r="O208" s="11">
        <f t="shared" si="234"/>
        <v>0</v>
      </c>
      <c r="P208" s="11">
        <f t="shared" si="234"/>
        <v>270000</v>
      </c>
      <c r="Q208" s="11">
        <f t="shared" si="234"/>
        <v>0</v>
      </c>
      <c r="R208" s="11"/>
      <c r="S208" s="11"/>
      <c r="T208" s="11"/>
      <c r="U208" s="11">
        <f t="shared" si="234"/>
        <v>270000</v>
      </c>
      <c r="V208" s="11">
        <f t="shared" si="234"/>
        <v>-25000</v>
      </c>
      <c r="W208" s="11">
        <f t="shared" si="234"/>
        <v>0</v>
      </c>
      <c r="X208" s="11">
        <f t="shared" si="234"/>
        <v>-25000</v>
      </c>
      <c r="Y208" s="11">
        <f t="shared" si="234"/>
        <v>0</v>
      </c>
      <c r="Z208" s="11">
        <f t="shared" si="234"/>
        <v>245000</v>
      </c>
      <c r="AA208" s="11">
        <f t="shared" si="234"/>
        <v>0</v>
      </c>
      <c r="AB208" s="11">
        <f t="shared" si="234"/>
        <v>245000</v>
      </c>
      <c r="AC208" s="11">
        <f t="shared" si="234"/>
        <v>0</v>
      </c>
    </row>
    <row r="209" spans="1:29" x14ac:dyDescent="0.25">
      <c r="A209" s="324" t="s">
        <v>106</v>
      </c>
      <c r="B209" s="324"/>
      <c r="C209" s="291"/>
      <c r="D209" s="291"/>
      <c r="E209" s="173">
        <v>851</v>
      </c>
      <c r="F209" s="1" t="s">
        <v>0</v>
      </c>
      <c r="G209" s="1" t="s">
        <v>1</v>
      </c>
      <c r="H209" s="17" t="s">
        <v>535</v>
      </c>
      <c r="I209" s="1"/>
      <c r="J209" s="2">
        <f t="shared" ref="J209:Q209" si="235">J210+J212</f>
        <v>270000</v>
      </c>
      <c r="K209" s="2">
        <f t="shared" si="235"/>
        <v>0</v>
      </c>
      <c r="L209" s="2">
        <f t="shared" si="235"/>
        <v>270000</v>
      </c>
      <c r="M209" s="2">
        <f t="shared" si="235"/>
        <v>0</v>
      </c>
      <c r="N209" s="2">
        <f t="shared" si="235"/>
        <v>270000</v>
      </c>
      <c r="O209" s="2">
        <f t="shared" si="235"/>
        <v>0</v>
      </c>
      <c r="P209" s="2">
        <f t="shared" si="235"/>
        <v>270000</v>
      </c>
      <c r="Q209" s="2">
        <f t="shared" si="235"/>
        <v>0</v>
      </c>
      <c r="R209" s="2"/>
      <c r="S209" s="2"/>
      <c r="T209" s="2"/>
      <c r="U209" s="2">
        <f t="shared" ref="U209:AC209" si="236">U210+U212</f>
        <v>270000</v>
      </c>
      <c r="V209" s="2">
        <f t="shared" si="236"/>
        <v>-25000</v>
      </c>
      <c r="W209" s="2">
        <f t="shared" si="236"/>
        <v>0</v>
      </c>
      <c r="X209" s="2">
        <f t="shared" si="236"/>
        <v>-25000</v>
      </c>
      <c r="Y209" s="2">
        <f t="shared" si="236"/>
        <v>0</v>
      </c>
      <c r="Z209" s="2">
        <f t="shared" si="236"/>
        <v>245000</v>
      </c>
      <c r="AA209" s="2">
        <f t="shared" si="236"/>
        <v>0</v>
      </c>
      <c r="AB209" s="2">
        <f t="shared" si="236"/>
        <v>245000</v>
      </c>
      <c r="AC209" s="2">
        <f t="shared" si="236"/>
        <v>0</v>
      </c>
    </row>
    <row r="210" spans="1:29" ht="12" hidden="1" customHeight="1" x14ac:dyDescent="0.25">
      <c r="A210" s="14"/>
      <c r="B210" s="291" t="s">
        <v>27</v>
      </c>
      <c r="C210" s="301"/>
      <c r="D210" s="301"/>
      <c r="E210" s="173">
        <v>851</v>
      </c>
      <c r="F210" s="17" t="s">
        <v>0</v>
      </c>
      <c r="G210" s="1" t="s">
        <v>1</v>
      </c>
      <c r="H210" s="17" t="s">
        <v>535</v>
      </c>
      <c r="I210" s="1" t="s">
        <v>28</v>
      </c>
      <c r="J210" s="2">
        <f t="shared" ref="J210:Q210" si="237">J211</f>
        <v>90000</v>
      </c>
      <c r="K210" s="2">
        <f t="shared" si="237"/>
        <v>0</v>
      </c>
      <c r="L210" s="2">
        <f t="shared" si="237"/>
        <v>90000</v>
      </c>
      <c r="M210" s="2">
        <f t="shared" si="237"/>
        <v>0</v>
      </c>
      <c r="N210" s="2">
        <f t="shared" si="237"/>
        <v>90000</v>
      </c>
      <c r="O210" s="2">
        <f t="shared" si="237"/>
        <v>0</v>
      </c>
      <c r="P210" s="2">
        <f t="shared" si="237"/>
        <v>90000</v>
      </c>
      <c r="Q210" s="2">
        <f t="shared" si="237"/>
        <v>0</v>
      </c>
      <c r="R210" s="2"/>
      <c r="S210" s="2"/>
      <c r="T210" s="2"/>
      <c r="U210" s="2">
        <f t="shared" ref="U210:AC210" si="238">U211</f>
        <v>90000</v>
      </c>
      <c r="V210" s="2">
        <f t="shared" si="238"/>
        <v>0</v>
      </c>
      <c r="W210" s="2">
        <f t="shared" si="238"/>
        <v>0</v>
      </c>
      <c r="X210" s="2">
        <f t="shared" si="238"/>
        <v>0</v>
      </c>
      <c r="Y210" s="2">
        <f t="shared" si="238"/>
        <v>0</v>
      </c>
      <c r="Z210" s="2">
        <f t="shared" si="238"/>
        <v>90000</v>
      </c>
      <c r="AA210" s="2">
        <f t="shared" si="238"/>
        <v>0</v>
      </c>
      <c r="AB210" s="2">
        <f t="shared" si="238"/>
        <v>90000</v>
      </c>
      <c r="AC210" s="2">
        <f t="shared" si="238"/>
        <v>0</v>
      </c>
    </row>
    <row r="211" spans="1:29" ht="26.25" hidden="1" customHeight="1" x14ac:dyDescent="0.25">
      <c r="A211" s="14"/>
      <c r="B211" s="291" t="s">
        <v>29</v>
      </c>
      <c r="C211" s="291"/>
      <c r="D211" s="291"/>
      <c r="E211" s="173">
        <v>851</v>
      </c>
      <c r="F211" s="17" t="s">
        <v>0</v>
      </c>
      <c r="G211" s="1" t="s">
        <v>1</v>
      </c>
      <c r="H211" s="17" t="s">
        <v>535</v>
      </c>
      <c r="I211" s="1" t="s">
        <v>30</v>
      </c>
      <c r="J211" s="2">
        <v>90000</v>
      </c>
      <c r="K211" s="2"/>
      <c r="L211" s="2">
        <f t="shared" si="226"/>
        <v>90000</v>
      </c>
      <c r="M211" s="2"/>
      <c r="N211" s="2">
        <f t="shared" ref="N211:N221" si="239">L211+M211</f>
        <v>90000</v>
      </c>
      <c r="O211" s="2"/>
      <c r="P211" s="2">
        <f>N211+O211</f>
        <v>90000</v>
      </c>
      <c r="Q211" s="2"/>
      <c r="R211" s="2"/>
      <c r="S211" s="2"/>
      <c r="T211" s="2"/>
      <c r="U211" s="2">
        <f>P211+Q211</f>
        <v>90000</v>
      </c>
      <c r="V211" s="2"/>
      <c r="W211" s="2"/>
      <c r="X211" s="2"/>
      <c r="Y211" s="2"/>
      <c r="Z211" s="2">
        <f t="shared" ref="Z211:Z213" si="240">U211+V211</f>
        <v>90000</v>
      </c>
      <c r="AA211" s="14"/>
      <c r="AB211" s="2">
        <f>Z211</f>
        <v>90000</v>
      </c>
      <c r="AC211" s="14"/>
    </row>
    <row r="212" spans="1:29" ht="14.25" customHeight="1" x14ac:dyDescent="0.25">
      <c r="A212" s="299"/>
      <c r="B212" s="301" t="s">
        <v>98</v>
      </c>
      <c r="C212" s="301"/>
      <c r="D212" s="301"/>
      <c r="E212" s="173">
        <v>851</v>
      </c>
      <c r="F212" s="1" t="s">
        <v>0</v>
      </c>
      <c r="G212" s="1" t="s">
        <v>1</v>
      </c>
      <c r="H212" s="17" t="s">
        <v>535</v>
      </c>
      <c r="I212" s="1" t="s">
        <v>99</v>
      </c>
      <c r="J212" s="2">
        <f>J213</f>
        <v>180000</v>
      </c>
      <c r="K212" s="2">
        <f>K213</f>
        <v>0</v>
      </c>
      <c r="L212" s="2">
        <f t="shared" si="226"/>
        <v>180000</v>
      </c>
      <c r="M212" s="2">
        <f>M213</f>
        <v>0</v>
      </c>
      <c r="N212" s="2">
        <f t="shared" si="239"/>
        <v>180000</v>
      </c>
      <c r="O212" s="2">
        <f>O213</f>
        <v>0</v>
      </c>
      <c r="P212" s="2">
        <f>N212+O212</f>
        <v>180000</v>
      </c>
      <c r="Q212" s="2">
        <f>Q213</f>
        <v>0</v>
      </c>
      <c r="R212" s="2"/>
      <c r="S212" s="2"/>
      <c r="T212" s="2"/>
      <c r="U212" s="2">
        <f>P212+Q212</f>
        <v>180000</v>
      </c>
      <c r="V212" s="2">
        <f>V213</f>
        <v>-25000</v>
      </c>
      <c r="W212" s="2">
        <f t="shared" ref="W212:AC212" si="241">W213</f>
        <v>0</v>
      </c>
      <c r="X212" s="2">
        <f t="shared" si="241"/>
        <v>-25000</v>
      </c>
      <c r="Y212" s="2">
        <f t="shared" si="241"/>
        <v>0</v>
      </c>
      <c r="Z212" s="2">
        <f t="shared" si="241"/>
        <v>155000</v>
      </c>
      <c r="AA212" s="2">
        <f t="shared" si="241"/>
        <v>0</v>
      </c>
      <c r="AB212" s="2">
        <f t="shared" si="241"/>
        <v>155000</v>
      </c>
      <c r="AC212" s="2">
        <f t="shared" si="241"/>
        <v>0</v>
      </c>
    </row>
    <row r="213" spans="1:29" ht="25.5" customHeight="1" x14ac:dyDescent="0.25">
      <c r="A213" s="299"/>
      <c r="B213" s="301" t="s">
        <v>360</v>
      </c>
      <c r="C213" s="301"/>
      <c r="D213" s="301"/>
      <c r="E213" s="173">
        <v>851</v>
      </c>
      <c r="F213" s="1" t="s">
        <v>0</v>
      </c>
      <c r="G213" s="1" t="s">
        <v>1</v>
      </c>
      <c r="H213" s="17" t="s">
        <v>535</v>
      </c>
      <c r="I213" s="1" t="s">
        <v>8</v>
      </c>
      <c r="J213" s="2">
        <v>180000</v>
      </c>
      <c r="K213" s="2"/>
      <c r="L213" s="2">
        <f t="shared" si="226"/>
        <v>180000</v>
      </c>
      <c r="M213" s="2"/>
      <c r="N213" s="2">
        <f t="shared" si="239"/>
        <v>180000</v>
      </c>
      <c r="O213" s="2"/>
      <c r="P213" s="2">
        <f>N213+O213</f>
        <v>180000</v>
      </c>
      <c r="Q213" s="2"/>
      <c r="R213" s="2"/>
      <c r="S213" s="2"/>
      <c r="T213" s="2"/>
      <c r="U213" s="2">
        <f>P213+Q213</f>
        <v>180000</v>
      </c>
      <c r="V213" s="2">
        <v>-25000</v>
      </c>
      <c r="W213" s="2"/>
      <c r="X213" s="2">
        <f>V212</f>
        <v>-25000</v>
      </c>
      <c r="Y213" s="2"/>
      <c r="Z213" s="2">
        <f t="shared" si="240"/>
        <v>155000</v>
      </c>
      <c r="AA213" s="14"/>
      <c r="AB213" s="2">
        <f>Z213</f>
        <v>155000</v>
      </c>
      <c r="AC213" s="14"/>
    </row>
    <row r="214" spans="1:29" hidden="1" x14ac:dyDescent="0.25">
      <c r="A214" s="325" t="s">
        <v>107</v>
      </c>
      <c r="B214" s="325"/>
      <c r="C214" s="292"/>
      <c r="D214" s="292"/>
      <c r="E214" s="173">
        <v>851</v>
      </c>
      <c r="F214" s="6" t="s">
        <v>38</v>
      </c>
      <c r="G214" s="6"/>
      <c r="H214" s="6"/>
      <c r="I214" s="6"/>
      <c r="J214" s="7">
        <f t="shared" ref="J214:AC214" si="242">J215</f>
        <v>544000</v>
      </c>
      <c r="K214" s="7">
        <f t="shared" si="242"/>
        <v>0</v>
      </c>
      <c r="L214" s="2">
        <f t="shared" si="226"/>
        <v>544000</v>
      </c>
      <c r="M214" s="7">
        <f t="shared" si="242"/>
        <v>0</v>
      </c>
      <c r="N214" s="2">
        <f t="shared" si="239"/>
        <v>544000</v>
      </c>
      <c r="O214" s="7">
        <f t="shared" si="242"/>
        <v>0</v>
      </c>
      <c r="P214" s="7">
        <f t="shared" si="242"/>
        <v>544000</v>
      </c>
      <c r="Q214" s="7">
        <f t="shared" si="242"/>
        <v>0</v>
      </c>
      <c r="R214" s="7"/>
      <c r="S214" s="7"/>
      <c r="T214" s="7"/>
      <c r="U214" s="7">
        <f t="shared" si="242"/>
        <v>544000</v>
      </c>
      <c r="V214" s="7">
        <f t="shared" si="242"/>
        <v>0</v>
      </c>
      <c r="W214" s="7">
        <f t="shared" si="242"/>
        <v>0</v>
      </c>
      <c r="X214" s="7">
        <f t="shared" si="242"/>
        <v>0</v>
      </c>
      <c r="Y214" s="7">
        <f t="shared" si="242"/>
        <v>0</v>
      </c>
      <c r="Z214" s="7">
        <f t="shared" si="242"/>
        <v>544000</v>
      </c>
      <c r="AA214" s="7">
        <f t="shared" si="242"/>
        <v>0</v>
      </c>
      <c r="AB214" s="7">
        <f t="shared" si="242"/>
        <v>260000</v>
      </c>
      <c r="AC214" s="7">
        <f t="shared" si="242"/>
        <v>284000</v>
      </c>
    </row>
    <row r="215" spans="1:29" hidden="1" x14ac:dyDescent="0.25">
      <c r="A215" s="341" t="s">
        <v>108</v>
      </c>
      <c r="B215" s="341"/>
      <c r="C215" s="305"/>
      <c r="D215" s="305"/>
      <c r="E215" s="173">
        <v>851</v>
      </c>
      <c r="F215" s="10" t="s">
        <v>38</v>
      </c>
      <c r="G215" s="10" t="s">
        <v>72</v>
      </c>
      <c r="H215" s="10"/>
      <c r="I215" s="10"/>
      <c r="J215" s="11">
        <f t="shared" ref="J215:K215" si="243">J216+J219</f>
        <v>544000</v>
      </c>
      <c r="K215" s="11">
        <f t="shared" si="243"/>
        <v>0</v>
      </c>
      <c r="L215" s="2">
        <f t="shared" si="226"/>
        <v>544000</v>
      </c>
      <c r="M215" s="11">
        <f t="shared" ref="M215:AC215" si="244">M216+M219</f>
        <v>0</v>
      </c>
      <c r="N215" s="2">
        <f t="shared" si="239"/>
        <v>544000</v>
      </c>
      <c r="O215" s="11">
        <f t="shared" si="244"/>
        <v>0</v>
      </c>
      <c r="P215" s="11">
        <f t="shared" si="244"/>
        <v>544000</v>
      </c>
      <c r="Q215" s="11">
        <f t="shared" si="244"/>
        <v>0</v>
      </c>
      <c r="R215" s="11"/>
      <c r="S215" s="11"/>
      <c r="T215" s="11"/>
      <c r="U215" s="11">
        <f t="shared" si="244"/>
        <v>544000</v>
      </c>
      <c r="V215" s="11">
        <f t="shared" si="244"/>
        <v>0</v>
      </c>
      <c r="W215" s="11">
        <f t="shared" si="244"/>
        <v>0</v>
      </c>
      <c r="X215" s="11">
        <f t="shared" si="244"/>
        <v>0</v>
      </c>
      <c r="Y215" s="11">
        <f t="shared" si="244"/>
        <v>0</v>
      </c>
      <c r="Z215" s="11">
        <f t="shared" si="244"/>
        <v>544000</v>
      </c>
      <c r="AA215" s="11">
        <f t="shared" si="244"/>
        <v>0</v>
      </c>
      <c r="AB215" s="11">
        <f t="shared" si="244"/>
        <v>260000</v>
      </c>
      <c r="AC215" s="11">
        <f t="shared" si="244"/>
        <v>284000</v>
      </c>
    </row>
    <row r="216" spans="1:29" s="23" customFormat="1" hidden="1" x14ac:dyDescent="0.25">
      <c r="A216" s="324" t="s">
        <v>109</v>
      </c>
      <c r="B216" s="324"/>
      <c r="C216" s="291"/>
      <c r="D216" s="291"/>
      <c r="E216" s="173">
        <v>851</v>
      </c>
      <c r="F216" s="1" t="s">
        <v>38</v>
      </c>
      <c r="G216" s="1" t="s">
        <v>72</v>
      </c>
      <c r="H216" s="17" t="s">
        <v>532</v>
      </c>
      <c r="I216" s="1"/>
      <c r="J216" s="2">
        <f t="shared" ref="J216:Q217" si="245">J217</f>
        <v>260000</v>
      </c>
      <c r="K216" s="2">
        <f t="shared" si="245"/>
        <v>0</v>
      </c>
      <c r="L216" s="2">
        <f t="shared" si="245"/>
        <v>260000</v>
      </c>
      <c r="M216" s="2">
        <f t="shared" si="245"/>
        <v>0</v>
      </c>
      <c r="N216" s="2">
        <f t="shared" si="245"/>
        <v>260000</v>
      </c>
      <c r="O216" s="2">
        <f t="shared" si="245"/>
        <v>0</v>
      </c>
      <c r="P216" s="2">
        <f t="shared" si="245"/>
        <v>260000</v>
      </c>
      <c r="Q216" s="2">
        <f t="shared" si="245"/>
        <v>0</v>
      </c>
      <c r="R216" s="2"/>
      <c r="S216" s="2"/>
      <c r="T216" s="2"/>
      <c r="U216" s="2">
        <f t="shared" ref="U216:AC217" si="246">U217</f>
        <v>260000</v>
      </c>
      <c r="V216" s="2">
        <f t="shared" si="246"/>
        <v>0</v>
      </c>
      <c r="W216" s="2">
        <f t="shared" si="246"/>
        <v>0</v>
      </c>
      <c r="X216" s="2">
        <f t="shared" si="246"/>
        <v>0</v>
      </c>
      <c r="Y216" s="2">
        <f t="shared" si="246"/>
        <v>0</v>
      </c>
      <c r="Z216" s="2">
        <f t="shared" si="246"/>
        <v>260000</v>
      </c>
      <c r="AA216" s="2">
        <f t="shared" si="246"/>
        <v>0</v>
      </c>
      <c r="AB216" s="2">
        <f t="shared" si="246"/>
        <v>260000</v>
      </c>
      <c r="AC216" s="2">
        <f t="shared" si="246"/>
        <v>0</v>
      </c>
    </row>
    <row r="217" spans="1:29" ht="15" hidden="1" customHeight="1" x14ac:dyDescent="0.25">
      <c r="A217" s="14"/>
      <c r="B217" s="291" t="s">
        <v>27</v>
      </c>
      <c r="C217" s="301"/>
      <c r="D217" s="301"/>
      <c r="E217" s="173">
        <v>851</v>
      </c>
      <c r="F217" s="1" t="s">
        <v>38</v>
      </c>
      <c r="G217" s="1" t="s">
        <v>72</v>
      </c>
      <c r="H217" s="17" t="s">
        <v>532</v>
      </c>
      <c r="I217" s="1" t="s">
        <v>28</v>
      </c>
      <c r="J217" s="2">
        <f t="shared" si="245"/>
        <v>260000</v>
      </c>
      <c r="K217" s="2">
        <f t="shared" si="245"/>
        <v>0</v>
      </c>
      <c r="L217" s="2">
        <f t="shared" si="245"/>
        <v>260000</v>
      </c>
      <c r="M217" s="2">
        <f t="shared" si="245"/>
        <v>0</v>
      </c>
      <c r="N217" s="2">
        <f t="shared" si="245"/>
        <v>260000</v>
      </c>
      <c r="O217" s="2">
        <f t="shared" si="245"/>
        <v>0</v>
      </c>
      <c r="P217" s="2">
        <f t="shared" si="245"/>
        <v>260000</v>
      </c>
      <c r="Q217" s="2">
        <f t="shared" si="245"/>
        <v>0</v>
      </c>
      <c r="R217" s="2"/>
      <c r="S217" s="2"/>
      <c r="T217" s="2"/>
      <c r="U217" s="2">
        <f t="shared" si="246"/>
        <v>260000</v>
      </c>
      <c r="V217" s="2">
        <f t="shared" si="246"/>
        <v>0</v>
      </c>
      <c r="W217" s="2">
        <f t="shared" si="246"/>
        <v>0</v>
      </c>
      <c r="X217" s="2">
        <f t="shared" si="246"/>
        <v>0</v>
      </c>
      <c r="Y217" s="2">
        <f t="shared" si="246"/>
        <v>0</v>
      </c>
      <c r="Z217" s="2">
        <f t="shared" si="246"/>
        <v>260000</v>
      </c>
      <c r="AA217" s="2">
        <f t="shared" si="246"/>
        <v>0</v>
      </c>
      <c r="AB217" s="2">
        <f t="shared" si="246"/>
        <v>260000</v>
      </c>
      <c r="AC217" s="2">
        <f t="shared" si="246"/>
        <v>0</v>
      </c>
    </row>
    <row r="218" spans="1:29" ht="26.25" hidden="1" customHeight="1" x14ac:dyDescent="0.25">
      <c r="A218" s="14"/>
      <c r="B218" s="291" t="s">
        <v>29</v>
      </c>
      <c r="C218" s="291"/>
      <c r="D218" s="291"/>
      <c r="E218" s="173">
        <v>851</v>
      </c>
      <c r="F218" s="1" t="s">
        <v>38</v>
      </c>
      <c r="G218" s="1" t="s">
        <v>72</v>
      </c>
      <c r="H218" s="17" t="s">
        <v>532</v>
      </c>
      <c r="I218" s="1" t="s">
        <v>30</v>
      </c>
      <c r="J218" s="2">
        <v>260000</v>
      </c>
      <c r="K218" s="2"/>
      <c r="L218" s="2">
        <f t="shared" si="226"/>
        <v>260000</v>
      </c>
      <c r="M218" s="2"/>
      <c r="N218" s="2">
        <f t="shared" si="239"/>
        <v>260000</v>
      </c>
      <c r="O218" s="2"/>
      <c r="P218" s="2">
        <f>N218+O218</f>
        <v>260000</v>
      </c>
      <c r="Q218" s="2"/>
      <c r="R218" s="2"/>
      <c r="S218" s="2"/>
      <c r="T218" s="2"/>
      <c r="U218" s="2">
        <f>P218+Q218</f>
        <v>260000</v>
      </c>
      <c r="V218" s="2"/>
      <c r="W218" s="2"/>
      <c r="X218" s="2"/>
      <c r="Y218" s="2"/>
      <c r="Z218" s="2">
        <f t="shared" ref="Z218" si="247">U218+V218</f>
        <v>260000</v>
      </c>
      <c r="AA218" s="14"/>
      <c r="AB218" s="2">
        <f>Z218</f>
        <v>260000</v>
      </c>
      <c r="AC218" s="14"/>
    </row>
    <row r="219" spans="1:29" ht="38.25" hidden="1" customHeight="1" x14ac:dyDescent="0.25">
      <c r="A219" s="324" t="s">
        <v>444</v>
      </c>
      <c r="B219" s="324"/>
      <c r="C219" s="305"/>
      <c r="D219" s="305"/>
      <c r="E219" s="173">
        <v>851</v>
      </c>
      <c r="F219" s="1" t="s">
        <v>38</v>
      </c>
      <c r="G219" s="1" t="s">
        <v>72</v>
      </c>
      <c r="H219" s="1" t="s">
        <v>533</v>
      </c>
      <c r="I219" s="1"/>
      <c r="J219" s="2">
        <f t="shared" ref="J219:Q220" si="248">J220</f>
        <v>284000</v>
      </c>
      <c r="K219" s="2">
        <f t="shared" si="248"/>
        <v>0</v>
      </c>
      <c r="L219" s="2">
        <f t="shared" si="248"/>
        <v>284000</v>
      </c>
      <c r="M219" s="2">
        <f t="shared" si="248"/>
        <v>0</v>
      </c>
      <c r="N219" s="2">
        <f t="shared" si="248"/>
        <v>284000</v>
      </c>
      <c r="O219" s="2">
        <f t="shared" si="248"/>
        <v>0</v>
      </c>
      <c r="P219" s="2">
        <f t="shared" si="248"/>
        <v>284000</v>
      </c>
      <c r="Q219" s="2">
        <f t="shared" si="248"/>
        <v>0</v>
      </c>
      <c r="R219" s="2"/>
      <c r="S219" s="2"/>
      <c r="T219" s="2"/>
      <c r="U219" s="2">
        <f t="shared" ref="U219:AC220" si="249">U220</f>
        <v>284000</v>
      </c>
      <c r="V219" s="2">
        <f t="shared" si="249"/>
        <v>0</v>
      </c>
      <c r="W219" s="2">
        <f t="shared" si="249"/>
        <v>0</v>
      </c>
      <c r="X219" s="2">
        <f t="shared" si="249"/>
        <v>0</v>
      </c>
      <c r="Y219" s="2">
        <f t="shared" si="249"/>
        <v>0</v>
      </c>
      <c r="Z219" s="2">
        <f t="shared" si="249"/>
        <v>284000</v>
      </c>
      <c r="AA219" s="2">
        <f t="shared" si="249"/>
        <v>0</v>
      </c>
      <c r="AB219" s="2">
        <f t="shared" si="249"/>
        <v>0</v>
      </c>
      <c r="AC219" s="2">
        <f t="shared" si="249"/>
        <v>284000</v>
      </c>
    </row>
    <row r="220" spans="1:29" ht="14.25" hidden="1" customHeight="1" x14ac:dyDescent="0.25">
      <c r="A220" s="14"/>
      <c r="B220" s="291" t="s">
        <v>27</v>
      </c>
      <c r="C220" s="305"/>
      <c r="D220" s="305"/>
      <c r="E220" s="173">
        <v>851</v>
      </c>
      <c r="F220" s="1" t="s">
        <v>38</v>
      </c>
      <c r="G220" s="1" t="s">
        <v>72</v>
      </c>
      <c r="H220" s="1" t="s">
        <v>533</v>
      </c>
      <c r="I220" s="1" t="s">
        <v>28</v>
      </c>
      <c r="J220" s="2">
        <f t="shared" si="248"/>
        <v>284000</v>
      </c>
      <c r="K220" s="2">
        <f t="shared" si="248"/>
        <v>0</v>
      </c>
      <c r="L220" s="2">
        <f t="shared" si="248"/>
        <v>284000</v>
      </c>
      <c r="M220" s="2">
        <f t="shared" si="248"/>
        <v>0</v>
      </c>
      <c r="N220" s="2">
        <f t="shared" si="248"/>
        <v>284000</v>
      </c>
      <c r="O220" s="2">
        <f t="shared" si="248"/>
        <v>0</v>
      </c>
      <c r="P220" s="2">
        <f t="shared" si="248"/>
        <v>284000</v>
      </c>
      <c r="Q220" s="2">
        <f t="shared" si="248"/>
        <v>0</v>
      </c>
      <c r="R220" s="2"/>
      <c r="S220" s="2"/>
      <c r="T220" s="2"/>
      <c r="U220" s="2">
        <f t="shared" si="249"/>
        <v>284000</v>
      </c>
      <c r="V220" s="2">
        <f t="shared" si="249"/>
        <v>0</v>
      </c>
      <c r="W220" s="2">
        <f t="shared" si="249"/>
        <v>0</v>
      </c>
      <c r="X220" s="2">
        <f t="shared" si="249"/>
        <v>0</v>
      </c>
      <c r="Y220" s="2">
        <f t="shared" si="249"/>
        <v>0</v>
      </c>
      <c r="Z220" s="2">
        <f t="shared" si="249"/>
        <v>284000</v>
      </c>
      <c r="AA220" s="2">
        <f t="shared" si="249"/>
        <v>0</v>
      </c>
      <c r="AB220" s="2">
        <f t="shared" si="249"/>
        <v>0</v>
      </c>
      <c r="AC220" s="2">
        <f t="shared" si="249"/>
        <v>284000</v>
      </c>
    </row>
    <row r="221" spans="1:29" ht="25.5" hidden="1" customHeight="1" x14ac:dyDescent="0.25">
      <c r="A221" s="14"/>
      <c r="B221" s="291" t="s">
        <v>29</v>
      </c>
      <c r="C221" s="305"/>
      <c r="D221" s="305"/>
      <c r="E221" s="173">
        <v>851</v>
      </c>
      <c r="F221" s="1" t="s">
        <v>38</v>
      </c>
      <c r="G221" s="1" t="s">
        <v>72</v>
      </c>
      <c r="H221" s="1" t="s">
        <v>533</v>
      </c>
      <c r="I221" s="1" t="s">
        <v>30</v>
      </c>
      <c r="J221" s="2">
        <v>284000</v>
      </c>
      <c r="K221" s="2"/>
      <c r="L221" s="2">
        <f t="shared" si="226"/>
        <v>284000</v>
      </c>
      <c r="M221" s="2"/>
      <c r="N221" s="2">
        <f t="shared" si="239"/>
        <v>284000</v>
      </c>
      <c r="O221" s="2"/>
      <c r="P221" s="2">
        <f>N221+O221</f>
        <v>284000</v>
      </c>
      <c r="Q221" s="2"/>
      <c r="R221" s="2"/>
      <c r="S221" s="2"/>
      <c r="T221" s="2"/>
      <c r="U221" s="2">
        <f>P221+Q221</f>
        <v>284000</v>
      </c>
      <c r="V221" s="2"/>
      <c r="W221" s="2"/>
      <c r="X221" s="2"/>
      <c r="Y221" s="2"/>
      <c r="Z221" s="2">
        <f t="shared" ref="Z221" si="250">U221+V221</f>
        <v>284000</v>
      </c>
      <c r="AA221" s="14"/>
      <c r="AB221" s="14"/>
      <c r="AC221" s="2">
        <f>Z221</f>
        <v>284000</v>
      </c>
    </row>
    <row r="222" spans="1:29" ht="24.75" customHeight="1" x14ac:dyDescent="0.25">
      <c r="A222" s="332" t="s">
        <v>110</v>
      </c>
      <c r="B222" s="332"/>
      <c r="C222" s="307"/>
      <c r="D222" s="307"/>
      <c r="E222" s="307">
        <v>852</v>
      </c>
      <c r="F222" s="17"/>
      <c r="G222" s="17"/>
      <c r="H222" s="17"/>
      <c r="I222" s="1"/>
      <c r="J222" s="7">
        <f t="shared" ref="J222:AC222" si="251">J223+J298</f>
        <v>148946959</v>
      </c>
      <c r="K222" s="7">
        <f t="shared" si="251"/>
        <v>325480</v>
      </c>
      <c r="L222" s="7">
        <f t="shared" si="251"/>
        <v>149272439</v>
      </c>
      <c r="M222" s="7">
        <f t="shared" si="251"/>
        <v>1033500</v>
      </c>
      <c r="N222" s="7">
        <f t="shared" si="251"/>
        <v>150305939</v>
      </c>
      <c r="O222" s="7">
        <f t="shared" si="251"/>
        <v>247500</v>
      </c>
      <c r="P222" s="7">
        <f t="shared" si="251"/>
        <v>150553439</v>
      </c>
      <c r="Q222" s="7">
        <f t="shared" si="251"/>
        <v>1604959.91</v>
      </c>
      <c r="R222" s="7">
        <f t="shared" si="251"/>
        <v>44677.91</v>
      </c>
      <c r="S222" s="7">
        <f t="shared" si="251"/>
        <v>1560282</v>
      </c>
      <c r="T222" s="7">
        <f t="shared" si="251"/>
        <v>0</v>
      </c>
      <c r="U222" s="7">
        <f t="shared" si="251"/>
        <v>152158398.91</v>
      </c>
      <c r="V222" s="7">
        <f t="shared" si="251"/>
        <v>-1677657.7799999998</v>
      </c>
      <c r="W222" s="7">
        <f t="shared" si="251"/>
        <v>635605.00000000012</v>
      </c>
      <c r="X222" s="7">
        <f t="shared" si="251"/>
        <v>-2313262.7799999998</v>
      </c>
      <c r="Y222" s="7">
        <f t="shared" si="251"/>
        <v>0</v>
      </c>
      <c r="Z222" s="7">
        <f t="shared" si="251"/>
        <v>150480741.13</v>
      </c>
      <c r="AA222" s="7">
        <f t="shared" si="251"/>
        <v>104099427.91</v>
      </c>
      <c r="AB222" s="7">
        <f t="shared" si="251"/>
        <v>46381313.219999999</v>
      </c>
      <c r="AC222" s="7">
        <f t="shared" si="251"/>
        <v>0</v>
      </c>
    </row>
    <row r="223" spans="1:29" s="9" customFormat="1" x14ac:dyDescent="0.25">
      <c r="A223" s="325" t="s">
        <v>78</v>
      </c>
      <c r="B223" s="325"/>
      <c r="C223" s="292"/>
      <c r="D223" s="292"/>
      <c r="E223" s="173">
        <v>852</v>
      </c>
      <c r="F223" s="6" t="s">
        <v>36</v>
      </c>
      <c r="G223" s="6"/>
      <c r="H223" s="6"/>
      <c r="I223" s="6"/>
      <c r="J223" s="7">
        <f t="shared" ref="J223:AC223" si="252">J224+J240+J274+J278</f>
        <v>139714123</v>
      </c>
      <c r="K223" s="7">
        <f t="shared" si="252"/>
        <v>325480</v>
      </c>
      <c r="L223" s="7">
        <f t="shared" si="252"/>
        <v>140039603</v>
      </c>
      <c r="M223" s="7">
        <f t="shared" si="252"/>
        <v>865364</v>
      </c>
      <c r="N223" s="7">
        <f t="shared" si="252"/>
        <v>140904967</v>
      </c>
      <c r="O223" s="7">
        <f t="shared" si="252"/>
        <v>247500</v>
      </c>
      <c r="P223" s="7">
        <f t="shared" si="252"/>
        <v>141152467</v>
      </c>
      <c r="Q223" s="7">
        <f t="shared" si="252"/>
        <v>1560282</v>
      </c>
      <c r="R223" s="7">
        <f t="shared" si="252"/>
        <v>0</v>
      </c>
      <c r="S223" s="7">
        <f t="shared" si="252"/>
        <v>1560282</v>
      </c>
      <c r="T223" s="7">
        <f t="shared" si="252"/>
        <v>0</v>
      </c>
      <c r="U223" s="7">
        <f t="shared" si="252"/>
        <v>142712749</v>
      </c>
      <c r="V223" s="7">
        <f t="shared" si="252"/>
        <v>-1340736.7799999998</v>
      </c>
      <c r="W223" s="7">
        <f t="shared" si="252"/>
        <v>972526.00000000012</v>
      </c>
      <c r="X223" s="7">
        <f t="shared" si="252"/>
        <v>-2313262.7799999998</v>
      </c>
      <c r="Y223" s="7">
        <f t="shared" si="252"/>
        <v>0</v>
      </c>
      <c r="Z223" s="7">
        <f t="shared" si="252"/>
        <v>141372012.22</v>
      </c>
      <c r="AA223" s="7">
        <f t="shared" si="252"/>
        <v>94990699</v>
      </c>
      <c r="AB223" s="7">
        <f t="shared" si="252"/>
        <v>46381313.219999999</v>
      </c>
      <c r="AC223" s="7">
        <f t="shared" si="252"/>
        <v>0</v>
      </c>
    </row>
    <row r="224" spans="1:29" s="12" customFormat="1" x14ac:dyDescent="0.25">
      <c r="A224" s="328" t="s">
        <v>79</v>
      </c>
      <c r="B224" s="328"/>
      <c r="C224" s="295"/>
      <c r="D224" s="295"/>
      <c r="E224" s="173">
        <v>852</v>
      </c>
      <c r="F224" s="10" t="s">
        <v>36</v>
      </c>
      <c r="G224" s="10" t="s">
        <v>17</v>
      </c>
      <c r="H224" s="10"/>
      <c r="I224" s="10"/>
      <c r="J224" s="11">
        <f>J228+J231+J225+J237</f>
        <v>33975927</v>
      </c>
      <c r="K224" s="11">
        <f t="shared" ref="K224:O224" si="253">K228+K231+K225+K237</f>
        <v>0</v>
      </c>
      <c r="L224" s="11">
        <f t="shared" si="253"/>
        <v>33975927</v>
      </c>
      <c r="M224" s="11">
        <f t="shared" si="253"/>
        <v>0</v>
      </c>
      <c r="N224" s="11">
        <f t="shared" si="253"/>
        <v>33975927</v>
      </c>
      <c r="O224" s="11">
        <f t="shared" si="253"/>
        <v>0</v>
      </c>
      <c r="P224" s="11">
        <f>P228+P231+P225+P234+P237</f>
        <v>33975927</v>
      </c>
      <c r="Q224" s="11">
        <f t="shared" ref="Q224:AC224" si="254">Q228+Q231+Q225+Q234+Q237</f>
        <v>1111182</v>
      </c>
      <c r="R224" s="11">
        <f>SUM(R225:R239)</f>
        <v>0</v>
      </c>
      <c r="S224" s="11">
        <f t="shared" ref="S224:T224" si="255">SUM(S225:S239)</f>
        <v>1111182</v>
      </c>
      <c r="T224" s="11">
        <f t="shared" si="255"/>
        <v>0</v>
      </c>
      <c r="U224" s="11">
        <f t="shared" si="254"/>
        <v>35087109</v>
      </c>
      <c r="V224" s="11">
        <f t="shared" si="254"/>
        <v>-1522895</v>
      </c>
      <c r="W224" s="11">
        <f t="shared" si="254"/>
        <v>-18085</v>
      </c>
      <c r="X224" s="11">
        <f t="shared" si="254"/>
        <v>-1504810</v>
      </c>
      <c r="Y224" s="11">
        <f t="shared" si="254"/>
        <v>0</v>
      </c>
      <c r="Z224" s="11">
        <f t="shared" si="254"/>
        <v>33564214</v>
      </c>
      <c r="AA224" s="11">
        <f t="shared" si="254"/>
        <v>22100942</v>
      </c>
      <c r="AB224" s="11">
        <f t="shared" si="254"/>
        <v>11463272</v>
      </c>
      <c r="AC224" s="11">
        <f t="shared" si="254"/>
        <v>0</v>
      </c>
    </row>
    <row r="225" spans="1:29" s="22" customFormat="1" x14ac:dyDescent="0.25">
      <c r="A225" s="324" t="s">
        <v>114</v>
      </c>
      <c r="B225" s="324"/>
      <c r="C225" s="291"/>
      <c r="D225" s="301"/>
      <c r="E225" s="173">
        <v>852</v>
      </c>
      <c r="F225" s="17" t="s">
        <v>36</v>
      </c>
      <c r="G225" s="17" t="s">
        <v>17</v>
      </c>
      <c r="H225" s="17" t="s">
        <v>115</v>
      </c>
      <c r="I225" s="17"/>
      <c r="J225" s="2">
        <f t="shared" ref="J225:Q226" si="256">J226</f>
        <v>11495900</v>
      </c>
      <c r="K225" s="2">
        <f t="shared" si="256"/>
        <v>0</v>
      </c>
      <c r="L225" s="2">
        <f t="shared" si="256"/>
        <v>11495900</v>
      </c>
      <c r="M225" s="2">
        <f t="shared" si="256"/>
        <v>0</v>
      </c>
      <c r="N225" s="2">
        <f t="shared" si="256"/>
        <v>11495900</v>
      </c>
      <c r="O225" s="2">
        <f t="shared" si="256"/>
        <v>0</v>
      </c>
      <c r="P225" s="2">
        <f t="shared" si="256"/>
        <v>11495900</v>
      </c>
      <c r="Q225" s="2">
        <f t="shared" si="256"/>
        <v>1176182</v>
      </c>
      <c r="R225" s="2"/>
      <c r="S225" s="2"/>
      <c r="T225" s="2"/>
      <c r="U225" s="2">
        <f t="shared" ref="U225:AC226" si="257">U226</f>
        <v>12672082</v>
      </c>
      <c r="V225" s="2">
        <f t="shared" si="257"/>
        <v>-1539350</v>
      </c>
      <c r="W225" s="2">
        <f t="shared" si="257"/>
        <v>0</v>
      </c>
      <c r="X225" s="2">
        <f t="shared" si="257"/>
        <v>-1539350</v>
      </c>
      <c r="Y225" s="2">
        <f t="shared" si="257"/>
        <v>0</v>
      </c>
      <c r="Z225" s="2">
        <f t="shared" si="257"/>
        <v>11132732</v>
      </c>
      <c r="AA225" s="2">
        <f t="shared" si="257"/>
        <v>0</v>
      </c>
      <c r="AB225" s="2">
        <f t="shared" si="257"/>
        <v>11132732</v>
      </c>
      <c r="AC225" s="2">
        <f t="shared" si="257"/>
        <v>0</v>
      </c>
    </row>
    <row r="226" spans="1:29" s="22" customFormat="1" ht="25.5" customHeight="1" x14ac:dyDescent="0.25">
      <c r="A226" s="291"/>
      <c r="B226" s="291" t="s">
        <v>90</v>
      </c>
      <c r="C226" s="291"/>
      <c r="D226" s="291"/>
      <c r="E226" s="173">
        <v>852</v>
      </c>
      <c r="F226" s="17" t="s">
        <v>36</v>
      </c>
      <c r="G226" s="17" t="s">
        <v>17</v>
      </c>
      <c r="H226" s="17" t="s">
        <v>115</v>
      </c>
      <c r="I226" s="17" t="s">
        <v>86</v>
      </c>
      <c r="J226" s="2">
        <f t="shared" si="256"/>
        <v>11495900</v>
      </c>
      <c r="K226" s="2">
        <f t="shared" si="256"/>
        <v>0</v>
      </c>
      <c r="L226" s="2">
        <f t="shared" si="256"/>
        <v>11495900</v>
      </c>
      <c r="M226" s="2">
        <f t="shared" si="256"/>
        <v>0</v>
      </c>
      <c r="N226" s="2">
        <f t="shared" si="256"/>
        <v>11495900</v>
      </c>
      <c r="O226" s="2">
        <f t="shared" si="256"/>
        <v>0</v>
      </c>
      <c r="P226" s="2">
        <f t="shared" si="256"/>
        <v>11495900</v>
      </c>
      <c r="Q226" s="2">
        <f t="shared" si="256"/>
        <v>1176182</v>
      </c>
      <c r="R226" s="2"/>
      <c r="S226" s="2"/>
      <c r="T226" s="2"/>
      <c r="U226" s="2">
        <f t="shared" si="257"/>
        <v>12672082</v>
      </c>
      <c r="V226" s="2">
        <f t="shared" si="257"/>
        <v>-1539350</v>
      </c>
      <c r="W226" s="2">
        <f t="shared" si="257"/>
        <v>0</v>
      </c>
      <c r="X226" s="2">
        <f t="shared" si="257"/>
        <v>-1539350</v>
      </c>
      <c r="Y226" s="2">
        <f t="shared" si="257"/>
        <v>0</v>
      </c>
      <c r="Z226" s="2">
        <f t="shared" si="257"/>
        <v>11132732</v>
      </c>
      <c r="AA226" s="2">
        <f t="shared" si="257"/>
        <v>0</v>
      </c>
      <c r="AB226" s="2">
        <f t="shared" si="257"/>
        <v>11132732</v>
      </c>
      <c r="AC226" s="2">
        <f t="shared" si="257"/>
        <v>0</v>
      </c>
    </row>
    <row r="227" spans="1:29" ht="36.75" customHeight="1" x14ac:dyDescent="0.25">
      <c r="A227" s="291"/>
      <c r="B227" s="291" t="s">
        <v>87</v>
      </c>
      <c r="C227" s="291"/>
      <c r="D227" s="291"/>
      <c r="E227" s="173">
        <v>852</v>
      </c>
      <c r="F227" s="1" t="s">
        <v>36</v>
      </c>
      <c r="G227" s="1" t="s">
        <v>17</v>
      </c>
      <c r="H227" s="17" t="s">
        <v>115</v>
      </c>
      <c r="I227" s="1" t="s">
        <v>88</v>
      </c>
      <c r="J227" s="2">
        <f>11396000+99900</f>
        <v>11495900</v>
      </c>
      <c r="K227" s="2"/>
      <c r="L227" s="2">
        <f t="shared" si="226"/>
        <v>11495900</v>
      </c>
      <c r="M227" s="2"/>
      <c r="N227" s="2">
        <f t="shared" ref="N227:N239" si="258">L227+M227</f>
        <v>11495900</v>
      </c>
      <c r="O227" s="2"/>
      <c r="P227" s="2">
        <f>N227+O227</f>
        <v>11495900</v>
      </c>
      <c r="Q227" s="2">
        <f>1176182</f>
        <v>1176182</v>
      </c>
      <c r="R227" s="2"/>
      <c r="S227" s="2">
        <v>1176182</v>
      </c>
      <c r="T227" s="2"/>
      <c r="U227" s="2">
        <f>P227+Q227</f>
        <v>12672082</v>
      </c>
      <c r="V227" s="2">
        <v>-1539350</v>
      </c>
      <c r="W227" s="2"/>
      <c r="X227" s="2">
        <f>V227</f>
        <v>-1539350</v>
      </c>
      <c r="Y227" s="2"/>
      <c r="Z227" s="2">
        <f t="shared" ref="Z227" si="259">U227+V227</f>
        <v>11132732</v>
      </c>
      <c r="AA227" s="14"/>
      <c r="AB227" s="2">
        <f>Z227</f>
        <v>11132732</v>
      </c>
      <c r="AC227" s="14"/>
    </row>
    <row r="228" spans="1:29" s="12" customFormat="1" ht="25.5" hidden="1" customHeight="1" x14ac:dyDescent="0.25">
      <c r="A228" s="323" t="s">
        <v>635</v>
      </c>
      <c r="B228" s="323"/>
      <c r="C228" s="295"/>
      <c r="D228" s="295"/>
      <c r="E228" s="173">
        <v>852</v>
      </c>
      <c r="F228" s="1" t="s">
        <v>36</v>
      </c>
      <c r="G228" s="1" t="s">
        <v>17</v>
      </c>
      <c r="H228" s="1" t="s">
        <v>111</v>
      </c>
      <c r="I228" s="1"/>
      <c r="J228" s="2">
        <f t="shared" ref="J228:Q229" si="260">J229</f>
        <v>21495027</v>
      </c>
      <c r="K228" s="2">
        <f t="shared" si="260"/>
        <v>0</v>
      </c>
      <c r="L228" s="2">
        <f t="shared" si="260"/>
        <v>21495027</v>
      </c>
      <c r="M228" s="2">
        <f t="shared" si="260"/>
        <v>0</v>
      </c>
      <c r="N228" s="2">
        <f t="shared" si="260"/>
        <v>21495027</v>
      </c>
      <c r="O228" s="2">
        <f t="shared" si="260"/>
        <v>0</v>
      </c>
      <c r="P228" s="2">
        <f t="shared" si="260"/>
        <v>21495027</v>
      </c>
      <c r="Q228" s="2">
        <f t="shared" si="260"/>
        <v>0</v>
      </c>
      <c r="R228" s="2"/>
      <c r="S228" s="2"/>
      <c r="T228" s="2"/>
      <c r="U228" s="2">
        <f t="shared" ref="U228:AC229" si="261">U229</f>
        <v>21495027</v>
      </c>
      <c r="V228" s="2">
        <f t="shared" si="261"/>
        <v>0</v>
      </c>
      <c r="W228" s="2">
        <f t="shared" si="261"/>
        <v>0</v>
      </c>
      <c r="X228" s="2">
        <f t="shared" si="261"/>
        <v>0</v>
      </c>
      <c r="Y228" s="2">
        <f t="shared" si="261"/>
        <v>0</v>
      </c>
      <c r="Z228" s="2">
        <f t="shared" si="261"/>
        <v>21495027</v>
      </c>
      <c r="AA228" s="2">
        <f t="shared" si="261"/>
        <v>21495027</v>
      </c>
      <c r="AB228" s="2">
        <f t="shared" si="261"/>
        <v>0</v>
      </c>
      <c r="AC228" s="2">
        <f t="shared" si="261"/>
        <v>0</v>
      </c>
    </row>
    <row r="229" spans="1:29" s="12" customFormat="1" ht="24" hidden="1" customHeight="1" x14ac:dyDescent="0.25">
      <c r="A229" s="295"/>
      <c r="B229" s="291" t="s">
        <v>90</v>
      </c>
      <c r="C229" s="295"/>
      <c r="D229" s="295"/>
      <c r="E229" s="173">
        <v>852</v>
      </c>
      <c r="F229" s="1" t="s">
        <v>36</v>
      </c>
      <c r="G229" s="1" t="s">
        <v>17</v>
      </c>
      <c r="H229" s="1" t="s">
        <v>111</v>
      </c>
      <c r="I229" s="1" t="s">
        <v>86</v>
      </c>
      <c r="J229" s="2">
        <f t="shared" si="260"/>
        <v>21495027</v>
      </c>
      <c r="K229" s="2">
        <f t="shared" si="260"/>
        <v>0</v>
      </c>
      <c r="L229" s="2">
        <f t="shared" si="260"/>
        <v>21495027</v>
      </c>
      <c r="M229" s="2">
        <f t="shared" si="260"/>
        <v>0</v>
      </c>
      <c r="N229" s="2">
        <f t="shared" si="260"/>
        <v>21495027</v>
      </c>
      <c r="O229" s="2">
        <f t="shared" si="260"/>
        <v>0</v>
      </c>
      <c r="P229" s="2">
        <f t="shared" si="260"/>
        <v>21495027</v>
      </c>
      <c r="Q229" s="2">
        <f t="shared" si="260"/>
        <v>0</v>
      </c>
      <c r="R229" s="2"/>
      <c r="S229" s="2"/>
      <c r="T229" s="2"/>
      <c r="U229" s="2">
        <f t="shared" si="261"/>
        <v>21495027</v>
      </c>
      <c r="V229" s="2">
        <f t="shared" si="261"/>
        <v>0</v>
      </c>
      <c r="W229" s="2">
        <f t="shared" si="261"/>
        <v>0</v>
      </c>
      <c r="X229" s="2">
        <f t="shared" si="261"/>
        <v>0</v>
      </c>
      <c r="Y229" s="2">
        <f t="shared" si="261"/>
        <v>0</v>
      </c>
      <c r="Z229" s="2">
        <f t="shared" si="261"/>
        <v>21495027</v>
      </c>
      <c r="AA229" s="2">
        <f t="shared" si="261"/>
        <v>21495027</v>
      </c>
      <c r="AB229" s="2">
        <f t="shared" si="261"/>
        <v>0</v>
      </c>
      <c r="AC229" s="2">
        <f t="shared" si="261"/>
        <v>0</v>
      </c>
    </row>
    <row r="230" spans="1:29" s="12" customFormat="1" ht="36" hidden="1" x14ac:dyDescent="0.25">
      <c r="A230" s="295"/>
      <c r="B230" s="291" t="s">
        <v>87</v>
      </c>
      <c r="C230" s="295"/>
      <c r="D230" s="295"/>
      <c r="E230" s="173">
        <v>852</v>
      </c>
      <c r="F230" s="1" t="s">
        <v>36</v>
      </c>
      <c r="G230" s="1" t="s">
        <v>17</v>
      </c>
      <c r="H230" s="1" t="s">
        <v>111</v>
      </c>
      <c r="I230" s="1" t="s">
        <v>88</v>
      </c>
      <c r="J230" s="2">
        <f>20548915+946112</f>
        <v>21495027</v>
      </c>
      <c r="K230" s="2"/>
      <c r="L230" s="2">
        <f t="shared" si="226"/>
        <v>21495027</v>
      </c>
      <c r="M230" s="2"/>
      <c r="N230" s="2">
        <f t="shared" si="258"/>
        <v>21495027</v>
      </c>
      <c r="O230" s="2"/>
      <c r="P230" s="2">
        <f>N230+O230</f>
        <v>21495027</v>
      </c>
      <c r="Q230" s="2"/>
      <c r="R230" s="2"/>
      <c r="S230" s="2"/>
      <c r="T230" s="2"/>
      <c r="U230" s="2">
        <f>P230+Q230</f>
        <v>21495027</v>
      </c>
      <c r="V230" s="2"/>
      <c r="W230" s="2"/>
      <c r="X230" s="2"/>
      <c r="Y230" s="2"/>
      <c r="Z230" s="2">
        <f t="shared" ref="Z230" si="262">U230+V230</f>
        <v>21495027</v>
      </c>
      <c r="AA230" s="2">
        <f>Z230</f>
        <v>21495027</v>
      </c>
      <c r="AB230" s="305"/>
      <c r="AC230" s="305"/>
    </row>
    <row r="231" spans="1:29" s="12" customFormat="1" ht="37.5" customHeight="1" x14ac:dyDescent="0.25">
      <c r="A231" s="324" t="s">
        <v>112</v>
      </c>
      <c r="B231" s="324"/>
      <c r="C231" s="295"/>
      <c r="D231" s="295"/>
      <c r="E231" s="173">
        <v>852</v>
      </c>
      <c r="F231" s="1" t="s">
        <v>36</v>
      </c>
      <c r="G231" s="1" t="s">
        <v>17</v>
      </c>
      <c r="H231" s="1" t="s">
        <v>113</v>
      </c>
      <c r="I231" s="1"/>
      <c r="J231" s="2">
        <f t="shared" ref="J231:Q235" si="263">J232</f>
        <v>624000</v>
      </c>
      <c r="K231" s="2">
        <f t="shared" si="263"/>
        <v>0</v>
      </c>
      <c r="L231" s="2">
        <f t="shared" si="263"/>
        <v>624000</v>
      </c>
      <c r="M231" s="2">
        <f t="shared" si="263"/>
        <v>0</v>
      </c>
      <c r="N231" s="2">
        <f t="shared" si="263"/>
        <v>624000</v>
      </c>
      <c r="O231" s="2">
        <f t="shared" si="263"/>
        <v>0</v>
      </c>
      <c r="P231" s="2">
        <f t="shared" si="263"/>
        <v>624000</v>
      </c>
      <c r="Q231" s="2">
        <f t="shared" si="263"/>
        <v>0</v>
      </c>
      <c r="R231" s="2"/>
      <c r="S231" s="2"/>
      <c r="T231" s="2"/>
      <c r="U231" s="2">
        <f t="shared" ref="U231:AC235" si="264">U232</f>
        <v>624000</v>
      </c>
      <c r="V231" s="2">
        <f t="shared" si="264"/>
        <v>-18085</v>
      </c>
      <c r="W231" s="2">
        <f t="shared" si="264"/>
        <v>-18085</v>
      </c>
      <c r="X231" s="2">
        <f t="shared" si="264"/>
        <v>0</v>
      </c>
      <c r="Y231" s="2">
        <f t="shared" si="264"/>
        <v>0</v>
      </c>
      <c r="Z231" s="2">
        <f t="shared" si="264"/>
        <v>605915</v>
      </c>
      <c r="AA231" s="2">
        <f t="shared" si="264"/>
        <v>605915</v>
      </c>
      <c r="AB231" s="2">
        <f t="shared" si="264"/>
        <v>0</v>
      </c>
      <c r="AC231" s="2">
        <f t="shared" si="264"/>
        <v>0</v>
      </c>
    </row>
    <row r="232" spans="1:29" s="12" customFormat="1" ht="24" x14ac:dyDescent="0.25">
      <c r="A232" s="295"/>
      <c r="B232" s="291" t="s">
        <v>90</v>
      </c>
      <c r="C232" s="295"/>
      <c r="D232" s="295"/>
      <c r="E232" s="173">
        <v>852</v>
      </c>
      <c r="F232" s="1" t="s">
        <v>36</v>
      </c>
      <c r="G232" s="1" t="s">
        <v>17</v>
      </c>
      <c r="H232" s="1" t="s">
        <v>113</v>
      </c>
      <c r="I232" s="1" t="s">
        <v>86</v>
      </c>
      <c r="J232" s="2">
        <f t="shared" si="263"/>
        <v>624000</v>
      </c>
      <c r="K232" s="2">
        <f t="shared" si="263"/>
        <v>0</v>
      </c>
      <c r="L232" s="2">
        <f t="shared" si="263"/>
        <v>624000</v>
      </c>
      <c r="M232" s="2">
        <f t="shared" si="263"/>
        <v>0</v>
      </c>
      <c r="N232" s="2">
        <f t="shared" si="263"/>
        <v>624000</v>
      </c>
      <c r="O232" s="2">
        <f t="shared" si="263"/>
        <v>0</v>
      </c>
      <c r="P232" s="2">
        <f t="shared" si="263"/>
        <v>624000</v>
      </c>
      <c r="Q232" s="2">
        <f t="shared" si="263"/>
        <v>0</v>
      </c>
      <c r="R232" s="2"/>
      <c r="S232" s="2"/>
      <c r="T232" s="2"/>
      <c r="U232" s="2">
        <f t="shared" si="264"/>
        <v>624000</v>
      </c>
      <c r="V232" s="2">
        <f t="shared" si="264"/>
        <v>-18085</v>
      </c>
      <c r="W232" s="2">
        <f t="shared" si="264"/>
        <v>-18085</v>
      </c>
      <c r="X232" s="2">
        <f t="shared" si="264"/>
        <v>0</v>
      </c>
      <c r="Y232" s="2">
        <f t="shared" si="264"/>
        <v>0</v>
      </c>
      <c r="Z232" s="2">
        <f t="shared" si="264"/>
        <v>605915</v>
      </c>
      <c r="AA232" s="2">
        <f t="shared" si="264"/>
        <v>605915</v>
      </c>
      <c r="AB232" s="2">
        <f t="shared" si="264"/>
        <v>0</v>
      </c>
      <c r="AC232" s="2">
        <f t="shared" si="264"/>
        <v>0</v>
      </c>
    </row>
    <row r="233" spans="1:29" s="12" customFormat="1" ht="36" x14ac:dyDescent="0.25">
      <c r="A233" s="295"/>
      <c r="B233" s="291" t="s">
        <v>87</v>
      </c>
      <c r="C233" s="295"/>
      <c r="D233" s="295"/>
      <c r="E233" s="173">
        <v>852</v>
      </c>
      <c r="F233" s="1" t="s">
        <v>36</v>
      </c>
      <c r="G233" s="1" t="s">
        <v>17</v>
      </c>
      <c r="H233" s="1" t="s">
        <v>113</v>
      </c>
      <c r="I233" s="1" t="s">
        <v>88</v>
      </c>
      <c r="J233" s="2">
        <v>624000</v>
      </c>
      <c r="K233" s="2"/>
      <c r="L233" s="2">
        <f t="shared" si="226"/>
        <v>624000</v>
      </c>
      <c r="M233" s="2"/>
      <c r="N233" s="2">
        <f t="shared" si="258"/>
        <v>624000</v>
      </c>
      <c r="O233" s="2"/>
      <c r="P233" s="2">
        <f>N233+O233</f>
        <v>624000</v>
      </c>
      <c r="Q233" s="2"/>
      <c r="R233" s="2"/>
      <c r="S233" s="2"/>
      <c r="T233" s="2"/>
      <c r="U233" s="2">
        <f>P233+Q233</f>
        <v>624000</v>
      </c>
      <c r="V233" s="2">
        <v>-18085</v>
      </c>
      <c r="W233" s="2">
        <v>-18085</v>
      </c>
      <c r="X233" s="2"/>
      <c r="Y233" s="2"/>
      <c r="Z233" s="2">
        <f t="shared" ref="Z233:Z236" si="265">U233+V233</f>
        <v>605915</v>
      </c>
      <c r="AA233" s="2">
        <f>Z233</f>
        <v>605915</v>
      </c>
      <c r="AB233" s="305"/>
      <c r="AC233" s="305"/>
    </row>
    <row r="234" spans="1:29" s="12" customFormat="1" ht="15" customHeight="1" x14ac:dyDescent="0.25">
      <c r="A234" s="324" t="s">
        <v>116</v>
      </c>
      <c r="B234" s="324"/>
      <c r="C234" s="295"/>
      <c r="D234" s="295"/>
      <c r="E234" s="173">
        <v>852</v>
      </c>
      <c r="F234" s="1" t="s">
        <v>36</v>
      </c>
      <c r="G234" s="1" t="s">
        <v>17</v>
      </c>
      <c r="H234" s="1" t="s">
        <v>117</v>
      </c>
      <c r="I234" s="1"/>
      <c r="J234" s="2"/>
      <c r="K234" s="2"/>
      <c r="L234" s="2"/>
      <c r="M234" s="2"/>
      <c r="N234" s="2"/>
      <c r="O234" s="2"/>
      <c r="P234" s="2">
        <f t="shared" si="263"/>
        <v>0</v>
      </c>
      <c r="Q234" s="2">
        <f t="shared" si="263"/>
        <v>37591</v>
      </c>
      <c r="R234" s="2"/>
      <c r="S234" s="2"/>
      <c r="T234" s="2"/>
      <c r="U234" s="2">
        <f>P234+Q234</f>
        <v>37591</v>
      </c>
      <c r="V234" s="2">
        <f t="shared" si="264"/>
        <v>34540</v>
      </c>
      <c r="W234" s="2">
        <f t="shared" si="264"/>
        <v>0</v>
      </c>
      <c r="X234" s="2">
        <f t="shared" si="264"/>
        <v>34540</v>
      </c>
      <c r="Y234" s="2">
        <f t="shared" si="264"/>
        <v>0</v>
      </c>
      <c r="Z234" s="2">
        <f t="shared" si="264"/>
        <v>72131</v>
      </c>
      <c r="AA234" s="2">
        <f t="shared" si="264"/>
        <v>0</v>
      </c>
      <c r="AB234" s="2">
        <f t="shared" si="264"/>
        <v>72131</v>
      </c>
      <c r="AC234" s="2">
        <f t="shared" si="264"/>
        <v>0</v>
      </c>
    </row>
    <row r="235" spans="1:29" s="12" customFormat="1" ht="24" x14ac:dyDescent="0.25">
      <c r="A235" s="291"/>
      <c r="B235" s="170" t="s">
        <v>90</v>
      </c>
      <c r="C235" s="295"/>
      <c r="D235" s="295"/>
      <c r="E235" s="173">
        <v>852</v>
      </c>
      <c r="F235" s="1" t="s">
        <v>36</v>
      </c>
      <c r="G235" s="1" t="s">
        <v>17</v>
      </c>
      <c r="H235" s="1" t="s">
        <v>117</v>
      </c>
      <c r="I235" s="1" t="s">
        <v>86</v>
      </c>
      <c r="J235" s="2"/>
      <c r="K235" s="2"/>
      <c r="L235" s="2"/>
      <c r="M235" s="2"/>
      <c r="N235" s="2"/>
      <c r="O235" s="2"/>
      <c r="P235" s="2">
        <f t="shared" si="263"/>
        <v>0</v>
      </c>
      <c r="Q235" s="2">
        <f t="shared" si="263"/>
        <v>37591</v>
      </c>
      <c r="R235" s="2"/>
      <c r="S235" s="2"/>
      <c r="T235" s="2"/>
      <c r="U235" s="2">
        <f>P235+Q235</f>
        <v>37591</v>
      </c>
      <c r="V235" s="2">
        <f t="shared" si="264"/>
        <v>34540</v>
      </c>
      <c r="W235" s="2">
        <f t="shared" si="264"/>
        <v>0</v>
      </c>
      <c r="X235" s="2">
        <f t="shared" si="264"/>
        <v>34540</v>
      </c>
      <c r="Y235" s="2">
        <f t="shared" si="264"/>
        <v>0</v>
      </c>
      <c r="Z235" s="2">
        <f t="shared" si="264"/>
        <v>72131</v>
      </c>
      <c r="AA235" s="2">
        <f t="shared" si="264"/>
        <v>0</v>
      </c>
      <c r="AB235" s="2">
        <f t="shared" si="264"/>
        <v>72131</v>
      </c>
      <c r="AC235" s="2">
        <f t="shared" si="264"/>
        <v>0</v>
      </c>
    </row>
    <row r="236" spans="1:29" s="12" customFormat="1" x14ac:dyDescent="0.25">
      <c r="A236" s="291"/>
      <c r="B236" s="170" t="s">
        <v>118</v>
      </c>
      <c r="C236" s="295"/>
      <c r="D236" s="295"/>
      <c r="E236" s="173">
        <v>852</v>
      </c>
      <c r="F236" s="1" t="s">
        <v>36</v>
      </c>
      <c r="G236" s="1" t="s">
        <v>17</v>
      </c>
      <c r="H236" s="1" t="s">
        <v>117</v>
      </c>
      <c r="I236" s="1" t="s">
        <v>119</v>
      </c>
      <c r="J236" s="2"/>
      <c r="K236" s="2"/>
      <c r="L236" s="2"/>
      <c r="M236" s="2"/>
      <c r="N236" s="2"/>
      <c r="O236" s="2"/>
      <c r="P236" s="2">
        <f>N236+O236</f>
        <v>0</v>
      </c>
      <c r="Q236" s="2">
        <v>37591</v>
      </c>
      <c r="R236" s="2"/>
      <c r="S236" s="2">
        <v>37591</v>
      </c>
      <c r="T236" s="2"/>
      <c r="U236" s="2">
        <f>P236+Q236</f>
        <v>37591</v>
      </c>
      <c r="V236" s="2">
        <v>34540</v>
      </c>
      <c r="W236" s="2"/>
      <c r="X236" s="2">
        <v>34540</v>
      </c>
      <c r="Y236" s="2"/>
      <c r="Z236" s="2">
        <f t="shared" si="265"/>
        <v>72131</v>
      </c>
      <c r="AA236" s="305"/>
      <c r="AB236" s="2">
        <f>Z236</f>
        <v>72131</v>
      </c>
      <c r="AC236" s="305"/>
    </row>
    <row r="237" spans="1:29" ht="26.25" hidden="1" customHeight="1" x14ac:dyDescent="0.25">
      <c r="A237" s="324" t="s">
        <v>120</v>
      </c>
      <c r="B237" s="324"/>
      <c r="C237" s="291"/>
      <c r="D237" s="291"/>
      <c r="E237" s="173">
        <v>852</v>
      </c>
      <c r="F237" s="17" t="s">
        <v>36</v>
      </c>
      <c r="G237" s="1" t="s">
        <v>17</v>
      </c>
      <c r="H237" s="17" t="s">
        <v>121</v>
      </c>
      <c r="I237" s="1"/>
      <c r="J237" s="2">
        <f t="shared" ref="J237:Q238" si="266">J238</f>
        <v>361000</v>
      </c>
      <c r="K237" s="2">
        <f t="shared" si="266"/>
        <v>0</v>
      </c>
      <c r="L237" s="2">
        <f t="shared" si="266"/>
        <v>361000</v>
      </c>
      <c r="M237" s="2">
        <f t="shared" si="266"/>
        <v>0</v>
      </c>
      <c r="N237" s="2">
        <f t="shared" si="266"/>
        <v>361000</v>
      </c>
      <c r="O237" s="2">
        <f t="shared" si="266"/>
        <v>0</v>
      </c>
      <c r="P237" s="2">
        <f t="shared" si="266"/>
        <v>361000</v>
      </c>
      <c r="Q237" s="2">
        <f t="shared" si="266"/>
        <v>-102591</v>
      </c>
      <c r="R237" s="2"/>
      <c r="S237" s="2"/>
      <c r="T237" s="2"/>
      <c r="U237" s="2">
        <f t="shared" ref="U237:AC238" si="267">U238</f>
        <v>258409</v>
      </c>
      <c r="V237" s="2">
        <f t="shared" si="267"/>
        <v>0</v>
      </c>
      <c r="W237" s="2">
        <f t="shared" si="267"/>
        <v>0</v>
      </c>
      <c r="X237" s="2">
        <f t="shared" si="267"/>
        <v>0</v>
      </c>
      <c r="Y237" s="2">
        <f t="shared" si="267"/>
        <v>0</v>
      </c>
      <c r="Z237" s="2">
        <f t="shared" si="267"/>
        <v>258409</v>
      </c>
      <c r="AA237" s="2">
        <f t="shared" si="267"/>
        <v>0</v>
      </c>
      <c r="AB237" s="2">
        <f t="shared" si="267"/>
        <v>258409</v>
      </c>
      <c r="AC237" s="2">
        <f t="shared" si="267"/>
        <v>0</v>
      </c>
    </row>
    <row r="238" spans="1:29" ht="24" hidden="1" x14ac:dyDescent="0.25">
      <c r="A238" s="291"/>
      <c r="B238" s="170" t="s">
        <v>90</v>
      </c>
      <c r="C238" s="291"/>
      <c r="D238" s="291"/>
      <c r="E238" s="173">
        <v>852</v>
      </c>
      <c r="F238" s="1" t="s">
        <v>36</v>
      </c>
      <c r="G238" s="1" t="s">
        <v>17</v>
      </c>
      <c r="H238" s="17" t="s">
        <v>121</v>
      </c>
      <c r="I238" s="1" t="s">
        <v>86</v>
      </c>
      <c r="J238" s="2">
        <f t="shared" si="266"/>
        <v>361000</v>
      </c>
      <c r="K238" s="2">
        <f t="shared" si="266"/>
        <v>0</v>
      </c>
      <c r="L238" s="2">
        <f t="shared" si="266"/>
        <v>361000</v>
      </c>
      <c r="M238" s="2">
        <f t="shared" si="266"/>
        <v>0</v>
      </c>
      <c r="N238" s="2">
        <f t="shared" si="266"/>
        <v>361000</v>
      </c>
      <c r="O238" s="2">
        <f t="shared" si="266"/>
        <v>0</v>
      </c>
      <c r="P238" s="2">
        <f t="shared" si="266"/>
        <v>361000</v>
      </c>
      <c r="Q238" s="2">
        <f t="shared" si="266"/>
        <v>-102591</v>
      </c>
      <c r="R238" s="2"/>
      <c r="S238" s="2"/>
      <c r="T238" s="2"/>
      <c r="U238" s="2">
        <f t="shared" si="267"/>
        <v>258409</v>
      </c>
      <c r="V238" s="2">
        <f t="shared" si="267"/>
        <v>0</v>
      </c>
      <c r="W238" s="2">
        <f t="shared" si="267"/>
        <v>0</v>
      </c>
      <c r="X238" s="2">
        <f t="shared" si="267"/>
        <v>0</v>
      </c>
      <c r="Y238" s="2">
        <f t="shared" si="267"/>
        <v>0</v>
      </c>
      <c r="Z238" s="2">
        <f t="shared" si="267"/>
        <v>258409</v>
      </c>
      <c r="AA238" s="2">
        <f t="shared" si="267"/>
        <v>0</v>
      </c>
      <c r="AB238" s="2">
        <f t="shared" si="267"/>
        <v>258409</v>
      </c>
      <c r="AC238" s="2">
        <f t="shared" si="267"/>
        <v>0</v>
      </c>
    </row>
    <row r="239" spans="1:29" hidden="1" x14ac:dyDescent="0.25">
      <c r="A239" s="291"/>
      <c r="B239" s="170" t="s">
        <v>118</v>
      </c>
      <c r="C239" s="291"/>
      <c r="D239" s="291"/>
      <c r="E239" s="173">
        <v>852</v>
      </c>
      <c r="F239" s="1" t="s">
        <v>36</v>
      </c>
      <c r="G239" s="1" t="s">
        <v>17</v>
      </c>
      <c r="H239" s="17" t="s">
        <v>121</v>
      </c>
      <c r="I239" s="1" t="s">
        <v>119</v>
      </c>
      <c r="J239" s="2">
        <v>361000</v>
      </c>
      <c r="K239" s="2"/>
      <c r="L239" s="2">
        <f t="shared" si="226"/>
        <v>361000</v>
      </c>
      <c r="M239" s="2"/>
      <c r="N239" s="2">
        <f t="shared" si="258"/>
        <v>361000</v>
      </c>
      <c r="O239" s="2"/>
      <c r="P239" s="2">
        <f>N239+O239</f>
        <v>361000</v>
      </c>
      <c r="Q239" s="2">
        <v>-102591</v>
      </c>
      <c r="R239" s="2"/>
      <c r="S239" s="2">
        <v>-102591</v>
      </c>
      <c r="T239" s="2"/>
      <c r="U239" s="2">
        <f>P239+Q239</f>
        <v>258409</v>
      </c>
      <c r="V239" s="2"/>
      <c r="W239" s="2"/>
      <c r="X239" s="2"/>
      <c r="Y239" s="2"/>
      <c r="Z239" s="2">
        <f t="shared" ref="Z239" si="268">U239+V239</f>
        <v>258409</v>
      </c>
      <c r="AA239" s="14"/>
      <c r="AB239" s="2">
        <f>Z239</f>
        <v>258409</v>
      </c>
      <c r="AC239" s="14"/>
    </row>
    <row r="240" spans="1:29" s="12" customFormat="1" x14ac:dyDescent="0.25">
      <c r="A240" s="328" t="s">
        <v>81</v>
      </c>
      <c r="B240" s="328"/>
      <c r="C240" s="295"/>
      <c r="D240" s="295"/>
      <c r="E240" s="173">
        <v>852</v>
      </c>
      <c r="F240" s="10" t="s">
        <v>36</v>
      </c>
      <c r="G240" s="10" t="s">
        <v>72</v>
      </c>
      <c r="H240" s="10"/>
      <c r="I240" s="10"/>
      <c r="J240" s="11">
        <f>J241+J244+J250+J253+J256+J262+J265</f>
        <v>93548636</v>
      </c>
      <c r="K240" s="11">
        <f t="shared" ref="K240:M240" si="269">K241+K244+K250+K253+K256+K262+K265</f>
        <v>325480</v>
      </c>
      <c r="L240" s="11">
        <f t="shared" si="269"/>
        <v>93874116</v>
      </c>
      <c r="M240" s="11">
        <f t="shared" si="269"/>
        <v>808050</v>
      </c>
      <c r="N240" s="11">
        <f>N241+N244+N250+N253+N256+N259+N262+N265</f>
        <v>94682166</v>
      </c>
      <c r="O240" s="11">
        <f t="shared" ref="O240:Q240" si="270">O241+O244+O250+O253+O256+O259+O262+O265</f>
        <v>247500</v>
      </c>
      <c r="P240" s="11">
        <f t="shared" si="270"/>
        <v>94929666</v>
      </c>
      <c r="Q240" s="11">
        <f t="shared" si="270"/>
        <v>24000</v>
      </c>
      <c r="R240" s="11">
        <f>SUM(R241:R267)</f>
        <v>0</v>
      </c>
      <c r="S240" s="11">
        <f t="shared" ref="S240:T240" si="271">SUM(S241:S267)</f>
        <v>24000</v>
      </c>
      <c r="T240" s="11">
        <f t="shared" si="271"/>
        <v>0</v>
      </c>
      <c r="U240" s="11">
        <f>U241+U244+U247+U250+U253+U256+U259+U262+U265+U268+U271</f>
        <v>94953666</v>
      </c>
      <c r="V240" s="11">
        <f t="shared" ref="V240:AC240" si="272">V241+V244+V247+V250+V253+V256+V259+V262+V265+V268+V271</f>
        <v>394507.37000000011</v>
      </c>
      <c r="W240" s="11">
        <f t="shared" si="272"/>
        <v>1122270.3700000001</v>
      </c>
      <c r="X240" s="11">
        <f t="shared" si="272"/>
        <v>-727763</v>
      </c>
      <c r="Y240" s="11">
        <f t="shared" si="272"/>
        <v>0</v>
      </c>
      <c r="Z240" s="11">
        <f t="shared" si="272"/>
        <v>95348173.370000005</v>
      </c>
      <c r="AA240" s="11">
        <f t="shared" si="272"/>
        <v>71622356.370000005</v>
      </c>
      <c r="AB240" s="11">
        <f t="shared" si="272"/>
        <v>23725817</v>
      </c>
      <c r="AC240" s="11">
        <f t="shared" si="272"/>
        <v>0</v>
      </c>
    </row>
    <row r="241" spans="1:29" x14ac:dyDescent="0.25">
      <c r="A241" s="324" t="s">
        <v>122</v>
      </c>
      <c r="B241" s="324"/>
      <c r="C241" s="291"/>
      <c r="D241" s="291"/>
      <c r="E241" s="173">
        <v>852</v>
      </c>
      <c r="F241" s="1" t="s">
        <v>36</v>
      </c>
      <c r="G241" s="1" t="s">
        <v>72</v>
      </c>
      <c r="H241" s="1" t="s">
        <v>123</v>
      </c>
      <c r="I241" s="1"/>
      <c r="J241" s="2">
        <f t="shared" ref="J241:Q242" si="273">J242</f>
        <v>13985000</v>
      </c>
      <c r="K241" s="2">
        <f t="shared" si="273"/>
        <v>0</v>
      </c>
      <c r="L241" s="2">
        <f t="shared" si="273"/>
        <v>13985000</v>
      </c>
      <c r="M241" s="2">
        <f t="shared" si="273"/>
        <v>-49248</v>
      </c>
      <c r="N241" s="2">
        <f t="shared" si="273"/>
        <v>13935752</v>
      </c>
      <c r="O241" s="2">
        <f t="shared" si="273"/>
        <v>0</v>
      </c>
      <c r="P241" s="2">
        <f t="shared" si="273"/>
        <v>13935752</v>
      </c>
      <c r="Q241" s="2">
        <f t="shared" si="273"/>
        <v>0</v>
      </c>
      <c r="R241" s="2"/>
      <c r="S241" s="2"/>
      <c r="T241" s="2"/>
      <c r="U241" s="2">
        <f t="shared" ref="U241:AC242" si="274">U242</f>
        <v>13935752</v>
      </c>
      <c r="V241" s="2">
        <f t="shared" si="274"/>
        <v>-752394</v>
      </c>
      <c r="W241" s="2">
        <f t="shared" si="274"/>
        <v>0</v>
      </c>
      <c r="X241" s="2">
        <f t="shared" si="274"/>
        <v>-752394</v>
      </c>
      <c r="Y241" s="2">
        <f t="shared" si="274"/>
        <v>0</v>
      </c>
      <c r="Z241" s="2">
        <f t="shared" si="274"/>
        <v>13183358</v>
      </c>
      <c r="AA241" s="2">
        <f t="shared" si="274"/>
        <v>0</v>
      </c>
      <c r="AB241" s="2">
        <f t="shared" si="274"/>
        <v>13183358</v>
      </c>
      <c r="AC241" s="2">
        <f t="shared" si="274"/>
        <v>0</v>
      </c>
    </row>
    <row r="242" spans="1:29" ht="24.75" customHeight="1" x14ac:dyDescent="0.25">
      <c r="A242" s="291"/>
      <c r="B242" s="291" t="s">
        <v>90</v>
      </c>
      <c r="C242" s="291"/>
      <c r="D242" s="291"/>
      <c r="E242" s="173">
        <v>852</v>
      </c>
      <c r="F242" s="1" t="s">
        <v>36</v>
      </c>
      <c r="G242" s="17" t="s">
        <v>72</v>
      </c>
      <c r="H242" s="1" t="s">
        <v>123</v>
      </c>
      <c r="I242" s="1" t="s">
        <v>86</v>
      </c>
      <c r="J242" s="2">
        <f t="shared" si="273"/>
        <v>13985000</v>
      </c>
      <c r="K242" s="2">
        <f t="shared" si="273"/>
        <v>0</v>
      </c>
      <c r="L242" s="2">
        <f t="shared" si="273"/>
        <v>13985000</v>
      </c>
      <c r="M242" s="2">
        <f t="shared" si="273"/>
        <v>-49248</v>
      </c>
      <c r="N242" s="2">
        <f t="shared" si="273"/>
        <v>13935752</v>
      </c>
      <c r="O242" s="2">
        <f t="shared" si="273"/>
        <v>0</v>
      </c>
      <c r="P242" s="2">
        <f t="shared" si="273"/>
        <v>13935752</v>
      </c>
      <c r="Q242" s="2">
        <f t="shared" si="273"/>
        <v>0</v>
      </c>
      <c r="R242" s="2"/>
      <c r="S242" s="2"/>
      <c r="T242" s="2"/>
      <c r="U242" s="2">
        <f t="shared" si="274"/>
        <v>13935752</v>
      </c>
      <c r="V242" s="2">
        <f t="shared" si="274"/>
        <v>-752394</v>
      </c>
      <c r="W242" s="2">
        <f t="shared" si="274"/>
        <v>0</v>
      </c>
      <c r="X242" s="2">
        <f t="shared" si="274"/>
        <v>-752394</v>
      </c>
      <c r="Y242" s="2">
        <f t="shared" si="274"/>
        <v>0</v>
      </c>
      <c r="Z242" s="2">
        <f t="shared" si="274"/>
        <v>13183358</v>
      </c>
      <c r="AA242" s="2">
        <f t="shared" si="274"/>
        <v>0</v>
      </c>
      <c r="AB242" s="2">
        <f t="shared" si="274"/>
        <v>13183358</v>
      </c>
      <c r="AC242" s="2">
        <f t="shared" si="274"/>
        <v>0</v>
      </c>
    </row>
    <row r="243" spans="1:29" ht="36" x14ac:dyDescent="0.25">
      <c r="A243" s="291"/>
      <c r="B243" s="291" t="s">
        <v>87</v>
      </c>
      <c r="C243" s="291"/>
      <c r="D243" s="291"/>
      <c r="E243" s="173">
        <v>852</v>
      </c>
      <c r="F243" s="1" t="s">
        <v>36</v>
      </c>
      <c r="G243" s="17" t="s">
        <v>72</v>
      </c>
      <c r="H243" s="1" t="s">
        <v>123</v>
      </c>
      <c r="I243" s="1" t="s">
        <v>88</v>
      </c>
      <c r="J243" s="2">
        <v>13985000</v>
      </c>
      <c r="K243" s="2"/>
      <c r="L243" s="2">
        <f t="shared" si="226"/>
        <v>13985000</v>
      </c>
      <c r="M243" s="2">
        <v>-49248</v>
      </c>
      <c r="N243" s="2">
        <f t="shared" ref="N243:N252" si="275">L243+M243</f>
        <v>13935752</v>
      </c>
      <c r="O243" s="2"/>
      <c r="P243" s="2">
        <f>N243+O243</f>
        <v>13935752</v>
      </c>
      <c r="Q243" s="2"/>
      <c r="R243" s="2"/>
      <c r="S243" s="2"/>
      <c r="T243" s="2"/>
      <c r="U243" s="2">
        <f>P243+Q243</f>
        <v>13935752</v>
      </c>
      <c r="V243" s="2">
        <v>-752394</v>
      </c>
      <c r="W243" s="2"/>
      <c r="X243" s="2">
        <f>V243</f>
        <v>-752394</v>
      </c>
      <c r="Y243" s="2"/>
      <c r="Z243" s="2">
        <f t="shared" ref="Z243" si="276">U243+V243</f>
        <v>13183358</v>
      </c>
      <c r="AA243" s="14"/>
      <c r="AB243" s="2">
        <f>Z243</f>
        <v>13183358</v>
      </c>
      <c r="AC243" s="14"/>
    </row>
    <row r="244" spans="1:29" x14ac:dyDescent="0.25">
      <c r="A244" s="324" t="s">
        <v>124</v>
      </c>
      <c r="B244" s="324"/>
      <c r="C244" s="291"/>
      <c r="D244" s="291"/>
      <c r="E244" s="173">
        <v>852</v>
      </c>
      <c r="F244" s="17" t="s">
        <v>36</v>
      </c>
      <c r="G244" s="17" t="s">
        <v>72</v>
      </c>
      <c r="H244" s="17" t="s">
        <v>125</v>
      </c>
      <c r="I244" s="1"/>
      <c r="J244" s="2">
        <f t="shared" ref="J244:Q245" si="277">J245</f>
        <v>8331600</v>
      </c>
      <c r="K244" s="2">
        <f t="shared" si="277"/>
        <v>0</v>
      </c>
      <c r="L244" s="2">
        <f t="shared" si="277"/>
        <v>8331600</v>
      </c>
      <c r="M244" s="2">
        <f t="shared" si="277"/>
        <v>0</v>
      </c>
      <c r="N244" s="2">
        <f t="shared" si="277"/>
        <v>8331600</v>
      </c>
      <c r="O244" s="2">
        <f t="shared" si="277"/>
        <v>0</v>
      </c>
      <c r="P244" s="2">
        <f t="shared" si="277"/>
        <v>8331600</v>
      </c>
      <c r="Q244" s="2">
        <f t="shared" si="277"/>
        <v>-329104</v>
      </c>
      <c r="R244" s="2"/>
      <c r="S244" s="2"/>
      <c r="T244" s="2"/>
      <c r="U244" s="2">
        <f t="shared" ref="U244:AC245" si="278">U245</f>
        <v>8002496</v>
      </c>
      <c r="V244" s="2">
        <f t="shared" si="278"/>
        <v>-371000</v>
      </c>
      <c r="W244" s="2">
        <f t="shared" si="278"/>
        <v>0</v>
      </c>
      <c r="X244" s="2">
        <f t="shared" si="278"/>
        <v>-371000</v>
      </c>
      <c r="Y244" s="2">
        <f t="shared" si="278"/>
        <v>0</v>
      </c>
      <c r="Z244" s="2">
        <f t="shared" si="278"/>
        <v>7631496</v>
      </c>
      <c r="AA244" s="2">
        <f t="shared" si="278"/>
        <v>0</v>
      </c>
      <c r="AB244" s="2">
        <f t="shared" si="278"/>
        <v>7631496</v>
      </c>
      <c r="AC244" s="2">
        <f t="shared" si="278"/>
        <v>0</v>
      </c>
    </row>
    <row r="245" spans="1:29" ht="22.5" customHeight="1" x14ac:dyDescent="0.25">
      <c r="A245" s="291"/>
      <c r="B245" s="291" t="s">
        <v>90</v>
      </c>
      <c r="C245" s="291"/>
      <c r="D245" s="291"/>
      <c r="E245" s="173">
        <v>852</v>
      </c>
      <c r="F245" s="1" t="s">
        <v>36</v>
      </c>
      <c r="G245" s="17" t="s">
        <v>72</v>
      </c>
      <c r="H245" s="17" t="s">
        <v>125</v>
      </c>
      <c r="I245" s="1" t="s">
        <v>86</v>
      </c>
      <c r="J245" s="2">
        <f t="shared" si="277"/>
        <v>8331600</v>
      </c>
      <c r="K245" s="2">
        <f t="shared" si="277"/>
        <v>0</v>
      </c>
      <c r="L245" s="2">
        <f t="shared" si="277"/>
        <v>8331600</v>
      </c>
      <c r="M245" s="2">
        <f t="shared" si="277"/>
        <v>0</v>
      </c>
      <c r="N245" s="2">
        <f t="shared" si="277"/>
        <v>8331600</v>
      </c>
      <c r="O245" s="2">
        <f t="shared" si="277"/>
        <v>0</v>
      </c>
      <c r="P245" s="2">
        <f t="shared" si="277"/>
        <v>8331600</v>
      </c>
      <c r="Q245" s="2">
        <f t="shared" si="277"/>
        <v>-329104</v>
      </c>
      <c r="R245" s="2"/>
      <c r="S245" s="2"/>
      <c r="T245" s="2"/>
      <c r="U245" s="2">
        <f t="shared" si="278"/>
        <v>8002496</v>
      </c>
      <c r="V245" s="2">
        <f t="shared" si="278"/>
        <v>-371000</v>
      </c>
      <c r="W245" s="2">
        <f t="shared" si="278"/>
        <v>0</v>
      </c>
      <c r="X245" s="2">
        <f t="shared" si="278"/>
        <v>-371000</v>
      </c>
      <c r="Y245" s="2">
        <f t="shared" si="278"/>
        <v>0</v>
      </c>
      <c r="Z245" s="2">
        <f t="shared" si="278"/>
        <v>7631496</v>
      </c>
      <c r="AA245" s="2">
        <f t="shared" si="278"/>
        <v>0</v>
      </c>
      <c r="AB245" s="2">
        <f t="shared" si="278"/>
        <v>7631496</v>
      </c>
      <c r="AC245" s="2">
        <f t="shared" si="278"/>
        <v>0</v>
      </c>
    </row>
    <row r="246" spans="1:29" ht="35.25" customHeight="1" x14ac:dyDescent="0.25">
      <c r="A246" s="291"/>
      <c r="B246" s="291" t="s">
        <v>87</v>
      </c>
      <c r="C246" s="291"/>
      <c r="D246" s="291"/>
      <c r="E246" s="173">
        <v>852</v>
      </c>
      <c r="F246" s="1" t="s">
        <v>36</v>
      </c>
      <c r="G246" s="17" t="s">
        <v>72</v>
      </c>
      <c r="H246" s="17" t="s">
        <v>125</v>
      </c>
      <c r="I246" s="1" t="s">
        <v>88</v>
      </c>
      <c r="J246" s="2">
        <v>8331600</v>
      </c>
      <c r="K246" s="2"/>
      <c r="L246" s="2">
        <f t="shared" si="226"/>
        <v>8331600</v>
      </c>
      <c r="M246" s="2"/>
      <c r="N246" s="2">
        <f t="shared" si="275"/>
        <v>8331600</v>
      </c>
      <c r="O246" s="2"/>
      <c r="P246" s="2">
        <f>N246+O246</f>
        <v>8331600</v>
      </c>
      <c r="Q246" s="2">
        <f>-280124-48980</f>
        <v>-329104</v>
      </c>
      <c r="R246" s="2"/>
      <c r="S246" s="2">
        <v>-329104</v>
      </c>
      <c r="T246" s="2"/>
      <c r="U246" s="2">
        <f>P246+Q246</f>
        <v>8002496</v>
      </c>
      <c r="V246" s="2">
        <v>-371000</v>
      </c>
      <c r="W246" s="2"/>
      <c r="X246" s="2">
        <v>-371000</v>
      </c>
      <c r="Y246" s="2"/>
      <c r="Z246" s="2">
        <f t="shared" ref="Z246" si="279">U246+V246</f>
        <v>7631496</v>
      </c>
      <c r="AA246" s="14"/>
      <c r="AB246" s="2">
        <f>Z246</f>
        <v>7631496</v>
      </c>
      <c r="AC246" s="14"/>
    </row>
    <row r="247" spans="1:29" ht="23.25" customHeight="1" x14ac:dyDescent="0.25">
      <c r="A247" s="330" t="s">
        <v>744</v>
      </c>
      <c r="B247" s="331"/>
      <c r="C247" s="291"/>
      <c r="D247" s="291"/>
      <c r="E247" s="173">
        <v>852</v>
      </c>
      <c r="F247" s="1" t="s">
        <v>36</v>
      </c>
      <c r="G247" s="17" t="s">
        <v>72</v>
      </c>
      <c r="H247" s="17" t="s">
        <v>745</v>
      </c>
      <c r="I247" s="1"/>
      <c r="J247" s="2"/>
      <c r="K247" s="2"/>
      <c r="L247" s="2"/>
      <c r="M247" s="2"/>
      <c r="N247" s="2"/>
      <c r="O247" s="2"/>
      <c r="P247" s="2"/>
      <c r="Q247" s="2"/>
      <c r="R247" s="2"/>
      <c r="S247" s="2"/>
      <c r="T247" s="2"/>
      <c r="U247" s="2">
        <f t="shared" ref="U247:AC248" si="280">U248</f>
        <v>0</v>
      </c>
      <c r="V247" s="2">
        <f t="shared" si="280"/>
        <v>34290</v>
      </c>
      <c r="W247" s="2">
        <f t="shared" si="280"/>
        <v>34290</v>
      </c>
      <c r="X247" s="2">
        <f t="shared" si="280"/>
        <v>0</v>
      </c>
      <c r="Y247" s="2">
        <f t="shared" si="280"/>
        <v>0</v>
      </c>
      <c r="Z247" s="2">
        <f t="shared" si="280"/>
        <v>34290</v>
      </c>
      <c r="AA247" s="2">
        <f t="shared" si="280"/>
        <v>34290</v>
      </c>
      <c r="AB247" s="2">
        <f t="shared" si="280"/>
        <v>0</v>
      </c>
      <c r="AC247" s="2">
        <f t="shared" si="280"/>
        <v>0</v>
      </c>
    </row>
    <row r="248" spans="1:29" ht="25.5" customHeight="1" x14ac:dyDescent="0.25">
      <c r="A248" s="291"/>
      <c r="B248" s="291" t="s">
        <v>90</v>
      </c>
      <c r="C248" s="291"/>
      <c r="D248" s="291"/>
      <c r="E248" s="173">
        <v>852</v>
      </c>
      <c r="F248" s="1" t="s">
        <v>36</v>
      </c>
      <c r="G248" s="17" t="s">
        <v>72</v>
      </c>
      <c r="H248" s="17" t="s">
        <v>745</v>
      </c>
      <c r="I248" s="1" t="s">
        <v>86</v>
      </c>
      <c r="J248" s="2"/>
      <c r="K248" s="2"/>
      <c r="L248" s="2"/>
      <c r="M248" s="2"/>
      <c r="N248" s="2"/>
      <c r="O248" s="2"/>
      <c r="P248" s="2"/>
      <c r="Q248" s="2"/>
      <c r="R248" s="2"/>
      <c r="S248" s="2"/>
      <c r="T248" s="2"/>
      <c r="U248" s="2">
        <f t="shared" si="280"/>
        <v>0</v>
      </c>
      <c r="V248" s="2">
        <f t="shared" si="280"/>
        <v>34290</v>
      </c>
      <c r="W248" s="2">
        <f t="shared" si="280"/>
        <v>34290</v>
      </c>
      <c r="X248" s="2">
        <f t="shared" si="280"/>
        <v>0</v>
      </c>
      <c r="Y248" s="2">
        <f t="shared" si="280"/>
        <v>0</v>
      </c>
      <c r="Z248" s="2">
        <f t="shared" si="280"/>
        <v>34290</v>
      </c>
      <c r="AA248" s="2">
        <f t="shared" si="280"/>
        <v>34290</v>
      </c>
      <c r="AB248" s="2">
        <f t="shared" si="280"/>
        <v>0</v>
      </c>
      <c r="AC248" s="2">
        <f t="shared" si="280"/>
        <v>0</v>
      </c>
    </row>
    <row r="249" spans="1:29" ht="14.25" customHeight="1" x14ac:dyDescent="0.25">
      <c r="A249" s="291"/>
      <c r="B249" s="303" t="s">
        <v>118</v>
      </c>
      <c r="C249" s="291"/>
      <c r="D249" s="291"/>
      <c r="E249" s="173">
        <v>852</v>
      </c>
      <c r="F249" s="1" t="s">
        <v>36</v>
      </c>
      <c r="G249" s="17" t="s">
        <v>72</v>
      </c>
      <c r="H249" s="17" t="s">
        <v>745</v>
      </c>
      <c r="I249" s="1" t="s">
        <v>119</v>
      </c>
      <c r="J249" s="2"/>
      <c r="K249" s="2"/>
      <c r="L249" s="2"/>
      <c r="M249" s="2"/>
      <c r="N249" s="2"/>
      <c r="O249" s="2"/>
      <c r="P249" s="2"/>
      <c r="Q249" s="2"/>
      <c r="R249" s="2"/>
      <c r="S249" s="2"/>
      <c r="T249" s="2"/>
      <c r="U249" s="2"/>
      <c r="V249" s="2">
        <v>34290</v>
      </c>
      <c r="W249" s="2">
        <v>34290</v>
      </c>
      <c r="X249" s="2"/>
      <c r="Y249" s="2"/>
      <c r="Z249" s="2">
        <f>U249+V249</f>
        <v>34290</v>
      </c>
      <c r="AA249" s="2">
        <f>Z249</f>
        <v>34290</v>
      </c>
      <c r="AB249" s="14"/>
      <c r="AC249" s="14"/>
    </row>
    <row r="250" spans="1:29" s="12" customFormat="1" ht="36.75" hidden="1" customHeight="1" x14ac:dyDescent="0.25">
      <c r="A250" s="324" t="s">
        <v>636</v>
      </c>
      <c r="B250" s="324"/>
      <c r="C250" s="295"/>
      <c r="D250" s="295"/>
      <c r="E250" s="173">
        <v>852</v>
      </c>
      <c r="F250" s="1" t="s">
        <v>36</v>
      </c>
      <c r="G250" s="1" t="s">
        <v>72</v>
      </c>
      <c r="H250" s="17" t="s">
        <v>126</v>
      </c>
      <c r="I250" s="1"/>
      <c r="J250" s="2">
        <f t="shared" ref="J250:Q251" si="281">J251</f>
        <v>66777336</v>
      </c>
      <c r="K250" s="2">
        <f t="shared" si="281"/>
        <v>0</v>
      </c>
      <c r="L250" s="2">
        <f t="shared" si="281"/>
        <v>66777336</v>
      </c>
      <c r="M250" s="2">
        <f t="shared" si="281"/>
        <v>0</v>
      </c>
      <c r="N250" s="2">
        <f t="shared" si="281"/>
        <v>66777336</v>
      </c>
      <c r="O250" s="2">
        <f t="shared" si="281"/>
        <v>0</v>
      </c>
      <c r="P250" s="2">
        <f t="shared" si="281"/>
        <v>66777336</v>
      </c>
      <c r="Q250" s="2">
        <f t="shared" si="281"/>
        <v>0</v>
      </c>
      <c r="R250" s="2"/>
      <c r="S250" s="2"/>
      <c r="T250" s="2"/>
      <c r="U250" s="2">
        <f t="shared" ref="U250:AC251" si="282">U251</f>
        <v>66777336</v>
      </c>
      <c r="V250" s="2">
        <f t="shared" si="282"/>
        <v>0</v>
      </c>
      <c r="W250" s="2">
        <f t="shared" si="282"/>
        <v>0</v>
      </c>
      <c r="X250" s="2">
        <f t="shared" si="282"/>
        <v>0</v>
      </c>
      <c r="Y250" s="2">
        <f t="shared" si="282"/>
        <v>0</v>
      </c>
      <c r="Z250" s="2">
        <f t="shared" si="282"/>
        <v>66777336</v>
      </c>
      <c r="AA250" s="2">
        <f t="shared" si="282"/>
        <v>66777336</v>
      </c>
      <c r="AB250" s="2">
        <f t="shared" si="282"/>
        <v>0</v>
      </c>
      <c r="AC250" s="2">
        <f t="shared" si="282"/>
        <v>0</v>
      </c>
    </row>
    <row r="251" spans="1:29" s="12" customFormat="1" ht="24" hidden="1" customHeight="1" x14ac:dyDescent="0.25">
      <c r="A251" s="291"/>
      <c r="B251" s="291" t="s">
        <v>90</v>
      </c>
      <c r="C251" s="295"/>
      <c r="D251" s="295"/>
      <c r="E251" s="173">
        <v>852</v>
      </c>
      <c r="F251" s="1" t="s">
        <v>36</v>
      </c>
      <c r="G251" s="1" t="s">
        <v>72</v>
      </c>
      <c r="H251" s="1" t="s">
        <v>126</v>
      </c>
      <c r="I251" s="1" t="s">
        <v>86</v>
      </c>
      <c r="J251" s="2">
        <f t="shared" si="281"/>
        <v>66777336</v>
      </c>
      <c r="K251" s="2">
        <f t="shared" si="281"/>
        <v>0</v>
      </c>
      <c r="L251" s="2">
        <f t="shared" si="281"/>
        <v>66777336</v>
      </c>
      <c r="M251" s="2">
        <f t="shared" si="281"/>
        <v>0</v>
      </c>
      <c r="N251" s="2">
        <f t="shared" si="281"/>
        <v>66777336</v>
      </c>
      <c r="O251" s="2">
        <f t="shared" si="281"/>
        <v>0</v>
      </c>
      <c r="P251" s="2">
        <f t="shared" si="281"/>
        <v>66777336</v>
      </c>
      <c r="Q251" s="2">
        <f t="shared" si="281"/>
        <v>0</v>
      </c>
      <c r="R251" s="2"/>
      <c r="S251" s="2"/>
      <c r="T251" s="2"/>
      <c r="U251" s="2">
        <f t="shared" si="282"/>
        <v>66777336</v>
      </c>
      <c r="V251" s="2">
        <f t="shared" si="282"/>
        <v>0</v>
      </c>
      <c r="W251" s="2">
        <f t="shared" si="282"/>
        <v>0</v>
      </c>
      <c r="X251" s="2">
        <f t="shared" si="282"/>
        <v>0</v>
      </c>
      <c r="Y251" s="2">
        <f t="shared" si="282"/>
        <v>0</v>
      </c>
      <c r="Z251" s="2">
        <f t="shared" si="282"/>
        <v>66777336</v>
      </c>
      <c r="AA251" s="2">
        <f t="shared" si="282"/>
        <v>66777336</v>
      </c>
      <c r="AB251" s="2">
        <f t="shared" si="282"/>
        <v>0</v>
      </c>
      <c r="AC251" s="2">
        <f t="shared" si="282"/>
        <v>0</v>
      </c>
    </row>
    <row r="252" spans="1:29" s="12" customFormat="1" ht="36.75" hidden="1" customHeight="1" x14ac:dyDescent="0.25">
      <c r="A252" s="291"/>
      <c r="B252" s="291" t="s">
        <v>87</v>
      </c>
      <c r="C252" s="295"/>
      <c r="D252" s="295"/>
      <c r="E252" s="173">
        <v>852</v>
      </c>
      <c r="F252" s="1" t="s">
        <v>36</v>
      </c>
      <c r="G252" s="1" t="s">
        <v>72</v>
      </c>
      <c r="H252" s="1" t="s">
        <v>126</v>
      </c>
      <c r="I252" s="1" t="s">
        <v>88</v>
      </c>
      <c r="J252" s="2">
        <v>66777336</v>
      </c>
      <c r="K252" s="2"/>
      <c r="L252" s="2">
        <f t="shared" si="226"/>
        <v>66777336</v>
      </c>
      <c r="M252" s="2"/>
      <c r="N252" s="2">
        <f t="shared" si="275"/>
        <v>66777336</v>
      </c>
      <c r="O252" s="2"/>
      <c r="P252" s="2">
        <f>N252+O252</f>
        <v>66777336</v>
      </c>
      <c r="Q252" s="2"/>
      <c r="R252" s="2"/>
      <c r="S252" s="2"/>
      <c r="T252" s="2"/>
      <c r="U252" s="2">
        <f>P252+Q252</f>
        <v>66777336</v>
      </c>
      <c r="V252" s="2"/>
      <c r="W252" s="2"/>
      <c r="X252" s="2"/>
      <c r="Y252" s="2"/>
      <c r="Z252" s="2">
        <f t="shared" ref="Z252" si="283">U252+V252</f>
        <v>66777336</v>
      </c>
      <c r="AA252" s="2">
        <f>Z252</f>
        <v>66777336</v>
      </c>
      <c r="AB252" s="305"/>
      <c r="AC252" s="305"/>
    </row>
    <row r="253" spans="1:29" s="12" customFormat="1" ht="13.5" hidden="1" customHeight="1" x14ac:dyDescent="0.25">
      <c r="A253" s="330" t="s">
        <v>608</v>
      </c>
      <c r="B253" s="331"/>
      <c r="C253" s="295"/>
      <c r="D253" s="295"/>
      <c r="E253" s="173">
        <v>852</v>
      </c>
      <c r="F253" s="1" t="s">
        <v>36</v>
      </c>
      <c r="G253" s="17" t="s">
        <v>72</v>
      </c>
      <c r="H253" s="1" t="s">
        <v>609</v>
      </c>
      <c r="I253" s="1"/>
      <c r="J253" s="2">
        <f t="shared" ref="J253:Q254" si="284">J254</f>
        <v>0</v>
      </c>
      <c r="K253" s="2">
        <f t="shared" si="284"/>
        <v>0</v>
      </c>
      <c r="L253" s="2">
        <f t="shared" si="284"/>
        <v>0</v>
      </c>
      <c r="M253" s="2">
        <f t="shared" si="284"/>
        <v>808050</v>
      </c>
      <c r="N253" s="2">
        <f t="shared" si="284"/>
        <v>808050</v>
      </c>
      <c r="O253" s="2">
        <f t="shared" si="284"/>
        <v>0</v>
      </c>
      <c r="P253" s="2">
        <f t="shared" si="284"/>
        <v>808050</v>
      </c>
      <c r="Q253" s="2">
        <f t="shared" si="284"/>
        <v>0</v>
      </c>
      <c r="R253" s="2"/>
      <c r="S253" s="2"/>
      <c r="T253" s="2"/>
      <c r="U253" s="2">
        <f t="shared" ref="U253:AC254" si="285">U254</f>
        <v>808050</v>
      </c>
      <c r="V253" s="2">
        <f t="shared" si="285"/>
        <v>0</v>
      </c>
      <c r="W253" s="2">
        <f t="shared" si="285"/>
        <v>0</v>
      </c>
      <c r="X253" s="2">
        <f t="shared" si="285"/>
        <v>0</v>
      </c>
      <c r="Y253" s="2">
        <f t="shared" si="285"/>
        <v>0</v>
      </c>
      <c r="Z253" s="2">
        <f t="shared" si="285"/>
        <v>808050</v>
      </c>
      <c r="AA253" s="2">
        <f t="shared" si="285"/>
        <v>808050</v>
      </c>
      <c r="AB253" s="2">
        <f t="shared" si="285"/>
        <v>0</v>
      </c>
      <c r="AC253" s="2">
        <f t="shared" si="285"/>
        <v>0</v>
      </c>
    </row>
    <row r="254" spans="1:29" s="12" customFormat="1" ht="24" hidden="1" customHeight="1" x14ac:dyDescent="0.25">
      <c r="A254" s="291"/>
      <c r="B254" s="291" t="s">
        <v>90</v>
      </c>
      <c r="C254" s="295"/>
      <c r="D254" s="295"/>
      <c r="E254" s="173">
        <v>852</v>
      </c>
      <c r="F254" s="1" t="s">
        <v>36</v>
      </c>
      <c r="G254" s="17" t="s">
        <v>72</v>
      </c>
      <c r="H254" s="1" t="s">
        <v>609</v>
      </c>
      <c r="I254" s="1" t="s">
        <v>86</v>
      </c>
      <c r="J254" s="2">
        <f t="shared" si="284"/>
        <v>0</v>
      </c>
      <c r="K254" s="2">
        <f t="shared" si="284"/>
        <v>0</v>
      </c>
      <c r="L254" s="2">
        <f t="shared" si="284"/>
        <v>0</v>
      </c>
      <c r="M254" s="2">
        <f t="shared" si="284"/>
        <v>808050</v>
      </c>
      <c r="N254" s="2">
        <f t="shared" si="284"/>
        <v>808050</v>
      </c>
      <c r="O254" s="2">
        <f t="shared" si="284"/>
        <v>0</v>
      </c>
      <c r="P254" s="2">
        <f t="shared" si="284"/>
        <v>808050</v>
      </c>
      <c r="Q254" s="2">
        <f t="shared" si="284"/>
        <v>0</v>
      </c>
      <c r="R254" s="2"/>
      <c r="S254" s="2"/>
      <c r="T254" s="2"/>
      <c r="U254" s="2">
        <f t="shared" si="285"/>
        <v>808050</v>
      </c>
      <c r="V254" s="2">
        <f t="shared" si="285"/>
        <v>0</v>
      </c>
      <c r="W254" s="2">
        <f t="shared" si="285"/>
        <v>0</v>
      </c>
      <c r="X254" s="2">
        <f t="shared" si="285"/>
        <v>0</v>
      </c>
      <c r="Y254" s="2">
        <f t="shared" si="285"/>
        <v>0</v>
      </c>
      <c r="Z254" s="2">
        <f t="shared" si="285"/>
        <v>808050</v>
      </c>
      <c r="AA254" s="2">
        <f t="shared" si="285"/>
        <v>808050</v>
      </c>
      <c r="AB254" s="2">
        <f t="shared" si="285"/>
        <v>0</v>
      </c>
      <c r="AC254" s="2">
        <f t="shared" si="285"/>
        <v>0</v>
      </c>
    </row>
    <row r="255" spans="1:29" s="12" customFormat="1" ht="17.25" hidden="1" customHeight="1" x14ac:dyDescent="0.25">
      <c r="A255" s="291"/>
      <c r="B255" s="16" t="s">
        <v>118</v>
      </c>
      <c r="C255" s="295"/>
      <c r="D255" s="295"/>
      <c r="E255" s="173">
        <v>852</v>
      </c>
      <c r="F255" s="1" t="s">
        <v>36</v>
      </c>
      <c r="G255" s="17" t="s">
        <v>72</v>
      </c>
      <c r="H255" s="1" t="s">
        <v>609</v>
      </c>
      <c r="I255" s="1" t="s">
        <v>119</v>
      </c>
      <c r="J255" s="2"/>
      <c r="K255" s="2"/>
      <c r="L255" s="2">
        <f>J255+K255</f>
        <v>0</v>
      </c>
      <c r="M255" s="2">
        <v>808050</v>
      </c>
      <c r="N255" s="2">
        <f>L255+M255</f>
        <v>808050</v>
      </c>
      <c r="O255" s="2"/>
      <c r="P255" s="2">
        <f>N255+O255</f>
        <v>808050</v>
      </c>
      <c r="Q255" s="2"/>
      <c r="R255" s="2"/>
      <c r="S255" s="2"/>
      <c r="T255" s="2"/>
      <c r="U255" s="2">
        <f>P255+Q255</f>
        <v>808050</v>
      </c>
      <c r="V255" s="2"/>
      <c r="W255" s="2"/>
      <c r="X255" s="2"/>
      <c r="Y255" s="2"/>
      <c r="Z255" s="2">
        <f>U255+V255</f>
        <v>808050</v>
      </c>
      <c r="AA255" s="2">
        <f>Z255</f>
        <v>808050</v>
      </c>
      <c r="AB255" s="305"/>
      <c r="AC255" s="305"/>
    </row>
    <row r="256" spans="1:29" s="12" customFormat="1" ht="37.5" customHeight="1" x14ac:dyDescent="0.25">
      <c r="A256" s="324" t="s">
        <v>112</v>
      </c>
      <c r="B256" s="324"/>
      <c r="C256" s="295"/>
      <c r="D256" s="295"/>
      <c r="E256" s="173">
        <v>852</v>
      </c>
      <c r="F256" s="1" t="s">
        <v>36</v>
      </c>
      <c r="G256" s="1" t="s">
        <v>72</v>
      </c>
      <c r="H256" s="1" t="s">
        <v>113</v>
      </c>
      <c r="I256" s="1"/>
      <c r="J256" s="2">
        <f t="shared" ref="J256:Q257" si="286">J257</f>
        <v>2667200</v>
      </c>
      <c r="K256" s="2">
        <f t="shared" si="286"/>
        <v>0</v>
      </c>
      <c r="L256" s="2">
        <f t="shared" si="286"/>
        <v>2667200</v>
      </c>
      <c r="M256" s="2">
        <f t="shared" si="286"/>
        <v>0</v>
      </c>
      <c r="N256" s="2">
        <f t="shared" si="286"/>
        <v>2667200</v>
      </c>
      <c r="O256" s="2">
        <f t="shared" si="286"/>
        <v>0</v>
      </c>
      <c r="P256" s="2">
        <f t="shared" si="286"/>
        <v>2667200</v>
      </c>
      <c r="Q256" s="2">
        <f t="shared" si="286"/>
        <v>0</v>
      </c>
      <c r="R256" s="2"/>
      <c r="S256" s="2"/>
      <c r="T256" s="2"/>
      <c r="U256" s="2">
        <f t="shared" ref="U256:AC257" si="287">U257</f>
        <v>2667200</v>
      </c>
      <c r="V256" s="2">
        <f t="shared" si="287"/>
        <v>7980.37</v>
      </c>
      <c r="W256" s="2">
        <f t="shared" si="287"/>
        <v>7980.37</v>
      </c>
      <c r="X256" s="2">
        <f t="shared" si="287"/>
        <v>0</v>
      </c>
      <c r="Y256" s="2">
        <f t="shared" si="287"/>
        <v>0</v>
      </c>
      <c r="Z256" s="2">
        <f t="shared" si="287"/>
        <v>2675180.37</v>
      </c>
      <c r="AA256" s="2">
        <f t="shared" si="287"/>
        <v>2675180.37</v>
      </c>
      <c r="AB256" s="2">
        <f t="shared" si="287"/>
        <v>0</v>
      </c>
      <c r="AC256" s="2">
        <f t="shared" si="287"/>
        <v>0</v>
      </c>
    </row>
    <row r="257" spans="1:29" s="12" customFormat="1" ht="24.75" customHeight="1" x14ac:dyDescent="0.25">
      <c r="A257" s="295"/>
      <c r="B257" s="170" t="s">
        <v>90</v>
      </c>
      <c r="C257" s="24"/>
      <c r="D257" s="24"/>
      <c r="E257" s="25">
        <v>852</v>
      </c>
      <c r="F257" s="26" t="s">
        <v>36</v>
      </c>
      <c r="G257" s="1" t="s">
        <v>72</v>
      </c>
      <c r="H257" s="26" t="s">
        <v>113</v>
      </c>
      <c r="I257" s="1" t="s">
        <v>86</v>
      </c>
      <c r="J257" s="2">
        <f t="shared" si="286"/>
        <v>2667200</v>
      </c>
      <c r="K257" s="2">
        <f t="shared" si="286"/>
        <v>0</v>
      </c>
      <c r="L257" s="2">
        <f t="shared" si="286"/>
        <v>2667200</v>
      </c>
      <c r="M257" s="2">
        <f t="shared" si="286"/>
        <v>0</v>
      </c>
      <c r="N257" s="2">
        <f t="shared" si="286"/>
        <v>2667200</v>
      </c>
      <c r="O257" s="2">
        <f t="shared" si="286"/>
        <v>0</v>
      </c>
      <c r="P257" s="2">
        <f t="shared" si="286"/>
        <v>2667200</v>
      </c>
      <c r="Q257" s="2">
        <f t="shared" si="286"/>
        <v>0</v>
      </c>
      <c r="R257" s="2"/>
      <c r="S257" s="2"/>
      <c r="T257" s="2"/>
      <c r="U257" s="2">
        <f t="shared" si="287"/>
        <v>2667200</v>
      </c>
      <c r="V257" s="2">
        <f t="shared" si="287"/>
        <v>7980.37</v>
      </c>
      <c r="W257" s="2">
        <f t="shared" si="287"/>
        <v>7980.37</v>
      </c>
      <c r="X257" s="2">
        <f t="shared" si="287"/>
        <v>0</v>
      </c>
      <c r="Y257" s="2">
        <f t="shared" si="287"/>
        <v>0</v>
      </c>
      <c r="Z257" s="2">
        <f t="shared" si="287"/>
        <v>2675180.37</v>
      </c>
      <c r="AA257" s="2">
        <f t="shared" si="287"/>
        <v>2675180.37</v>
      </c>
      <c r="AB257" s="2">
        <f t="shared" si="287"/>
        <v>0</v>
      </c>
      <c r="AC257" s="2">
        <f t="shared" si="287"/>
        <v>0</v>
      </c>
    </row>
    <row r="258" spans="1:29" s="12" customFormat="1" ht="36" customHeight="1" x14ac:dyDescent="0.25">
      <c r="A258" s="295"/>
      <c r="B258" s="291" t="s">
        <v>87</v>
      </c>
      <c r="C258" s="295"/>
      <c r="D258" s="295"/>
      <c r="E258" s="173">
        <v>852</v>
      </c>
      <c r="F258" s="1" t="s">
        <v>36</v>
      </c>
      <c r="G258" s="17" t="s">
        <v>72</v>
      </c>
      <c r="H258" s="1" t="s">
        <v>113</v>
      </c>
      <c r="I258" s="1" t="s">
        <v>88</v>
      </c>
      <c r="J258" s="2">
        <v>2667200</v>
      </c>
      <c r="K258" s="2"/>
      <c r="L258" s="2">
        <f t="shared" si="226"/>
        <v>2667200</v>
      </c>
      <c r="M258" s="2"/>
      <c r="N258" s="2">
        <f t="shared" ref="N258:N267" si="288">L258+M258</f>
        <v>2667200</v>
      </c>
      <c r="O258" s="2"/>
      <c r="P258" s="2">
        <f>N258+O258</f>
        <v>2667200</v>
      </c>
      <c r="Q258" s="2"/>
      <c r="R258" s="2"/>
      <c r="S258" s="2"/>
      <c r="T258" s="2"/>
      <c r="U258" s="2">
        <f>P258+Q258</f>
        <v>2667200</v>
      </c>
      <c r="V258" s="2">
        <v>7980.37</v>
      </c>
      <c r="W258" s="2">
        <f>V258</f>
        <v>7980.37</v>
      </c>
      <c r="X258" s="2"/>
      <c r="Y258" s="2"/>
      <c r="Z258" s="2">
        <f t="shared" ref="Z258" si="289">U258+V258</f>
        <v>2675180.37</v>
      </c>
      <c r="AA258" s="2">
        <f>Z258</f>
        <v>2675180.37</v>
      </c>
      <c r="AB258" s="305"/>
      <c r="AC258" s="305"/>
    </row>
    <row r="259" spans="1:29" s="12" customFormat="1" ht="14.25" hidden="1" customHeight="1" x14ac:dyDescent="0.25">
      <c r="A259" s="324" t="s">
        <v>654</v>
      </c>
      <c r="B259" s="324"/>
      <c r="C259" s="291"/>
      <c r="D259" s="291"/>
      <c r="E259" s="173">
        <v>852</v>
      </c>
      <c r="F259" s="1" t="s">
        <v>36</v>
      </c>
      <c r="G259" s="17" t="s">
        <v>72</v>
      </c>
      <c r="H259" s="1" t="s">
        <v>653</v>
      </c>
      <c r="I259" s="1"/>
      <c r="J259" s="2">
        <f t="shared" ref="J259:Q260" si="290">J260</f>
        <v>0</v>
      </c>
      <c r="K259" s="2">
        <f t="shared" si="290"/>
        <v>0</v>
      </c>
      <c r="L259" s="2">
        <f t="shared" si="290"/>
        <v>0</v>
      </c>
      <c r="M259" s="2">
        <f t="shared" si="290"/>
        <v>0</v>
      </c>
      <c r="N259" s="2">
        <f t="shared" si="290"/>
        <v>0</v>
      </c>
      <c r="O259" s="2">
        <f t="shared" si="290"/>
        <v>247500</v>
      </c>
      <c r="P259" s="2">
        <f t="shared" si="290"/>
        <v>247500</v>
      </c>
      <c r="Q259" s="2">
        <f t="shared" si="290"/>
        <v>0</v>
      </c>
      <c r="R259" s="2"/>
      <c r="S259" s="2"/>
      <c r="T259" s="2"/>
      <c r="U259" s="2">
        <f t="shared" ref="U259:AC260" si="291">U260</f>
        <v>247500</v>
      </c>
      <c r="V259" s="2">
        <f t="shared" si="291"/>
        <v>0</v>
      </c>
      <c r="W259" s="2">
        <f t="shared" si="291"/>
        <v>0</v>
      </c>
      <c r="X259" s="2">
        <f t="shared" si="291"/>
        <v>0</v>
      </c>
      <c r="Y259" s="2">
        <f t="shared" si="291"/>
        <v>0</v>
      </c>
      <c r="Z259" s="2">
        <f t="shared" si="291"/>
        <v>247500</v>
      </c>
      <c r="AA259" s="2">
        <f t="shared" si="291"/>
        <v>247500</v>
      </c>
      <c r="AB259" s="2">
        <f t="shared" si="291"/>
        <v>0</v>
      </c>
      <c r="AC259" s="2">
        <f t="shared" si="291"/>
        <v>0</v>
      </c>
    </row>
    <row r="260" spans="1:29" s="12" customFormat="1" ht="23.25" hidden="1" customHeight="1" x14ac:dyDescent="0.25">
      <c r="A260" s="291"/>
      <c r="B260" s="170" t="s">
        <v>90</v>
      </c>
      <c r="C260" s="291"/>
      <c r="D260" s="291"/>
      <c r="E260" s="173">
        <v>852</v>
      </c>
      <c r="F260" s="1" t="s">
        <v>36</v>
      </c>
      <c r="G260" s="17" t="s">
        <v>72</v>
      </c>
      <c r="H260" s="1" t="s">
        <v>653</v>
      </c>
      <c r="I260" s="1" t="s">
        <v>86</v>
      </c>
      <c r="J260" s="2">
        <f t="shared" si="290"/>
        <v>0</v>
      </c>
      <c r="K260" s="2">
        <f t="shared" si="290"/>
        <v>0</v>
      </c>
      <c r="L260" s="2">
        <f t="shared" si="290"/>
        <v>0</v>
      </c>
      <c r="M260" s="2">
        <f t="shared" si="290"/>
        <v>0</v>
      </c>
      <c r="N260" s="2">
        <f t="shared" si="290"/>
        <v>0</v>
      </c>
      <c r="O260" s="2">
        <f t="shared" si="290"/>
        <v>247500</v>
      </c>
      <c r="P260" s="2">
        <f t="shared" si="290"/>
        <v>247500</v>
      </c>
      <c r="Q260" s="2">
        <f t="shared" si="290"/>
        <v>0</v>
      </c>
      <c r="R260" s="2"/>
      <c r="S260" s="2"/>
      <c r="T260" s="2"/>
      <c r="U260" s="2">
        <f t="shared" si="291"/>
        <v>247500</v>
      </c>
      <c r="V260" s="2">
        <f t="shared" si="291"/>
        <v>0</v>
      </c>
      <c r="W260" s="2">
        <f t="shared" si="291"/>
        <v>0</v>
      </c>
      <c r="X260" s="2">
        <f t="shared" si="291"/>
        <v>0</v>
      </c>
      <c r="Y260" s="2">
        <f t="shared" si="291"/>
        <v>0</v>
      </c>
      <c r="Z260" s="2">
        <f t="shared" si="291"/>
        <v>247500</v>
      </c>
      <c r="AA260" s="2">
        <f t="shared" si="291"/>
        <v>247500</v>
      </c>
      <c r="AB260" s="2">
        <f t="shared" si="291"/>
        <v>0</v>
      </c>
      <c r="AC260" s="2">
        <f t="shared" si="291"/>
        <v>0</v>
      </c>
    </row>
    <row r="261" spans="1:29" s="12" customFormat="1" ht="15.75" hidden="1" customHeight="1" x14ac:dyDescent="0.25">
      <c r="A261" s="291"/>
      <c r="B261" s="170" t="s">
        <v>118</v>
      </c>
      <c r="C261" s="291"/>
      <c r="D261" s="291"/>
      <c r="E261" s="173">
        <v>852</v>
      </c>
      <c r="F261" s="1" t="s">
        <v>36</v>
      </c>
      <c r="G261" s="17" t="s">
        <v>72</v>
      </c>
      <c r="H261" s="1" t="s">
        <v>653</v>
      </c>
      <c r="I261" s="1" t="s">
        <v>119</v>
      </c>
      <c r="J261" s="2"/>
      <c r="K261" s="2"/>
      <c r="L261" s="2"/>
      <c r="M261" s="2"/>
      <c r="N261" s="2"/>
      <c r="O261" s="2">
        <v>247500</v>
      </c>
      <c r="P261" s="2">
        <f>N261+O261</f>
        <v>247500</v>
      </c>
      <c r="Q261" s="2"/>
      <c r="R261" s="2"/>
      <c r="S261" s="2"/>
      <c r="T261" s="2"/>
      <c r="U261" s="2">
        <f>P261+Q261</f>
        <v>247500</v>
      </c>
      <c r="V261" s="2"/>
      <c r="W261" s="2"/>
      <c r="X261" s="2"/>
      <c r="Y261" s="2"/>
      <c r="Z261" s="2">
        <f t="shared" ref="Z261" si="292">U261+V261</f>
        <v>247500</v>
      </c>
      <c r="AA261" s="2">
        <f>Z261</f>
        <v>247500</v>
      </c>
      <c r="AB261" s="305"/>
      <c r="AC261" s="305"/>
    </row>
    <row r="262" spans="1:29" ht="15" customHeight="1" x14ac:dyDescent="0.25">
      <c r="A262" s="324" t="s">
        <v>116</v>
      </c>
      <c r="B262" s="324"/>
      <c r="C262" s="291"/>
      <c r="D262" s="291"/>
      <c r="E262" s="173">
        <v>852</v>
      </c>
      <c r="F262" s="1" t="s">
        <v>36</v>
      </c>
      <c r="G262" s="17" t="s">
        <v>72</v>
      </c>
      <c r="H262" s="1" t="s">
        <v>117</v>
      </c>
      <c r="I262" s="1"/>
      <c r="J262" s="2">
        <f t="shared" ref="J262:Q263" si="293">J263</f>
        <v>1110000</v>
      </c>
      <c r="K262" s="2">
        <f t="shared" si="293"/>
        <v>154200</v>
      </c>
      <c r="L262" s="2">
        <f t="shared" si="293"/>
        <v>1264200</v>
      </c>
      <c r="M262" s="2">
        <f t="shared" si="293"/>
        <v>49248</v>
      </c>
      <c r="N262" s="2">
        <f t="shared" si="293"/>
        <v>1313448</v>
      </c>
      <c r="O262" s="2">
        <f t="shared" si="293"/>
        <v>0</v>
      </c>
      <c r="P262" s="2">
        <f t="shared" si="293"/>
        <v>1313448</v>
      </c>
      <c r="Q262" s="2">
        <f t="shared" si="293"/>
        <v>48980</v>
      </c>
      <c r="R262" s="2"/>
      <c r="S262" s="2"/>
      <c r="T262" s="2"/>
      <c r="U262" s="2">
        <f t="shared" ref="U262:AC263" si="294">U263</f>
        <v>1362428</v>
      </c>
      <c r="V262" s="2">
        <f t="shared" si="294"/>
        <v>296093</v>
      </c>
      <c r="W262" s="2">
        <f t="shared" si="294"/>
        <v>0</v>
      </c>
      <c r="X262" s="2">
        <f t="shared" si="294"/>
        <v>296093</v>
      </c>
      <c r="Y262" s="2">
        <f t="shared" si="294"/>
        <v>0</v>
      </c>
      <c r="Z262" s="2">
        <f t="shared" si="294"/>
        <v>1658521</v>
      </c>
      <c r="AA262" s="2">
        <f t="shared" si="294"/>
        <v>0</v>
      </c>
      <c r="AB262" s="2">
        <f t="shared" si="294"/>
        <v>1658521</v>
      </c>
      <c r="AC262" s="2">
        <f t="shared" si="294"/>
        <v>0</v>
      </c>
    </row>
    <row r="263" spans="1:29" ht="24.75" customHeight="1" x14ac:dyDescent="0.25">
      <c r="A263" s="291"/>
      <c r="B263" s="170" t="s">
        <v>90</v>
      </c>
      <c r="C263" s="291"/>
      <c r="D263" s="291"/>
      <c r="E263" s="173">
        <v>852</v>
      </c>
      <c r="F263" s="1" t="s">
        <v>36</v>
      </c>
      <c r="G263" s="17" t="s">
        <v>72</v>
      </c>
      <c r="H263" s="1" t="s">
        <v>117</v>
      </c>
      <c r="I263" s="1" t="s">
        <v>86</v>
      </c>
      <c r="J263" s="2">
        <f t="shared" si="293"/>
        <v>1110000</v>
      </c>
      <c r="K263" s="2">
        <f t="shared" si="293"/>
        <v>154200</v>
      </c>
      <c r="L263" s="2">
        <f t="shared" si="293"/>
        <v>1264200</v>
      </c>
      <c r="M263" s="2">
        <f t="shared" si="293"/>
        <v>49248</v>
      </c>
      <c r="N263" s="2">
        <f t="shared" si="293"/>
        <v>1313448</v>
      </c>
      <c r="O263" s="2">
        <f t="shared" si="293"/>
        <v>0</v>
      </c>
      <c r="P263" s="2">
        <f t="shared" si="293"/>
        <v>1313448</v>
      </c>
      <c r="Q263" s="2">
        <f t="shared" si="293"/>
        <v>48980</v>
      </c>
      <c r="R263" s="2"/>
      <c r="S263" s="2"/>
      <c r="T263" s="2"/>
      <c r="U263" s="2">
        <f t="shared" si="294"/>
        <v>1362428</v>
      </c>
      <c r="V263" s="2">
        <f t="shared" si="294"/>
        <v>296093</v>
      </c>
      <c r="W263" s="2">
        <f t="shared" si="294"/>
        <v>0</v>
      </c>
      <c r="X263" s="2">
        <f t="shared" si="294"/>
        <v>296093</v>
      </c>
      <c r="Y263" s="2">
        <f t="shared" si="294"/>
        <v>0</v>
      </c>
      <c r="Z263" s="2">
        <f t="shared" si="294"/>
        <v>1658521</v>
      </c>
      <c r="AA263" s="2">
        <f t="shared" si="294"/>
        <v>0</v>
      </c>
      <c r="AB263" s="2">
        <f t="shared" si="294"/>
        <v>1658521</v>
      </c>
      <c r="AC263" s="2">
        <f t="shared" si="294"/>
        <v>0</v>
      </c>
    </row>
    <row r="264" spans="1:29" ht="14.25" customHeight="1" x14ac:dyDescent="0.25">
      <c r="A264" s="291"/>
      <c r="B264" s="170" t="s">
        <v>118</v>
      </c>
      <c r="C264" s="291"/>
      <c r="D264" s="291"/>
      <c r="E264" s="173">
        <v>852</v>
      </c>
      <c r="F264" s="1" t="s">
        <v>36</v>
      </c>
      <c r="G264" s="17" t="s">
        <v>72</v>
      </c>
      <c r="H264" s="1" t="s">
        <v>117</v>
      </c>
      <c r="I264" s="1" t="s">
        <v>119</v>
      </c>
      <c r="J264" s="2">
        <f>1110000</f>
        <v>1110000</v>
      </c>
      <c r="K264" s="2">
        <f>121700+32500</f>
        <v>154200</v>
      </c>
      <c r="L264" s="2">
        <f t="shared" si="226"/>
        <v>1264200</v>
      </c>
      <c r="M264" s="2">
        <v>49248</v>
      </c>
      <c r="N264" s="2">
        <f t="shared" si="288"/>
        <v>1313448</v>
      </c>
      <c r="O264" s="2"/>
      <c r="P264" s="2">
        <f>N264+O264</f>
        <v>1313448</v>
      </c>
      <c r="Q264" s="2">
        <v>48980</v>
      </c>
      <c r="R264" s="2"/>
      <c r="S264" s="2">
        <v>48980</v>
      </c>
      <c r="T264" s="2"/>
      <c r="U264" s="2">
        <f>P264+Q264</f>
        <v>1362428</v>
      </c>
      <c r="V264" s="2">
        <f>219980+76113</f>
        <v>296093</v>
      </c>
      <c r="W264" s="2"/>
      <c r="X264" s="2">
        <f>V264</f>
        <v>296093</v>
      </c>
      <c r="Y264" s="2"/>
      <c r="Z264" s="2">
        <f t="shared" ref="Z264" si="295">U264+V264</f>
        <v>1658521</v>
      </c>
      <c r="AA264" s="14"/>
      <c r="AB264" s="2">
        <f>Z264</f>
        <v>1658521</v>
      </c>
      <c r="AC264" s="14"/>
    </row>
    <row r="265" spans="1:29" ht="26.25" customHeight="1" x14ac:dyDescent="0.25">
      <c r="A265" s="324" t="s">
        <v>120</v>
      </c>
      <c r="B265" s="324"/>
      <c r="C265" s="291"/>
      <c r="D265" s="291"/>
      <c r="E265" s="173">
        <v>852</v>
      </c>
      <c r="F265" s="17" t="s">
        <v>36</v>
      </c>
      <c r="G265" s="17" t="s">
        <v>72</v>
      </c>
      <c r="H265" s="17" t="s">
        <v>121</v>
      </c>
      <c r="I265" s="1"/>
      <c r="J265" s="2">
        <f t="shared" ref="J265:Q266" si="296">J266</f>
        <v>677500</v>
      </c>
      <c r="K265" s="2">
        <f t="shared" si="296"/>
        <v>171280</v>
      </c>
      <c r="L265" s="2">
        <f t="shared" si="296"/>
        <v>848780</v>
      </c>
      <c r="M265" s="2">
        <f t="shared" si="296"/>
        <v>0</v>
      </c>
      <c r="N265" s="2">
        <f t="shared" si="296"/>
        <v>848780</v>
      </c>
      <c r="O265" s="2">
        <f t="shared" si="296"/>
        <v>0</v>
      </c>
      <c r="P265" s="2">
        <f t="shared" si="296"/>
        <v>848780</v>
      </c>
      <c r="Q265" s="2">
        <f t="shared" si="296"/>
        <v>304124</v>
      </c>
      <c r="R265" s="2"/>
      <c r="S265" s="2"/>
      <c r="T265" s="2"/>
      <c r="U265" s="2">
        <f t="shared" ref="U265:AC266" si="297">U266</f>
        <v>1152904</v>
      </c>
      <c r="V265" s="2">
        <f t="shared" si="297"/>
        <v>99538</v>
      </c>
      <c r="W265" s="2">
        <f t="shared" si="297"/>
        <v>0</v>
      </c>
      <c r="X265" s="2">
        <f t="shared" si="297"/>
        <v>99538</v>
      </c>
      <c r="Y265" s="2">
        <f t="shared" si="297"/>
        <v>0</v>
      </c>
      <c r="Z265" s="2">
        <f t="shared" si="297"/>
        <v>1252442</v>
      </c>
      <c r="AA265" s="2">
        <f t="shared" si="297"/>
        <v>0</v>
      </c>
      <c r="AB265" s="2">
        <f t="shared" si="297"/>
        <v>1252442</v>
      </c>
      <c r="AC265" s="2">
        <f t="shared" si="297"/>
        <v>0</v>
      </c>
    </row>
    <row r="266" spans="1:29" ht="27" customHeight="1" x14ac:dyDescent="0.25">
      <c r="A266" s="291"/>
      <c r="B266" s="170" t="s">
        <v>90</v>
      </c>
      <c r="C266" s="291"/>
      <c r="D266" s="291"/>
      <c r="E266" s="173">
        <v>852</v>
      </c>
      <c r="F266" s="1" t="s">
        <v>36</v>
      </c>
      <c r="G266" s="17" t="s">
        <v>72</v>
      </c>
      <c r="H266" s="17" t="s">
        <v>121</v>
      </c>
      <c r="I266" s="1" t="s">
        <v>86</v>
      </c>
      <c r="J266" s="2">
        <f t="shared" si="296"/>
        <v>677500</v>
      </c>
      <c r="K266" s="2">
        <f t="shared" si="296"/>
        <v>171280</v>
      </c>
      <c r="L266" s="2">
        <f t="shared" si="296"/>
        <v>848780</v>
      </c>
      <c r="M266" s="2">
        <f t="shared" si="296"/>
        <v>0</v>
      </c>
      <c r="N266" s="2">
        <f t="shared" si="296"/>
        <v>848780</v>
      </c>
      <c r="O266" s="2">
        <f t="shared" si="296"/>
        <v>0</v>
      </c>
      <c r="P266" s="2">
        <f t="shared" si="296"/>
        <v>848780</v>
      </c>
      <c r="Q266" s="2">
        <f t="shared" si="296"/>
        <v>304124</v>
      </c>
      <c r="R266" s="2"/>
      <c r="S266" s="2"/>
      <c r="T266" s="2"/>
      <c r="U266" s="2">
        <f t="shared" si="297"/>
        <v>1152904</v>
      </c>
      <c r="V266" s="2">
        <f t="shared" si="297"/>
        <v>99538</v>
      </c>
      <c r="W266" s="2">
        <f t="shared" si="297"/>
        <v>0</v>
      </c>
      <c r="X266" s="2">
        <f t="shared" si="297"/>
        <v>99538</v>
      </c>
      <c r="Y266" s="2">
        <f t="shared" si="297"/>
        <v>0</v>
      </c>
      <c r="Z266" s="2">
        <f t="shared" si="297"/>
        <v>1252442</v>
      </c>
      <c r="AA266" s="2">
        <f t="shared" si="297"/>
        <v>0</v>
      </c>
      <c r="AB266" s="2">
        <f t="shared" si="297"/>
        <v>1252442</v>
      </c>
      <c r="AC266" s="2">
        <f t="shared" si="297"/>
        <v>0</v>
      </c>
    </row>
    <row r="267" spans="1:29" x14ac:dyDescent="0.25">
      <c r="A267" s="291"/>
      <c r="B267" s="170" t="s">
        <v>118</v>
      </c>
      <c r="C267" s="291"/>
      <c r="D267" s="291"/>
      <c r="E267" s="173">
        <v>852</v>
      </c>
      <c r="F267" s="1" t="s">
        <v>36</v>
      </c>
      <c r="G267" s="17" t="s">
        <v>72</v>
      </c>
      <c r="H267" s="17" t="s">
        <v>121</v>
      </c>
      <c r="I267" s="1" t="s">
        <v>119</v>
      </c>
      <c r="J267" s="2">
        <v>677500</v>
      </c>
      <c r="K267" s="2">
        <v>171280</v>
      </c>
      <c r="L267" s="2">
        <f t="shared" si="226"/>
        <v>848780</v>
      </c>
      <c r="M267" s="2"/>
      <c r="N267" s="2">
        <f t="shared" si="288"/>
        <v>848780</v>
      </c>
      <c r="O267" s="2"/>
      <c r="P267" s="2">
        <f>N267+O267</f>
        <v>848780</v>
      </c>
      <c r="Q267" s="2">
        <v>304124</v>
      </c>
      <c r="R267" s="2"/>
      <c r="S267" s="2">
        <v>304124</v>
      </c>
      <c r="T267" s="2"/>
      <c r="U267" s="2">
        <f>P267+Q267</f>
        <v>1152904</v>
      </c>
      <c r="V267" s="2">
        <v>99538</v>
      </c>
      <c r="W267" s="2"/>
      <c r="X267" s="2">
        <f>V267</f>
        <v>99538</v>
      </c>
      <c r="Y267" s="2"/>
      <c r="Z267" s="2">
        <f t="shared" ref="Z267" si="298">U267+V267</f>
        <v>1252442</v>
      </c>
      <c r="AA267" s="14"/>
      <c r="AB267" s="2">
        <f>Z267</f>
        <v>1252442</v>
      </c>
      <c r="AC267" s="14"/>
    </row>
    <row r="268" spans="1:29" ht="24.75" customHeight="1" x14ac:dyDescent="0.25">
      <c r="A268" s="330" t="s">
        <v>746</v>
      </c>
      <c r="B268" s="331"/>
      <c r="C268" s="291"/>
      <c r="D268" s="291"/>
      <c r="E268" s="173">
        <v>852</v>
      </c>
      <c r="F268" s="1" t="s">
        <v>36</v>
      </c>
      <c r="G268" s="17" t="s">
        <v>72</v>
      </c>
      <c r="H268" s="17" t="s">
        <v>747</v>
      </c>
      <c r="I268" s="1"/>
      <c r="J268" s="2"/>
      <c r="K268" s="2"/>
      <c r="L268" s="2"/>
      <c r="M268" s="2"/>
      <c r="N268" s="2"/>
      <c r="O268" s="2"/>
      <c r="P268" s="2"/>
      <c r="Q268" s="2"/>
      <c r="R268" s="2"/>
      <c r="S268" s="2"/>
      <c r="T268" s="2"/>
      <c r="U268" s="2">
        <f t="shared" ref="U268:AC269" si="299">U269</f>
        <v>0</v>
      </c>
      <c r="V268" s="2">
        <f t="shared" si="299"/>
        <v>80000</v>
      </c>
      <c r="W268" s="2">
        <f t="shared" si="299"/>
        <v>80000</v>
      </c>
      <c r="X268" s="2">
        <f t="shared" si="299"/>
        <v>0</v>
      </c>
      <c r="Y268" s="2">
        <f t="shared" si="299"/>
        <v>0</v>
      </c>
      <c r="Z268" s="2">
        <f t="shared" si="299"/>
        <v>80000</v>
      </c>
      <c r="AA268" s="2">
        <f t="shared" si="299"/>
        <v>80000</v>
      </c>
      <c r="AB268" s="2">
        <f t="shared" si="299"/>
        <v>0</v>
      </c>
      <c r="AC268" s="2">
        <f t="shared" si="299"/>
        <v>0</v>
      </c>
    </row>
    <row r="269" spans="1:29" ht="25.5" customHeight="1" x14ac:dyDescent="0.25">
      <c r="A269" s="291"/>
      <c r="B269" s="291" t="s">
        <v>90</v>
      </c>
      <c r="C269" s="291"/>
      <c r="D269" s="291"/>
      <c r="E269" s="173">
        <v>852</v>
      </c>
      <c r="F269" s="1" t="s">
        <v>36</v>
      </c>
      <c r="G269" s="17" t="s">
        <v>72</v>
      </c>
      <c r="H269" s="17" t="s">
        <v>747</v>
      </c>
      <c r="I269" s="1" t="s">
        <v>86</v>
      </c>
      <c r="J269" s="2"/>
      <c r="K269" s="2"/>
      <c r="L269" s="2"/>
      <c r="M269" s="2"/>
      <c r="N269" s="2"/>
      <c r="O269" s="2"/>
      <c r="P269" s="2"/>
      <c r="Q269" s="2"/>
      <c r="R269" s="2"/>
      <c r="S269" s="2"/>
      <c r="T269" s="2"/>
      <c r="U269" s="2">
        <f t="shared" si="299"/>
        <v>0</v>
      </c>
      <c r="V269" s="2">
        <f t="shared" si="299"/>
        <v>80000</v>
      </c>
      <c r="W269" s="2">
        <f t="shared" si="299"/>
        <v>80000</v>
      </c>
      <c r="X269" s="2">
        <f t="shared" si="299"/>
        <v>0</v>
      </c>
      <c r="Y269" s="2">
        <f t="shared" si="299"/>
        <v>0</v>
      </c>
      <c r="Z269" s="2">
        <f t="shared" si="299"/>
        <v>80000</v>
      </c>
      <c r="AA269" s="2">
        <f t="shared" si="299"/>
        <v>80000</v>
      </c>
      <c r="AB269" s="2">
        <f t="shared" si="299"/>
        <v>0</v>
      </c>
      <c r="AC269" s="2">
        <f t="shared" si="299"/>
        <v>0</v>
      </c>
    </row>
    <row r="270" spans="1:29" ht="14.25" customHeight="1" x14ac:dyDescent="0.25">
      <c r="A270" s="291"/>
      <c r="B270" s="303" t="s">
        <v>118</v>
      </c>
      <c r="C270" s="291"/>
      <c r="D270" s="291"/>
      <c r="E270" s="173">
        <v>852</v>
      </c>
      <c r="F270" s="1" t="s">
        <v>36</v>
      </c>
      <c r="G270" s="17" t="s">
        <v>72</v>
      </c>
      <c r="H270" s="17" t="s">
        <v>747</v>
      </c>
      <c r="I270" s="1" t="s">
        <v>119</v>
      </c>
      <c r="J270" s="2"/>
      <c r="K270" s="2"/>
      <c r="L270" s="2"/>
      <c r="M270" s="2"/>
      <c r="N270" s="2"/>
      <c r="O270" s="2"/>
      <c r="P270" s="2"/>
      <c r="Q270" s="2"/>
      <c r="R270" s="2"/>
      <c r="S270" s="2"/>
      <c r="T270" s="2"/>
      <c r="U270" s="2"/>
      <c r="V270" s="2">
        <v>80000</v>
      </c>
      <c r="W270" s="2">
        <v>80000</v>
      </c>
      <c r="X270" s="2"/>
      <c r="Y270" s="2"/>
      <c r="Z270" s="2">
        <f>U270+V270</f>
        <v>80000</v>
      </c>
      <c r="AA270" s="2">
        <f>Z270</f>
        <v>80000</v>
      </c>
      <c r="AB270" s="14"/>
      <c r="AC270" s="14"/>
    </row>
    <row r="271" spans="1:29" ht="46.5" customHeight="1" x14ac:dyDescent="0.25">
      <c r="A271" s="330" t="s">
        <v>748</v>
      </c>
      <c r="B271" s="331"/>
      <c r="C271" s="291"/>
      <c r="D271" s="291"/>
      <c r="E271" s="173">
        <v>852</v>
      </c>
      <c r="F271" s="1" t="s">
        <v>36</v>
      </c>
      <c r="G271" s="17" t="s">
        <v>72</v>
      </c>
      <c r="H271" s="17" t="s">
        <v>749</v>
      </c>
      <c r="I271" s="1"/>
      <c r="J271" s="2"/>
      <c r="K271" s="2"/>
      <c r="L271" s="2"/>
      <c r="M271" s="2"/>
      <c r="N271" s="2"/>
      <c r="O271" s="2"/>
      <c r="P271" s="2"/>
      <c r="Q271" s="2"/>
      <c r="R271" s="2"/>
      <c r="S271" s="2"/>
      <c r="T271" s="2"/>
      <c r="U271" s="2">
        <f>U272</f>
        <v>0</v>
      </c>
      <c r="V271" s="2">
        <f>V272</f>
        <v>1000000</v>
      </c>
      <c r="W271" s="2">
        <f t="shared" ref="W271:AC272" si="300">W272</f>
        <v>1000000</v>
      </c>
      <c r="X271" s="2">
        <f t="shared" si="300"/>
        <v>0</v>
      </c>
      <c r="Y271" s="2">
        <f t="shared" si="300"/>
        <v>0</v>
      </c>
      <c r="Z271" s="2">
        <f t="shared" si="300"/>
        <v>1000000</v>
      </c>
      <c r="AA271" s="2">
        <f t="shared" si="300"/>
        <v>1000000</v>
      </c>
      <c r="AB271" s="2">
        <f t="shared" si="300"/>
        <v>0</v>
      </c>
      <c r="AC271" s="2">
        <f t="shared" si="300"/>
        <v>0</v>
      </c>
    </row>
    <row r="272" spans="1:29" ht="24" customHeight="1" x14ac:dyDescent="0.25">
      <c r="A272" s="291"/>
      <c r="B272" s="170" t="s">
        <v>90</v>
      </c>
      <c r="C272" s="291"/>
      <c r="D272" s="291"/>
      <c r="E272" s="173">
        <v>852</v>
      </c>
      <c r="F272" s="1" t="s">
        <v>36</v>
      </c>
      <c r="G272" s="17" t="s">
        <v>72</v>
      </c>
      <c r="H272" s="17" t="s">
        <v>749</v>
      </c>
      <c r="I272" s="1" t="s">
        <v>86</v>
      </c>
      <c r="J272" s="2"/>
      <c r="K272" s="2"/>
      <c r="L272" s="2"/>
      <c r="M272" s="2"/>
      <c r="N272" s="2"/>
      <c r="O272" s="2"/>
      <c r="P272" s="2"/>
      <c r="Q272" s="2"/>
      <c r="R272" s="2"/>
      <c r="S272" s="2"/>
      <c r="T272" s="2"/>
      <c r="U272" s="2">
        <f>U273</f>
        <v>0</v>
      </c>
      <c r="V272" s="2">
        <f>V273</f>
        <v>1000000</v>
      </c>
      <c r="W272" s="2">
        <f t="shared" si="300"/>
        <v>1000000</v>
      </c>
      <c r="X272" s="2">
        <f t="shared" si="300"/>
        <v>0</v>
      </c>
      <c r="Y272" s="2">
        <f t="shared" si="300"/>
        <v>0</v>
      </c>
      <c r="Z272" s="2">
        <f t="shared" si="300"/>
        <v>1000000</v>
      </c>
      <c r="AA272" s="2">
        <f t="shared" si="300"/>
        <v>1000000</v>
      </c>
      <c r="AB272" s="2">
        <f t="shared" si="300"/>
        <v>0</v>
      </c>
      <c r="AC272" s="2">
        <f t="shared" si="300"/>
        <v>0</v>
      </c>
    </row>
    <row r="273" spans="1:29" ht="14.25" customHeight="1" x14ac:dyDescent="0.25">
      <c r="A273" s="291"/>
      <c r="B273" s="280" t="s">
        <v>118</v>
      </c>
      <c r="C273" s="291"/>
      <c r="D273" s="291"/>
      <c r="E273" s="173">
        <v>852</v>
      </c>
      <c r="F273" s="1" t="s">
        <v>36</v>
      </c>
      <c r="G273" s="17" t="s">
        <v>72</v>
      </c>
      <c r="H273" s="17" t="s">
        <v>749</v>
      </c>
      <c r="I273" s="1" t="s">
        <v>119</v>
      </c>
      <c r="J273" s="2"/>
      <c r="K273" s="2"/>
      <c r="L273" s="2"/>
      <c r="M273" s="2"/>
      <c r="N273" s="2"/>
      <c r="O273" s="2"/>
      <c r="P273" s="2"/>
      <c r="Q273" s="2"/>
      <c r="R273" s="2"/>
      <c r="S273" s="2"/>
      <c r="T273" s="2"/>
      <c r="U273" s="2"/>
      <c r="V273" s="2">
        <v>1000000</v>
      </c>
      <c r="W273" s="2">
        <f>V273</f>
        <v>1000000</v>
      </c>
      <c r="X273" s="2"/>
      <c r="Y273" s="2"/>
      <c r="Z273" s="2">
        <f t="shared" ref="Z273" si="301">U273+V273</f>
        <v>1000000</v>
      </c>
      <c r="AA273" s="2">
        <f>Z273</f>
        <v>1000000</v>
      </c>
      <c r="AB273" s="14"/>
      <c r="AC273" s="14"/>
    </row>
    <row r="274" spans="1:29" hidden="1" x14ac:dyDescent="0.25">
      <c r="A274" s="328" t="s">
        <v>127</v>
      </c>
      <c r="B274" s="328"/>
      <c r="C274" s="295"/>
      <c r="D274" s="295"/>
      <c r="E274" s="173">
        <v>852</v>
      </c>
      <c r="F274" s="10" t="s">
        <v>36</v>
      </c>
      <c r="G274" s="10" t="s">
        <v>36</v>
      </c>
      <c r="H274" s="10"/>
      <c r="I274" s="10"/>
      <c r="J274" s="11">
        <f t="shared" ref="J274:Y276" si="302">J275</f>
        <v>122200</v>
      </c>
      <c r="K274" s="11">
        <f t="shared" si="302"/>
        <v>0</v>
      </c>
      <c r="L274" s="11">
        <f t="shared" si="302"/>
        <v>122200</v>
      </c>
      <c r="M274" s="11">
        <f t="shared" si="302"/>
        <v>0</v>
      </c>
      <c r="N274" s="11">
        <f t="shared" si="302"/>
        <v>122200</v>
      </c>
      <c r="O274" s="11">
        <f t="shared" si="302"/>
        <v>0</v>
      </c>
      <c r="P274" s="11">
        <f t="shared" si="302"/>
        <v>122200</v>
      </c>
      <c r="Q274" s="11">
        <f t="shared" si="302"/>
        <v>0</v>
      </c>
      <c r="R274" s="11"/>
      <c r="S274" s="11"/>
      <c r="T274" s="11"/>
      <c r="U274" s="11">
        <f t="shared" si="302"/>
        <v>122200</v>
      </c>
      <c r="V274" s="11">
        <f t="shared" si="302"/>
        <v>0</v>
      </c>
      <c r="W274" s="11">
        <f t="shared" si="302"/>
        <v>0</v>
      </c>
      <c r="X274" s="11">
        <f t="shared" si="302"/>
        <v>0</v>
      </c>
      <c r="Y274" s="11">
        <f t="shared" si="302"/>
        <v>0</v>
      </c>
      <c r="Z274" s="11">
        <f t="shared" ref="V274:AC276" si="303">Z275</f>
        <v>122200</v>
      </c>
      <c r="AA274" s="11">
        <f t="shared" si="303"/>
        <v>0</v>
      </c>
      <c r="AB274" s="11">
        <f t="shared" si="303"/>
        <v>122200</v>
      </c>
      <c r="AC274" s="11">
        <f t="shared" si="303"/>
        <v>0</v>
      </c>
    </row>
    <row r="275" spans="1:29" ht="26.25" hidden="1" customHeight="1" x14ac:dyDescent="0.25">
      <c r="A275" s="324" t="s">
        <v>128</v>
      </c>
      <c r="B275" s="324"/>
      <c r="C275" s="291"/>
      <c r="D275" s="291"/>
      <c r="E275" s="173">
        <v>852</v>
      </c>
      <c r="F275" s="1" t="s">
        <v>36</v>
      </c>
      <c r="G275" s="1" t="s">
        <v>36</v>
      </c>
      <c r="H275" s="17" t="s">
        <v>401</v>
      </c>
      <c r="I275" s="1"/>
      <c r="J275" s="2">
        <f t="shared" si="302"/>
        <v>122200</v>
      </c>
      <c r="K275" s="2">
        <f t="shared" si="302"/>
        <v>0</v>
      </c>
      <c r="L275" s="2">
        <f t="shared" si="302"/>
        <v>122200</v>
      </c>
      <c r="M275" s="2">
        <f t="shared" si="302"/>
        <v>0</v>
      </c>
      <c r="N275" s="2">
        <f t="shared" si="302"/>
        <v>122200</v>
      </c>
      <c r="O275" s="2">
        <f t="shared" si="302"/>
        <v>0</v>
      </c>
      <c r="P275" s="2">
        <f t="shared" si="302"/>
        <v>122200</v>
      </c>
      <c r="Q275" s="2">
        <f t="shared" si="302"/>
        <v>0</v>
      </c>
      <c r="R275" s="2"/>
      <c r="S275" s="2"/>
      <c r="T275" s="2"/>
      <c r="U275" s="2">
        <f t="shared" si="302"/>
        <v>122200</v>
      </c>
      <c r="V275" s="2">
        <f t="shared" si="302"/>
        <v>0</v>
      </c>
      <c r="W275" s="2">
        <f t="shared" si="302"/>
        <v>0</v>
      </c>
      <c r="X275" s="2">
        <f t="shared" si="302"/>
        <v>0</v>
      </c>
      <c r="Y275" s="2">
        <f t="shared" si="302"/>
        <v>0</v>
      </c>
      <c r="Z275" s="2">
        <f t="shared" si="303"/>
        <v>122200</v>
      </c>
      <c r="AA275" s="2">
        <f t="shared" si="303"/>
        <v>0</v>
      </c>
      <c r="AB275" s="2">
        <f t="shared" si="303"/>
        <v>122200</v>
      </c>
      <c r="AC275" s="2">
        <f t="shared" si="303"/>
        <v>0</v>
      </c>
    </row>
    <row r="276" spans="1:29" ht="14.25" hidden="1" customHeight="1" x14ac:dyDescent="0.25">
      <c r="A276" s="14"/>
      <c r="B276" s="291" t="s">
        <v>27</v>
      </c>
      <c r="C276" s="301"/>
      <c r="D276" s="301"/>
      <c r="E276" s="173">
        <v>852</v>
      </c>
      <c r="F276" s="1" t="s">
        <v>36</v>
      </c>
      <c r="G276" s="1" t="s">
        <v>36</v>
      </c>
      <c r="H276" s="17" t="s">
        <v>401</v>
      </c>
      <c r="I276" s="1" t="s">
        <v>28</v>
      </c>
      <c r="J276" s="2">
        <f t="shared" si="302"/>
        <v>122200</v>
      </c>
      <c r="K276" s="2">
        <f t="shared" si="302"/>
        <v>0</v>
      </c>
      <c r="L276" s="2">
        <f t="shared" si="302"/>
        <v>122200</v>
      </c>
      <c r="M276" s="2">
        <f t="shared" si="302"/>
        <v>0</v>
      </c>
      <c r="N276" s="2">
        <f t="shared" si="302"/>
        <v>122200</v>
      </c>
      <c r="O276" s="2">
        <f t="shared" si="302"/>
        <v>0</v>
      </c>
      <c r="P276" s="2">
        <f t="shared" si="302"/>
        <v>122200</v>
      </c>
      <c r="Q276" s="2">
        <f t="shared" si="302"/>
        <v>0</v>
      </c>
      <c r="R276" s="2"/>
      <c r="S276" s="2"/>
      <c r="T276" s="2"/>
      <c r="U276" s="2">
        <f t="shared" si="302"/>
        <v>122200</v>
      </c>
      <c r="V276" s="2">
        <f t="shared" si="303"/>
        <v>0</v>
      </c>
      <c r="W276" s="2">
        <f t="shared" si="303"/>
        <v>0</v>
      </c>
      <c r="X276" s="2">
        <f t="shared" si="303"/>
        <v>0</v>
      </c>
      <c r="Y276" s="2">
        <f t="shared" si="303"/>
        <v>0</v>
      </c>
      <c r="Z276" s="2">
        <f t="shared" si="303"/>
        <v>122200</v>
      </c>
      <c r="AA276" s="2">
        <f t="shared" si="303"/>
        <v>0</v>
      </c>
      <c r="AB276" s="2">
        <f t="shared" si="303"/>
        <v>122200</v>
      </c>
      <c r="AC276" s="2">
        <f t="shared" si="303"/>
        <v>0</v>
      </c>
    </row>
    <row r="277" spans="1:29" ht="24" hidden="1" x14ac:dyDescent="0.25">
      <c r="A277" s="14"/>
      <c r="B277" s="291" t="s">
        <v>29</v>
      </c>
      <c r="C277" s="291"/>
      <c r="D277" s="291"/>
      <c r="E277" s="173">
        <v>852</v>
      </c>
      <c r="F277" s="1" t="s">
        <v>36</v>
      </c>
      <c r="G277" s="1" t="s">
        <v>36</v>
      </c>
      <c r="H277" s="17" t="s">
        <v>401</v>
      </c>
      <c r="I277" s="1" t="s">
        <v>30</v>
      </c>
      <c r="J277" s="2">
        <v>122200</v>
      </c>
      <c r="K277" s="2"/>
      <c r="L277" s="2">
        <f t="shared" si="226"/>
        <v>122200</v>
      </c>
      <c r="M277" s="2"/>
      <c r="N277" s="2">
        <f t="shared" ref="N277" si="304">L277+M277</f>
        <v>122200</v>
      </c>
      <c r="O277" s="2"/>
      <c r="P277" s="2">
        <f>N277+O277</f>
        <v>122200</v>
      </c>
      <c r="Q277" s="2"/>
      <c r="R277" s="2"/>
      <c r="S277" s="2"/>
      <c r="T277" s="2"/>
      <c r="U277" s="2">
        <f>P277+Q277</f>
        <v>122200</v>
      </c>
      <c r="V277" s="2"/>
      <c r="W277" s="2"/>
      <c r="X277" s="2">
        <f>V277</f>
        <v>0</v>
      </c>
      <c r="Y277" s="2"/>
      <c r="Z277" s="2">
        <f t="shared" ref="Z277" si="305">U277+V277</f>
        <v>122200</v>
      </c>
      <c r="AA277" s="14"/>
      <c r="AB277" s="2">
        <f>Z277</f>
        <v>122200</v>
      </c>
      <c r="AC277" s="14"/>
    </row>
    <row r="278" spans="1:29" x14ac:dyDescent="0.25">
      <c r="A278" s="328" t="s">
        <v>129</v>
      </c>
      <c r="B278" s="328"/>
      <c r="C278" s="295"/>
      <c r="D278" s="295"/>
      <c r="E278" s="173">
        <v>852</v>
      </c>
      <c r="F278" s="10" t="s">
        <v>36</v>
      </c>
      <c r="G278" s="10" t="s">
        <v>57</v>
      </c>
      <c r="H278" s="10"/>
      <c r="I278" s="10"/>
      <c r="J278" s="11">
        <f t="shared" ref="J278:O278" si="306">J279+J282+J292</f>
        <v>12067360</v>
      </c>
      <c r="K278" s="11">
        <f t="shared" si="306"/>
        <v>0</v>
      </c>
      <c r="L278" s="11">
        <f t="shared" si="306"/>
        <v>12067360</v>
      </c>
      <c r="M278" s="11">
        <f t="shared" si="306"/>
        <v>57314</v>
      </c>
      <c r="N278" s="11">
        <f t="shared" si="306"/>
        <v>12124674</v>
      </c>
      <c r="O278" s="11">
        <f t="shared" si="306"/>
        <v>0</v>
      </c>
      <c r="P278" s="11">
        <f>P279+P282+P292+P295</f>
        <v>12124674</v>
      </c>
      <c r="Q278" s="11">
        <f t="shared" ref="Q278:AC278" si="307">Q279+Q282+Q292+Q295</f>
        <v>425100</v>
      </c>
      <c r="R278" s="11">
        <f>SUM(R279:R297)</f>
        <v>0</v>
      </c>
      <c r="S278" s="11">
        <f t="shared" ref="S278:T278" si="308">SUM(S279:S297)</f>
        <v>425100</v>
      </c>
      <c r="T278" s="11">
        <f t="shared" si="308"/>
        <v>0</v>
      </c>
      <c r="U278" s="11">
        <f t="shared" si="307"/>
        <v>12549774</v>
      </c>
      <c r="V278" s="11">
        <f t="shared" si="307"/>
        <v>-212349.15</v>
      </c>
      <c r="W278" s="11">
        <f t="shared" si="307"/>
        <v>-131659.37</v>
      </c>
      <c r="X278" s="11">
        <f t="shared" si="307"/>
        <v>-80689.78</v>
      </c>
      <c r="Y278" s="11">
        <f t="shared" si="307"/>
        <v>0</v>
      </c>
      <c r="Z278" s="11">
        <f t="shared" si="307"/>
        <v>12337424.850000001</v>
      </c>
      <c r="AA278" s="11">
        <f t="shared" si="307"/>
        <v>1267400.6299999999</v>
      </c>
      <c r="AB278" s="11">
        <f t="shared" si="307"/>
        <v>11070024.220000001</v>
      </c>
      <c r="AC278" s="11">
        <f t="shared" si="307"/>
        <v>0</v>
      </c>
    </row>
    <row r="279" spans="1:29" ht="25.5" customHeight="1" x14ac:dyDescent="0.25">
      <c r="A279" s="324" t="s">
        <v>26</v>
      </c>
      <c r="B279" s="324"/>
      <c r="C279" s="173"/>
      <c r="D279" s="173"/>
      <c r="E279" s="173">
        <v>852</v>
      </c>
      <c r="F279" s="1" t="s">
        <v>36</v>
      </c>
      <c r="G279" s="1" t="s">
        <v>57</v>
      </c>
      <c r="H279" s="1" t="s">
        <v>405</v>
      </c>
      <c r="I279" s="1"/>
      <c r="J279" s="2">
        <f t="shared" ref="J279:Q280" si="309">J280</f>
        <v>836500</v>
      </c>
      <c r="K279" s="2">
        <f t="shared" si="309"/>
        <v>0</v>
      </c>
      <c r="L279" s="2">
        <f t="shared" si="309"/>
        <v>836500</v>
      </c>
      <c r="M279" s="2">
        <f t="shared" si="309"/>
        <v>0</v>
      </c>
      <c r="N279" s="2">
        <f t="shared" si="309"/>
        <v>836500</v>
      </c>
      <c r="O279" s="2">
        <f t="shared" si="309"/>
        <v>0</v>
      </c>
      <c r="P279" s="2">
        <f t="shared" si="309"/>
        <v>836500</v>
      </c>
      <c r="Q279" s="2">
        <f t="shared" si="309"/>
        <v>0</v>
      </c>
      <c r="R279" s="2"/>
      <c r="S279" s="2"/>
      <c r="T279" s="2"/>
      <c r="U279" s="2">
        <f t="shared" ref="U279:AC280" si="310">U280</f>
        <v>836500</v>
      </c>
      <c r="V279" s="2">
        <f t="shared" si="310"/>
        <v>-10689.78</v>
      </c>
      <c r="W279" s="2">
        <f t="shared" si="310"/>
        <v>0</v>
      </c>
      <c r="X279" s="2">
        <f t="shared" si="310"/>
        <v>-10689.78</v>
      </c>
      <c r="Y279" s="2">
        <f t="shared" si="310"/>
        <v>0</v>
      </c>
      <c r="Z279" s="2">
        <f t="shared" si="310"/>
        <v>825810.22</v>
      </c>
      <c r="AA279" s="2">
        <f t="shared" si="310"/>
        <v>0</v>
      </c>
      <c r="AB279" s="2">
        <f t="shared" si="310"/>
        <v>825810.22</v>
      </c>
      <c r="AC279" s="2">
        <f t="shared" si="310"/>
        <v>0</v>
      </c>
    </row>
    <row r="280" spans="1:29" ht="36.75" customHeight="1" x14ac:dyDescent="0.25">
      <c r="A280" s="14"/>
      <c r="B280" s="301" t="s">
        <v>21</v>
      </c>
      <c r="C280" s="173"/>
      <c r="D280" s="173"/>
      <c r="E280" s="173">
        <v>852</v>
      </c>
      <c r="F280" s="1" t="s">
        <v>36</v>
      </c>
      <c r="G280" s="1" t="s">
        <v>57</v>
      </c>
      <c r="H280" s="1" t="s">
        <v>405</v>
      </c>
      <c r="I280" s="1" t="s">
        <v>23</v>
      </c>
      <c r="J280" s="2">
        <f t="shared" si="309"/>
        <v>836500</v>
      </c>
      <c r="K280" s="2">
        <f t="shared" si="309"/>
        <v>0</v>
      </c>
      <c r="L280" s="2">
        <f t="shared" si="309"/>
        <v>836500</v>
      </c>
      <c r="M280" s="2">
        <f t="shared" si="309"/>
        <v>0</v>
      </c>
      <c r="N280" s="2">
        <f t="shared" si="309"/>
        <v>836500</v>
      </c>
      <c r="O280" s="2">
        <f t="shared" si="309"/>
        <v>0</v>
      </c>
      <c r="P280" s="2">
        <f t="shared" si="309"/>
        <v>836500</v>
      </c>
      <c r="Q280" s="2">
        <f t="shared" si="309"/>
        <v>0</v>
      </c>
      <c r="R280" s="2"/>
      <c r="S280" s="2"/>
      <c r="T280" s="2"/>
      <c r="U280" s="2">
        <f t="shared" si="310"/>
        <v>836500</v>
      </c>
      <c r="V280" s="2">
        <f t="shared" si="310"/>
        <v>-10689.78</v>
      </c>
      <c r="W280" s="2">
        <f t="shared" si="310"/>
        <v>0</v>
      </c>
      <c r="X280" s="2">
        <f t="shared" si="310"/>
        <v>-10689.78</v>
      </c>
      <c r="Y280" s="2">
        <f t="shared" si="310"/>
        <v>0</v>
      </c>
      <c r="Z280" s="2">
        <f t="shared" si="310"/>
        <v>825810.22</v>
      </c>
      <c r="AA280" s="2">
        <f t="shared" si="310"/>
        <v>0</v>
      </c>
      <c r="AB280" s="2">
        <f t="shared" si="310"/>
        <v>825810.22</v>
      </c>
      <c r="AC280" s="2">
        <f t="shared" si="310"/>
        <v>0</v>
      </c>
    </row>
    <row r="281" spans="1:29" ht="15.75" customHeight="1" x14ac:dyDescent="0.25">
      <c r="A281" s="14"/>
      <c r="B281" s="301" t="s">
        <v>24</v>
      </c>
      <c r="C281" s="173"/>
      <c r="D281" s="173"/>
      <c r="E281" s="173">
        <v>852</v>
      </c>
      <c r="F281" s="1" t="s">
        <v>36</v>
      </c>
      <c r="G281" s="1" t="s">
        <v>57</v>
      </c>
      <c r="H281" s="1" t="s">
        <v>405</v>
      </c>
      <c r="I281" s="1" t="s">
        <v>25</v>
      </c>
      <c r="J281" s="2">
        <f>825100+11400</f>
        <v>836500</v>
      </c>
      <c r="K281" s="2"/>
      <c r="L281" s="2">
        <f t="shared" si="226"/>
        <v>836500</v>
      </c>
      <c r="M281" s="2"/>
      <c r="N281" s="2">
        <f t="shared" ref="N281:N294" si="311">L281+M281</f>
        <v>836500</v>
      </c>
      <c r="O281" s="2"/>
      <c r="P281" s="2">
        <f>N281+O281</f>
        <v>836500</v>
      </c>
      <c r="Q281" s="2"/>
      <c r="R281" s="2"/>
      <c r="S281" s="2"/>
      <c r="T281" s="2"/>
      <c r="U281" s="2">
        <f>P281+Q281</f>
        <v>836500</v>
      </c>
      <c r="V281" s="2">
        <v>-10689.78</v>
      </c>
      <c r="W281" s="2"/>
      <c r="X281" s="2">
        <f>V281</f>
        <v>-10689.78</v>
      </c>
      <c r="Y281" s="2"/>
      <c r="Z281" s="2">
        <f t="shared" ref="Z281" si="312">U281+V281</f>
        <v>825810.22</v>
      </c>
      <c r="AA281" s="14"/>
      <c r="AB281" s="2">
        <f>Z281</f>
        <v>825810.22</v>
      </c>
      <c r="AC281" s="14"/>
    </row>
    <row r="282" spans="1:29" x14ac:dyDescent="0.25">
      <c r="A282" s="324" t="s">
        <v>130</v>
      </c>
      <c r="B282" s="324"/>
      <c r="C282" s="291"/>
      <c r="D282" s="291"/>
      <c r="E282" s="173">
        <v>852</v>
      </c>
      <c r="F282" s="1" t="s">
        <v>36</v>
      </c>
      <c r="G282" s="1" t="s">
        <v>57</v>
      </c>
      <c r="H282" s="1" t="s">
        <v>131</v>
      </c>
      <c r="I282" s="1"/>
      <c r="J282" s="2">
        <f t="shared" ref="J282:Q282" si="313">J283+J285+J287+J289</f>
        <v>9831800</v>
      </c>
      <c r="K282" s="2">
        <f t="shared" si="313"/>
        <v>0</v>
      </c>
      <c r="L282" s="2">
        <f t="shared" si="313"/>
        <v>9831800</v>
      </c>
      <c r="M282" s="2">
        <f t="shared" si="313"/>
        <v>57314</v>
      </c>
      <c r="N282" s="2">
        <f t="shared" si="313"/>
        <v>9889114</v>
      </c>
      <c r="O282" s="2">
        <f t="shared" si="313"/>
        <v>0</v>
      </c>
      <c r="P282" s="2">
        <f t="shared" si="313"/>
        <v>9889114</v>
      </c>
      <c r="Q282" s="2">
        <f t="shared" si="313"/>
        <v>384100</v>
      </c>
      <c r="R282" s="2"/>
      <c r="S282" s="2"/>
      <c r="T282" s="2"/>
      <c r="U282" s="2">
        <f t="shared" ref="U282:AC282" si="314">U283+U285+U287+U289</f>
        <v>10273214</v>
      </c>
      <c r="V282" s="2">
        <f t="shared" si="314"/>
        <v>-70000</v>
      </c>
      <c r="W282" s="2">
        <f t="shared" si="314"/>
        <v>0</v>
      </c>
      <c r="X282" s="2">
        <f t="shared" si="314"/>
        <v>-70000</v>
      </c>
      <c r="Y282" s="2">
        <f t="shared" si="314"/>
        <v>0</v>
      </c>
      <c r="Z282" s="2">
        <f t="shared" si="314"/>
        <v>10203214</v>
      </c>
      <c r="AA282" s="2">
        <f t="shared" si="314"/>
        <v>0</v>
      </c>
      <c r="AB282" s="2">
        <f t="shared" si="314"/>
        <v>10203214</v>
      </c>
      <c r="AC282" s="2">
        <f t="shared" si="314"/>
        <v>0</v>
      </c>
    </row>
    <row r="283" spans="1:29" ht="36.75" customHeight="1" x14ac:dyDescent="0.25">
      <c r="A283" s="14"/>
      <c r="B283" s="301" t="s">
        <v>21</v>
      </c>
      <c r="C283" s="173"/>
      <c r="D283" s="173"/>
      <c r="E283" s="173">
        <v>852</v>
      </c>
      <c r="F283" s="1" t="s">
        <v>36</v>
      </c>
      <c r="G283" s="1" t="s">
        <v>57</v>
      </c>
      <c r="H283" s="1" t="s">
        <v>131</v>
      </c>
      <c r="I283" s="1" t="s">
        <v>23</v>
      </c>
      <c r="J283" s="2">
        <f t="shared" ref="J283:Q283" si="315">J284</f>
        <v>2427300</v>
      </c>
      <c r="K283" s="2">
        <f t="shared" si="315"/>
        <v>0</v>
      </c>
      <c r="L283" s="2">
        <f t="shared" si="315"/>
        <v>2427300</v>
      </c>
      <c r="M283" s="2">
        <f t="shared" si="315"/>
        <v>1824</v>
      </c>
      <c r="N283" s="2">
        <f t="shared" si="315"/>
        <v>2429124</v>
      </c>
      <c r="O283" s="2">
        <f t="shared" si="315"/>
        <v>0</v>
      </c>
      <c r="P283" s="2">
        <f t="shared" si="315"/>
        <v>2429124</v>
      </c>
      <c r="Q283" s="2">
        <f t="shared" si="315"/>
        <v>0</v>
      </c>
      <c r="R283" s="2"/>
      <c r="S283" s="2"/>
      <c r="T283" s="2"/>
      <c r="U283" s="2">
        <f t="shared" ref="U283:AC283" si="316">U284</f>
        <v>2429124</v>
      </c>
      <c r="V283" s="2">
        <f t="shared" si="316"/>
        <v>-41786</v>
      </c>
      <c r="W283" s="2">
        <f t="shared" si="316"/>
        <v>0</v>
      </c>
      <c r="X283" s="2">
        <f t="shared" si="316"/>
        <v>-41786</v>
      </c>
      <c r="Y283" s="2">
        <f t="shared" si="316"/>
        <v>0</v>
      </c>
      <c r="Z283" s="2">
        <f t="shared" si="316"/>
        <v>2387338</v>
      </c>
      <c r="AA283" s="2">
        <f t="shared" si="316"/>
        <v>0</v>
      </c>
      <c r="AB283" s="2">
        <f t="shared" si="316"/>
        <v>2387338</v>
      </c>
      <c r="AC283" s="2">
        <f t="shared" si="316"/>
        <v>0</v>
      </c>
    </row>
    <row r="284" spans="1:29" ht="15" customHeight="1" x14ac:dyDescent="0.25">
      <c r="A284" s="14"/>
      <c r="B284" s="301" t="s">
        <v>24</v>
      </c>
      <c r="C284" s="173"/>
      <c r="D284" s="173"/>
      <c r="E284" s="173">
        <v>852</v>
      </c>
      <c r="F284" s="1" t="s">
        <v>36</v>
      </c>
      <c r="G284" s="1" t="s">
        <v>57</v>
      </c>
      <c r="H284" s="1" t="s">
        <v>131</v>
      </c>
      <c r="I284" s="1" t="s">
        <v>25</v>
      </c>
      <c r="J284" s="2">
        <f>1864300+563000</f>
        <v>2427300</v>
      </c>
      <c r="K284" s="2"/>
      <c r="L284" s="2">
        <f t="shared" ref="L284:L345" si="317">J284+K284</f>
        <v>2427300</v>
      </c>
      <c r="M284" s="2">
        <v>1824</v>
      </c>
      <c r="N284" s="2">
        <f t="shared" si="311"/>
        <v>2429124</v>
      </c>
      <c r="O284" s="2"/>
      <c r="P284" s="2">
        <f>N284+O284</f>
        <v>2429124</v>
      </c>
      <c r="Q284" s="2"/>
      <c r="R284" s="2"/>
      <c r="S284" s="2"/>
      <c r="T284" s="2"/>
      <c r="U284" s="2">
        <f>P284+Q284</f>
        <v>2429124</v>
      </c>
      <c r="V284" s="2">
        <f>-40327-1459</f>
        <v>-41786</v>
      </c>
      <c r="W284" s="2"/>
      <c r="X284" s="2">
        <f>V284</f>
        <v>-41786</v>
      </c>
      <c r="Y284" s="2"/>
      <c r="Z284" s="2">
        <f t="shared" ref="Z284" si="318">U284+V284</f>
        <v>2387338</v>
      </c>
      <c r="AA284" s="14"/>
      <c r="AB284" s="2">
        <f>Z284</f>
        <v>2387338</v>
      </c>
      <c r="AC284" s="14"/>
    </row>
    <row r="285" spans="1:29" ht="15" customHeight="1" x14ac:dyDescent="0.25">
      <c r="A285" s="301"/>
      <c r="B285" s="291" t="s">
        <v>27</v>
      </c>
      <c r="C285" s="301"/>
      <c r="D285" s="301"/>
      <c r="E285" s="173">
        <v>852</v>
      </c>
      <c r="F285" s="1" t="s">
        <v>36</v>
      </c>
      <c r="G285" s="1" t="s">
        <v>57</v>
      </c>
      <c r="H285" s="1" t="s">
        <v>131</v>
      </c>
      <c r="I285" s="1" t="s">
        <v>28</v>
      </c>
      <c r="J285" s="2">
        <f t="shared" ref="J285:Q285" si="319">J286</f>
        <v>505100</v>
      </c>
      <c r="K285" s="2">
        <f t="shared" si="319"/>
        <v>0</v>
      </c>
      <c r="L285" s="2">
        <f t="shared" si="319"/>
        <v>505100</v>
      </c>
      <c r="M285" s="2">
        <f t="shared" si="319"/>
        <v>-1824</v>
      </c>
      <c r="N285" s="2">
        <f t="shared" si="319"/>
        <v>503276</v>
      </c>
      <c r="O285" s="2">
        <f t="shared" si="319"/>
        <v>0</v>
      </c>
      <c r="P285" s="2">
        <f t="shared" si="319"/>
        <v>503276</v>
      </c>
      <c r="Q285" s="2">
        <f t="shared" si="319"/>
        <v>0</v>
      </c>
      <c r="R285" s="2"/>
      <c r="S285" s="2"/>
      <c r="T285" s="2"/>
      <c r="U285" s="2">
        <f t="shared" ref="U285:AC285" si="320">U286</f>
        <v>503276</v>
      </c>
      <c r="V285" s="2">
        <f t="shared" si="320"/>
        <v>-23010</v>
      </c>
      <c r="W285" s="2">
        <f t="shared" si="320"/>
        <v>0</v>
      </c>
      <c r="X285" s="2">
        <f t="shared" si="320"/>
        <v>-23010</v>
      </c>
      <c r="Y285" s="2">
        <f t="shared" si="320"/>
        <v>0</v>
      </c>
      <c r="Z285" s="2">
        <f t="shared" si="320"/>
        <v>480266</v>
      </c>
      <c r="AA285" s="2">
        <f t="shared" si="320"/>
        <v>0</v>
      </c>
      <c r="AB285" s="2">
        <f t="shared" si="320"/>
        <v>480266</v>
      </c>
      <c r="AC285" s="2">
        <f t="shared" si="320"/>
        <v>0</v>
      </c>
    </row>
    <row r="286" spans="1:29" ht="12.75" customHeight="1" x14ac:dyDescent="0.25">
      <c r="A286" s="301"/>
      <c r="B286" s="291" t="s">
        <v>29</v>
      </c>
      <c r="C286" s="291"/>
      <c r="D286" s="291"/>
      <c r="E286" s="173">
        <v>852</v>
      </c>
      <c r="F286" s="1" t="s">
        <v>36</v>
      </c>
      <c r="G286" s="1" t="s">
        <v>57</v>
      </c>
      <c r="H286" s="1" t="s">
        <v>131</v>
      </c>
      <c r="I286" s="1" t="s">
        <v>30</v>
      </c>
      <c r="J286" s="2">
        <f>2944406-J284-J290-6</f>
        <v>505100</v>
      </c>
      <c r="K286" s="2"/>
      <c r="L286" s="2">
        <f t="shared" si="317"/>
        <v>505100</v>
      </c>
      <c r="M286" s="2">
        <f>-1824</f>
        <v>-1824</v>
      </c>
      <c r="N286" s="2">
        <f t="shared" si="311"/>
        <v>503276</v>
      </c>
      <c r="O286" s="2"/>
      <c r="P286" s="2">
        <f>N286+O286</f>
        <v>503276</v>
      </c>
      <c r="Q286" s="2"/>
      <c r="R286" s="2"/>
      <c r="S286" s="2"/>
      <c r="T286" s="2"/>
      <c r="U286" s="2">
        <f>P286+Q286</f>
        <v>503276</v>
      </c>
      <c r="V286" s="2">
        <v>-23010</v>
      </c>
      <c r="W286" s="2"/>
      <c r="X286" s="2">
        <f>V286</f>
        <v>-23010</v>
      </c>
      <c r="Y286" s="2"/>
      <c r="Z286" s="2">
        <f t="shared" ref="Z286" si="321">U286+V286</f>
        <v>480266</v>
      </c>
      <c r="AA286" s="14"/>
      <c r="AB286" s="2">
        <f>Z286</f>
        <v>480266</v>
      </c>
      <c r="AC286" s="14"/>
    </row>
    <row r="287" spans="1:29" ht="24" hidden="1" customHeight="1" x14ac:dyDescent="0.25">
      <c r="A287" s="291"/>
      <c r="B287" s="291" t="s">
        <v>90</v>
      </c>
      <c r="C287" s="291"/>
      <c r="D287" s="291"/>
      <c r="E287" s="173">
        <v>852</v>
      </c>
      <c r="F287" s="1" t="s">
        <v>36</v>
      </c>
      <c r="G287" s="1" t="s">
        <v>57</v>
      </c>
      <c r="H287" s="1" t="s">
        <v>131</v>
      </c>
      <c r="I287" s="1" t="s">
        <v>86</v>
      </c>
      <c r="J287" s="2">
        <f t="shared" ref="J287:Q287" si="322">J288</f>
        <v>6887400</v>
      </c>
      <c r="K287" s="2">
        <f t="shared" si="322"/>
        <v>0</v>
      </c>
      <c r="L287" s="2">
        <f t="shared" si="322"/>
        <v>6887400</v>
      </c>
      <c r="M287" s="2">
        <f t="shared" si="322"/>
        <v>57314</v>
      </c>
      <c r="N287" s="2">
        <f t="shared" si="322"/>
        <v>6944714</v>
      </c>
      <c r="O287" s="2">
        <f t="shared" si="322"/>
        <v>0</v>
      </c>
      <c r="P287" s="2">
        <f t="shared" si="322"/>
        <v>6944714</v>
      </c>
      <c r="Q287" s="2">
        <f t="shared" si="322"/>
        <v>384100</v>
      </c>
      <c r="R287" s="2"/>
      <c r="S287" s="2"/>
      <c r="T287" s="2"/>
      <c r="U287" s="2">
        <f t="shared" ref="U287:AC287" si="323">U288</f>
        <v>7328814</v>
      </c>
      <c r="V287" s="2">
        <f t="shared" si="323"/>
        <v>0</v>
      </c>
      <c r="W287" s="2">
        <f t="shared" si="323"/>
        <v>0</v>
      </c>
      <c r="X287" s="2">
        <f t="shared" si="323"/>
        <v>0</v>
      </c>
      <c r="Y287" s="2">
        <f t="shared" si="323"/>
        <v>0</v>
      </c>
      <c r="Z287" s="2">
        <f t="shared" si="323"/>
        <v>7328814</v>
      </c>
      <c r="AA287" s="2">
        <f t="shared" si="323"/>
        <v>0</v>
      </c>
      <c r="AB287" s="2">
        <f t="shared" si="323"/>
        <v>7328814</v>
      </c>
      <c r="AC287" s="2">
        <f t="shared" si="323"/>
        <v>0</v>
      </c>
    </row>
    <row r="288" spans="1:29" ht="36.75" hidden="1" customHeight="1" x14ac:dyDescent="0.25">
      <c r="A288" s="291"/>
      <c r="B288" s="291" t="s">
        <v>87</v>
      </c>
      <c r="C288" s="291"/>
      <c r="D288" s="291"/>
      <c r="E288" s="173">
        <v>852</v>
      </c>
      <c r="F288" s="1" t="s">
        <v>36</v>
      </c>
      <c r="G288" s="1" t="s">
        <v>57</v>
      </c>
      <c r="H288" s="1" t="s">
        <v>131</v>
      </c>
      <c r="I288" s="1" t="s">
        <v>88</v>
      </c>
      <c r="J288" s="2">
        <v>6887400</v>
      </c>
      <c r="K288" s="2"/>
      <c r="L288" s="2">
        <f t="shared" si="317"/>
        <v>6887400</v>
      </c>
      <c r="M288" s="2">
        <v>57314</v>
      </c>
      <c r="N288" s="2">
        <f t="shared" si="311"/>
        <v>6944714</v>
      </c>
      <c r="O288" s="2"/>
      <c r="P288" s="2">
        <f>N288+O288</f>
        <v>6944714</v>
      </c>
      <c r="Q288" s="2">
        <v>384100</v>
      </c>
      <c r="R288" s="2"/>
      <c r="S288" s="2">
        <v>384100</v>
      </c>
      <c r="T288" s="2"/>
      <c r="U288" s="2">
        <f>P288+Q288</f>
        <v>7328814</v>
      </c>
      <c r="V288" s="2"/>
      <c r="W288" s="2"/>
      <c r="X288" s="2"/>
      <c r="Y288" s="2"/>
      <c r="Z288" s="2">
        <f t="shared" ref="Z288" si="324">U288+V288</f>
        <v>7328814</v>
      </c>
      <c r="AA288" s="14"/>
      <c r="AB288" s="2">
        <f>Z288</f>
        <v>7328814</v>
      </c>
      <c r="AC288" s="14"/>
    </row>
    <row r="289" spans="1:29" x14ac:dyDescent="0.25">
      <c r="A289" s="291"/>
      <c r="B289" s="291" t="s">
        <v>31</v>
      </c>
      <c r="C289" s="291"/>
      <c r="D289" s="291"/>
      <c r="E289" s="173">
        <v>852</v>
      </c>
      <c r="F289" s="1" t="s">
        <v>36</v>
      </c>
      <c r="G289" s="1" t="s">
        <v>57</v>
      </c>
      <c r="H289" s="1" t="s">
        <v>131</v>
      </c>
      <c r="I289" s="1" t="s">
        <v>32</v>
      </c>
      <c r="J289" s="2">
        <f t="shared" ref="J289:O289" si="325">J290</f>
        <v>12000</v>
      </c>
      <c r="K289" s="2">
        <f t="shared" si="325"/>
        <v>0</v>
      </c>
      <c r="L289" s="2">
        <f t="shared" si="325"/>
        <v>12000</v>
      </c>
      <c r="M289" s="2">
        <f t="shared" si="325"/>
        <v>0</v>
      </c>
      <c r="N289" s="2">
        <f t="shared" si="325"/>
        <v>12000</v>
      </c>
      <c r="O289" s="2">
        <f t="shared" si="325"/>
        <v>0</v>
      </c>
      <c r="P289" s="2">
        <f>P290+P291</f>
        <v>12000</v>
      </c>
      <c r="Q289" s="2">
        <f t="shared" ref="Q289:AC289" si="326">Q290+Q291</f>
        <v>0</v>
      </c>
      <c r="R289" s="2"/>
      <c r="S289" s="2"/>
      <c r="T289" s="2"/>
      <c r="U289" s="2">
        <f t="shared" si="326"/>
        <v>12000</v>
      </c>
      <c r="V289" s="2">
        <f t="shared" si="326"/>
        <v>-5204</v>
      </c>
      <c r="W289" s="2">
        <f t="shared" si="326"/>
        <v>0</v>
      </c>
      <c r="X289" s="2">
        <f t="shared" si="326"/>
        <v>-5204</v>
      </c>
      <c r="Y289" s="2">
        <f t="shared" si="326"/>
        <v>0</v>
      </c>
      <c r="Z289" s="2">
        <f t="shared" si="326"/>
        <v>6796</v>
      </c>
      <c r="AA289" s="2">
        <f t="shared" si="326"/>
        <v>0</v>
      </c>
      <c r="AB289" s="2">
        <f t="shared" si="326"/>
        <v>6796</v>
      </c>
      <c r="AC289" s="2">
        <f t="shared" si="326"/>
        <v>0</v>
      </c>
    </row>
    <row r="290" spans="1:29" ht="14.25" customHeight="1" x14ac:dyDescent="0.25">
      <c r="A290" s="291"/>
      <c r="B290" s="291" t="s">
        <v>33</v>
      </c>
      <c r="C290" s="291"/>
      <c r="D290" s="291"/>
      <c r="E290" s="173">
        <v>852</v>
      </c>
      <c r="F290" s="1" t="s">
        <v>36</v>
      </c>
      <c r="G290" s="1" t="s">
        <v>57</v>
      </c>
      <c r="H290" s="1" t="s">
        <v>131</v>
      </c>
      <c r="I290" s="1" t="s">
        <v>34</v>
      </c>
      <c r="J290" s="2">
        <v>12000</v>
      </c>
      <c r="K290" s="2"/>
      <c r="L290" s="2">
        <f t="shared" si="317"/>
        <v>12000</v>
      </c>
      <c r="M290" s="2"/>
      <c r="N290" s="2">
        <f t="shared" si="311"/>
        <v>12000</v>
      </c>
      <c r="O290" s="2"/>
      <c r="P290" s="2">
        <f>N290+O290</f>
        <v>12000</v>
      </c>
      <c r="Q290" s="2">
        <v>-563</v>
      </c>
      <c r="R290" s="2"/>
      <c r="S290" s="2">
        <v>-563</v>
      </c>
      <c r="T290" s="2"/>
      <c r="U290" s="2">
        <f>P290+Q290</f>
        <v>11437</v>
      </c>
      <c r="V290" s="2">
        <v>-5204</v>
      </c>
      <c r="W290" s="2"/>
      <c r="X290" s="2">
        <f>V290</f>
        <v>-5204</v>
      </c>
      <c r="Y290" s="2"/>
      <c r="Z290" s="2">
        <f t="shared" ref="Z290:Z291" si="327">U290+V290</f>
        <v>6233</v>
      </c>
      <c r="AA290" s="14"/>
      <c r="AB290" s="2">
        <f>Z290</f>
        <v>6233</v>
      </c>
      <c r="AC290" s="14"/>
    </row>
    <row r="291" spans="1:29" ht="14.25" customHeight="1" x14ac:dyDescent="0.25">
      <c r="A291" s="291"/>
      <c r="B291" s="301" t="s">
        <v>435</v>
      </c>
      <c r="C291" s="291"/>
      <c r="D291" s="291"/>
      <c r="E291" s="173">
        <v>852</v>
      </c>
      <c r="F291" s="1" t="s">
        <v>36</v>
      </c>
      <c r="G291" s="1" t="s">
        <v>57</v>
      </c>
      <c r="H291" s="1" t="s">
        <v>131</v>
      </c>
      <c r="I291" s="1" t="s">
        <v>35</v>
      </c>
      <c r="J291" s="2"/>
      <c r="K291" s="2"/>
      <c r="L291" s="2"/>
      <c r="M291" s="2"/>
      <c r="N291" s="2"/>
      <c r="O291" s="2"/>
      <c r="P291" s="2"/>
      <c r="Q291" s="2">
        <v>563</v>
      </c>
      <c r="R291" s="2"/>
      <c r="S291" s="2">
        <v>563</v>
      </c>
      <c r="T291" s="2"/>
      <c r="U291" s="2">
        <f>P291+Q291</f>
        <v>563</v>
      </c>
      <c r="V291" s="2"/>
      <c r="W291" s="2"/>
      <c r="X291" s="2"/>
      <c r="Y291" s="2"/>
      <c r="Z291" s="2">
        <f t="shared" si="327"/>
        <v>563</v>
      </c>
      <c r="AA291" s="14"/>
      <c r="AB291" s="2">
        <f>Z291</f>
        <v>563</v>
      </c>
      <c r="AC291" s="14"/>
    </row>
    <row r="292" spans="1:29" s="12" customFormat="1" ht="38.25" customHeight="1" x14ac:dyDescent="0.25">
      <c r="A292" s="324" t="s">
        <v>112</v>
      </c>
      <c r="B292" s="324"/>
      <c r="C292" s="295"/>
      <c r="D292" s="295"/>
      <c r="E292" s="173">
        <v>852</v>
      </c>
      <c r="F292" s="1" t="s">
        <v>36</v>
      </c>
      <c r="G292" s="1" t="s">
        <v>57</v>
      </c>
      <c r="H292" s="1" t="s">
        <v>113</v>
      </c>
      <c r="I292" s="1"/>
      <c r="J292" s="2">
        <f t="shared" ref="J292:Q296" si="328">J293</f>
        <v>1399060</v>
      </c>
      <c r="K292" s="2">
        <f t="shared" si="328"/>
        <v>0</v>
      </c>
      <c r="L292" s="2">
        <f t="shared" si="328"/>
        <v>1399060</v>
      </c>
      <c r="M292" s="2">
        <f t="shared" si="328"/>
        <v>0</v>
      </c>
      <c r="N292" s="2">
        <f t="shared" si="328"/>
        <v>1399060</v>
      </c>
      <c r="O292" s="2">
        <f t="shared" si="328"/>
        <v>0</v>
      </c>
      <c r="P292" s="2">
        <f t="shared" si="328"/>
        <v>1399060</v>
      </c>
      <c r="Q292" s="2">
        <f t="shared" si="328"/>
        <v>0</v>
      </c>
      <c r="R292" s="2"/>
      <c r="S292" s="2"/>
      <c r="T292" s="2"/>
      <c r="U292" s="2">
        <f t="shared" ref="U292:AC296" si="329">U293</f>
        <v>1399060</v>
      </c>
      <c r="V292" s="2">
        <f t="shared" si="329"/>
        <v>-131659.37</v>
      </c>
      <c r="W292" s="2">
        <f t="shared" si="329"/>
        <v>-131659.37</v>
      </c>
      <c r="X292" s="2">
        <f t="shared" si="329"/>
        <v>0</v>
      </c>
      <c r="Y292" s="2">
        <f t="shared" si="329"/>
        <v>0</v>
      </c>
      <c r="Z292" s="2">
        <f t="shared" si="329"/>
        <v>1267400.6299999999</v>
      </c>
      <c r="AA292" s="2">
        <f t="shared" si="329"/>
        <v>1267400.6299999999</v>
      </c>
      <c r="AB292" s="2">
        <f t="shared" si="329"/>
        <v>0</v>
      </c>
      <c r="AC292" s="2">
        <f t="shared" si="329"/>
        <v>0</v>
      </c>
    </row>
    <row r="293" spans="1:29" s="12" customFormat="1" ht="14.25" customHeight="1" x14ac:dyDescent="0.25">
      <c r="A293" s="291"/>
      <c r="B293" s="291" t="s">
        <v>98</v>
      </c>
      <c r="C293" s="295"/>
      <c r="D293" s="295"/>
      <c r="E293" s="173">
        <v>852</v>
      </c>
      <c r="F293" s="1" t="s">
        <v>36</v>
      </c>
      <c r="G293" s="1" t="s">
        <v>57</v>
      </c>
      <c r="H293" s="1" t="s">
        <v>113</v>
      </c>
      <c r="I293" s="1" t="s">
        <v>99</v>
      </c>
      <c r="J293" s="2">
        <f t="shared" si="328"/>
        <v>1399060</v>
      </c>
      <c r="K293" s="2">
        <f t="shared" si="328"/>
        <v>0</v>
      </c>
      <c r="L293" s="2">
        <f t="shared" si="328"/>
        <v>1399060</v>
      </c>
      <c r="M293" s="2">
        <f t="shared" si="328"/>
        <v>0</v>
      </c>
      <c r="N293" s="2">
        <f t="shared" si="328"/>
        <v>1399060</v>
      </c>
      <c r="O293" s="2">
        <f t="shared" si="328"/>
        <v>0</v>
      </c>
      <c r="P293" s="2">
        <f t="shared" si="328"/>
        <v>1399060</v>
      </c>
      <c r="Q293" s="2">
        <f t="shared" si="328"/>
        <v>0</v>
      </c>
      <c r="R293" s="2"/>
      <c r="S293" s="2"/>
      <c r="T293" s="2"/>
      <c r="U293" s="2">
        <f t="shared" si="329"/>
        <v>1399060</v>
      </c>
      <c r="V293" s="2">
        <f t="shared" si="329"/>
        <v>-131659.37</v>
      </c>
      <c r="W293" s="2">
        <f t="shared" si="329"/>
        <v>-131659.37</v>
      </c>
      <c r="X293" s="2">
        <f t="shared" si="329"/>
        <v>0</v>
      </c>
      <c r="Y293" s="2">
        <f t="shared" si="329"/>
        <v>0</v>
      </c>
      <c r="Z293" s="2">
        <f t="shared" si="329"/>
        <v>1267400.6299999999</v>
      </c>
      <c r="AA293" s="2">
        <f t="shared" si="329"/>
        <v>1267400.6299999999</v>
      </c>
      <c r="AB293" s="2">
        <f t="shared" si="329"/>
        <v>0</v>
      </c>
      <c r="AC293" s="2">
        <f t="shared" si="329"/>
        <v>0</v>
      </c>
    </row>
    <row r="294" spans="1:29" s="12" customFormat="1" ht="24" customHeight="1" x14ac:dyDescent="0.25">
      <c r="A294" s="291"/>
      <c r="B294" s="291" t="s">
        <v>132</v>
      </c>
      <c r="C294" s="295"/>
      <c r="D294" s="295"/>
      <c r="E294" s="173">
        <v>852</v>
      </c>
      <c r="F294" s="1" t="s">
        <v>36</v>
      </c>
      <c r="G294" s="1" t="s">
        <v>57</v>
      </c>
      <c r="H294" s="1" t="s">
        <v>113</v>
      </c>
      <c r="I294" s="1" t="s">
        <v>100</v>
      </c>
      <c r="J294" s="2">
        <v>1399060</v>
      </c>
      <c r="K294" s="2"/>
      <c r="L294" s="2">
        <f t="shared" si="317"/>
        <v>1399060</v>
      </c>
      <c r="M294" s="2"/>
      <c r="N294" s="2">
        <f t="shared" si="311"/>
        <v>1399060</v>
      </c>
      <c r="O294" s="2"/>
      <c r="P294" s="2">
        <f>N294+O294</f>
        <v>1399060</v>
      </c>
      <c r="Q294" s="2"/>
      <c r="R294" s="2"/>
      <c r="S294" s="2"/>
      <c r="T294" s="2"/>
      <c r="U294" s="2">
        <f>P294+Q294</f>
        <v>1399060</v>
      </c>
      <c r="V294" s="2">
        <v>-131659.37</v>
      </c>
      <c r="W294" s="2">
        <f>V294</f>
        <v>-131659.37</v>
      </c>
      <c r="X294" s="2"/>
      <c r="Y294" s="2"/>
      <c r="Z294" s="2">
        <f t="shared" ref="Z294" si="330">U294+V294</f>
        <v>1267400.6299999999</v>
      </c>
      <c r="AA294" s="2">
        <f>Z294</f>
        <v>1267400.6299999999</v>
      </c>
      <c r="AB294" s="305"/>
      <c r="AC294" s="305"/>
    </row>
    <row r="295" spans="1:29" s="12" customFormat="1" ht="26.25" hidden="1" customHeight="1" x14ac:dyDescent="0.25">
      <c r="A295" s="324" t="s">
        <v>120</v>
      </c>
      <c r="B295" s="324"/>
      <c r="C295" s="291"/>
      <c r="D295" s="291"/>
      <c r="E295" s="173">
        <v>852</v>
      </c>
      <c r="F295" s="17" t="s">
        <v>36</v>
      </c>
      <c r="G295" s="17" t="s">
        <v>57</v>
      </c>
      <c r="H295" s="17" t="s">
        <v>121</v>
      </c>
      <c r="I295" s="1"/>
      <c r="J295" s="2"/>
      <c r="K295" s="2"/>
      <c r="L295" s="2"/>
      <c r="M295" s="2"/>
      <c r="N295" s="2"/>
      <c r="O295" s="2"/>
      <c r="P295" s="2">
        <f t="shared" si="328"/>
        <v>0</v>
      </c>
      <c r="Q295" s="2">
        <f t="shared" si="328"/>
        <v>41000</v>
      </c>
      <c r="R295" s="2"/>
      <c r="S295" s="2"/>
      <c r="T295" s="2"/>
      <c r="U295" s="2">
        <f t="shared" si="329"/>
        <v>41000</v>
      </c>
      <c r="V295" s="2">
        <f t="shared" si="329"/>
        <v>0</v>
      </c>
      <c r="W295" s="2">
        <f t="shared" si="329"/>
        <v>0</v>
      </c>
      <c r="X295" s="2">
        <f t="shared" si="329"/>
        <v>0</v>
      </c>
      <c r="Y295" s="2">
        <f t="shared" si="329"/>
        <v>0</v>
      </c>
      <c r="Z295" s="2">
        <f t="shared" si="329"/>
        <v>41000</v>
      </c>
      <c r="AA295" s="2">
        <f t="shared" si="329"/>
        <v>0</v>
      </c>
      <c r="AB295" s="2">
        <f t="shared" si="329"/>
        <v>41000</v>
      </c>
      <c r="AC295" s="2">
        <f t="shared" si="329"/>
        <v>0</v>
      </c>
    </row>
    <row r="296" spans="1:29" s="12" customFormat="1" ht="26.25" hidden="1" customHeight="1" x14ac:dyDescent="0.25">
      <c r="A296" s="291"/>
      <c r="B296" s="170" t="s">
        <v>90</v>
      </c>
      <c r="C296" s="291"/>
      <c r="D296" s="291"/>
      <c r="E296" s="173">
        <v>852</v>
      </c>
      <c r="F296" s="1" t="s">
        <v>36</v>
      </c>
      <c r="G296" s="17" t="s">
        <v>57</v>
      </c>
      <c r="H296" s="17" t="s">
        <v>121</v>
      </c>
      <c r="I296" s="1" t="s">
        <v>86</v>
      </c>
      <c r="J296" s="2"/>
      <c r="K296" s="2"/>
      <c r="L296" s="2"/>
      <c r="M296" s="2"/>
      <c r="N296" s="2"/>
      <c r="O296" s="2"/>
      <c r="P296" s="2">
        <f t="shared" si="328"/>
        <v>0</v>
      </c>
      <c r="Q296" s="2">
        <f t="shared" si="328"/>
        <v>41000</v>
      </c>
      <c r="R296" s="2"/>
      <c r="S296" s="2"/>
      <c r="T296" s="2"/>
      <c r="U296" s="2">
        <f t="shared" si="329"/>
        <v>41000</v>
      </c>
      <c r="V296" s="2">
        <f t="shared" si="329"/>
        <v>0</v>
      </c>
      <c r="W296" s="2">
        <f t="shared" si="329"/>
        <v>0</v>
      </c>
      <c r="X296" s="2">
        <f t="shared" si="329"/>
        <v>0</v>
      </c>
      <c r="Y296" s="2">
        <f t="shared" si="329"/>
        <v>0</v>
      </c>
      <c r="Z296" s="2">
        <f t="shared" si="329"/>
        <v>41000</v>
      </c>
      <c r="AA296" s="2">
        <f t="shared" si="329"/>
        <v>0</v>
      </c>
      <c r="AB296" s="2">
        <f t="shared" si="329"/>
        <v>41000</v>
      </c>
      <c r="AC296" s="2">
        <f t="shared" si="329"/>
        <v>0</v>
      </c>
    </row>
    <row r="297" spans="1:29" s="12" customFormat="1" ht="12.75" hidden="1" customHeight="1" x14ac:dyDescent="0.25">
      <c r="A297" s="291"/>
      <c r="B297" s="170" t="s">
        <v>118</v>
      </c>
      <c r="C297" s="291"/>
      <c r="D297" s="291"/>
      <c r="E297" s="173">
        <v>852</v>
      </c>
      <c r="F297" s="1" t="s">
        <v>36</v>
      </c>
      <c r="G297" s="17" t="s">
        <v>57</v>
      </c>
      <c r="H297" s="17" t="s">
        <v>121</v>
      </c>
      <c r="I297" s="1" t="s">
        <v>119</v>
      </c>
      <c r="J297" s="2"/>
      <c r="K297" s="2"/>
      <c r="L297" s="2"/>
      <c r="M297" s="2"/>
      <c r="N297" s="2"/>
      <c r="O297" s="2"/>
      <c r="P297" s="2">
        <f>N297+O297</f>
        <v>0</v>
      </c>
      <c r="Q297" s="2">
        <v>41000</v>
      </c>
      <c r="R297" s="2"/>
      <c r="S297" s="2">
        <v>41000</v>
      </c>
      <c r="T297" s="2"/>
      <c r="U297" s="2">
        <f>P297+Q297</f>
        <v>41000</v>
      </c>
      <c r="V297" s="2"/>
      <c r="W297" s="2"/>
      <c r="X297" s="2">
        <f>V297</f>
        <v>0</v>
      </c>
      <c r="Y297" s="2"/>
      <c r="Z297" s="2">
        <f t="shared" ref="Z297" si="331">U297+V297</f>
        <v>41000</v>
      </c>
      <c r="AA297" s="305"/>
      <c r="AB297" s="2">
        <f>Z297</f>
        <v>41000</v>
      </c>
      <c r="AC297" s="305"/>
    </row>
    <row r="298" spans="1:29" x14ac:dyDescent="0.25">
      <c r="A298" s="325" t="s">
        <v>95</v>
      </c>
      <c r="B298" s="325"/>
      <c r="C298" s="292"/>
      <c r="D298" s="292"/>
      <c r="E298" s="173">
        <v>852</v>
      </c>
      <c r="F298" s="6" t="s">
        <v>0</v>
      </c>
      <c r="G298" s="6"/>
      <c r="H298" s="6"/>
      <c r="I298" s="6"/>
      <c r="J298" s="7">
        <f t="shared" ref="J298:AC298" si="332">J299+J303+J315</f>
        <v>9232836</v>
      </c>
      <c r="K298" s="7">
        <f t="shared" si="332"/>
        <v>0</v>
      </c>
      <c r="L298" s="7">
        <f t="shared" si="332"/>
        <v>9232836</v>
      </c>
      <c r="M298" s="7">
        <f t="shared" si="332"/>
        <v>168136</v>
      </c>
      <c r="N298" s="7">
        <f t="shared" si="332"/>
        <v>9400972</v>
      </c>
      <c r="O298" s="7">
        <f t="shared" si="332"/>
        <v>0</v>
      </c>
      <c r="P298" s="7">
        <f t="shared" si="332"/>
        <v>9400972</v>
      </c>
      <c r="Q298" s="7">
        <f t="shared" si="332"/>
        <v>44677.91</v>
      </c>
      <c r="R298" s="7">
        <f t="shared" si="332"/>
        <v>44677.91</v>
      </c>
      <c r="S298" s="7">
        <f t="shared" si="332"/>
        <v>0</v>
      </c>
      <c r="T298" s="7">
        <f t="shared" si="332"/>
        <v>0</v>
      </c>
      <c r="U298" s="7">
        <f t="shared" si="332"/>
        <v>9445649.9100000001</v>
      </c>
      <c r="V298" s="7">
        <f t="shared" si="332"/>
        <v>-336921</v>
      </c>
      <c r="W298" s="7">
        <f t="shared" si="332"/>
        <v>-336921</v>
      </c>
      <c r="X298" s="7">
        <f t="shared" si="332"/>
        <v>0</v>
      </c>
      <c r="Y298" s="7">
        <f t="shared" si="332"/>
        <v>0</v>
      </c>
      <c r="Z298" s="7">
        <f t="shared" si="332"/>
        <v>9108728.9100000001</v>
      </c>
      <c r="AA298" s="7">
        <f t="shared" si="332"/>
        <v>9108728.9100000001</v>
      </c>
      <c r="AB298" s="7">
        <f t="shared" si="332"/>
        <v>0</v>
      </c>
      <c r="AC298" s="7">
        <f t="shared" si="332"/>
        <v>0</v>
      </c>
    </row>
    <row r="299" spans="1:29" hidden="1" x14ac:dyDescent="0.25">
      <c r="A299" s="328" t="s">
        <v>101</v>
      </c>
      <c r="B299" s="328"/>
      <c r="C299" s="309"/>
      <c r="D299" s="309"/>
      <c r="E299" s="173">
        <v>852</v>
      </c>
      <c r="F299" s="10" t="s">
        <v>0</v>
      </c>
      <c r="G299" s="10" t="s">
        <v>3</v>
      </c>
      <c r="H299" s="10"/>
      <c r="I299" s="10"/>
      <c r="J299" s="11">
        <f t="shared" ref="J299:Y301" si="333">J300</f>
        <v>93000</v>
      </c>
      <c r="K299" s="11">
        <f t="shared" si="333"/>
        <v>0</v>
      </c>
      <c r="L299" s="11">
        <f t="shared" si="333"/>
        <v>93000</v>
      </c>
      <c r="M299" s="11">
        <f t="shared" si="333"/>
        <v>0</v>
      </c>
      <c r="N299" s="11">
        <f t="shared" si="333"/>
        <v>93000</v>
      </c>
      <c r="O299" s="11">
        <f t="shared" si="333"/>
        <v>0</v>
      </c>
      <c r="P299" s="11">
        <f t="shared" si="333"/>
        <v>93000</v>
      </c>
      <c r="Q299" s="11">
        <f t="shared" si="333"/>
        <v>79000</v>
      </c>
      <c r="R299" s="11">
        <f>SUM(R300:R302)</f>
        <v>79000</v>
      </c>
      <c r="S299" s="11">
        <f t="shared" ref="S299:T299" si="334">SUM(S300:S302)</f>
        <v>0</v>
      </c>
      <c r="T299" s="11">
        <f t="shared" si="334"/>
        <v>0</v>
      </c>
      <c r="U299" s="11">
        <f t="shared" si="333"/>
        <v>172000</v>
      </c>
      <c r="V299" s="11">
        <f t="shared" si="333"/>
        <v>0</v>
      </c>
      <c r="W299" s="11">
        <f t="shared" si="333"/>
        <v>0</v>
      </c>
      <c r="X299" s="11">
        <f t="shared" si="333"/>
        <v>0</v>
      </c>
      <c r="Y299" s="11">
        <f t="shared" si="333"/>
        <v>0</v>
      </c>
      <c r="Z299" s="11">
        <f t="shared" ref="V299:AC301" si="335">Z300</f>
        <v>172000</v>
      </c>
      <c r="AA299" s="11">
        <f t="shared" si="335"/>
        <v>172000</v>
      </c>
      <c r="AB299" s="11">
        <f t="shared" si="335"/>
        <v>0</v>
      </c>
      <c r="AC299" s="11">
        <f t="shared" si="335"/>
        <v>0</v>
      </c>
    </row>
    <row r="300" spans="1:29" ht="24" hidden="1" customHeight="1" x14ac:dyDescent="0.25">
      <c r="A300" s="324" t="s">
        <v>133</v>
      </c>
      <c r="B300" s="324"/>
      <c r="C300" s="309"/>
      <c r="D300" s="309"/>
      <c r="E300" s="173">
        <v>852</v>
      </c>
      <c r="F300" s="1" t="s">
        <v>0</v>
      </c>
      <c r="G300" s="1" t="s">
        <v>3</v>
      </c>
      <c r="H300" s="1" t="s">
        <v>134</v>
      </c>
      <c r="I300" s="10"/>
      <c r="J300" s="2">
        <f t="shared" si="333"/>
        <v>93000</v>
      </c>
      <c r="K300" s="2">
        <f t="shared" si="333"/>
        <v>0</v>
      </c>
      <c r="L300" s="2">
        <f t="shared" si="333"/>
        <v>93000</v>
      </c>
      <c r="M300" s="2">
        <f t="shared" si="333"/>
        <v>0</v>
      </c>
      <c r="N300" s="2">
        <f t="shared" si="333"/>
        <v>93000</v>
      </c>
      <c r="O300" s="2">
        <f t="shared" si="333"/>
        <v>0</v>
      </c>
      <c r="P300" s="2">
        <f t="shared" si="333"/>
        <v>93000</v>
      </c>
      <c r="Q300" s="2">
        <f t="shared" si="333"/>
        <v>79000</v>
      </c>
      <c r="R300" s="2"/>
      <c r="S300" s="2"/>
      <c r="T300" s="2"/>
      <c r="U300" s="2">
        <f t="shared" si="333"/>
        <v>172000</v>
      </c>
      <c r="V300" s="2">
        <f t="shared" si="333"/>
        <v>0</v>
      </c>
      <c r="W300" s="2">
        <f t="shared" si="333"/>
        <v>0</v>
      </c>
      <c r="X300" s="2">
        <f t="shared" si="333"/>
        <v>0</v>
      </c>
      <c r="Y300" s="2">
        <f t="shared" si="333"/>
        <v>0</v>
      </c>
      <c r="Z300" s="2">
        <f t="shared" si="335"/>
        <v>172000</v>
      </c>
      <c r="AA300" s="2">
        <f t="shared" si="335"/>
        <v>172000</v>
      </c>
      <c r="AB300" s="2">
        <f t="shared" si="335"/>
        <v>0</v>
      </c>
      <c r="AC300" s="2">
        <f t="shared" si="335"/>
        <v>0</v>
      </c>
    </row>
    <row r="301" spans="1:29" ht="15" hidden="1" customHeight="1" x14ac:dyDescent="0.25">
      <c r="A301" s="14"/>
      <c r="B301" s="301" t="s">
        <v>98</v>
      </c>
      <c r="C301" s="301"/>
      <c r="D301" s="301"/>
      <c r="E301" s="173">
        <v>852</v>
      </c>
      <c r="F301" s="1" t="s">
        <v>0</v>
      </c>
      <c r="G301" s="1" t="s">
        <v>3</v>
      </c>
      <c r="H301" s="1" t="s">
        <v>134</v>
      </c>
      <c r="I301" s="1" t="s">
        <v>99</v>
      </c>
      <c r="J301" s="2">
        <f t="shared" si="333"/>
        <v>93000</v>
      </c>
      <c r="K301" s="2">
        <f t="shared" si="333"/>
        <v>0</v>
      </c>
      <c r="L301" s="2">
        <f t="shared" si="333"/>
        <v>93000</v>
      </c>
      <c r="M301" s="2">
        <f t="shared" si="333"/>
        <v>0</v>
      </c>
      <c r="N301" s="2">
        <f t="shared" si="333"/>
        <v>93000</v>
      </c>
      <c r="O301" s="2">
        <f t="shared" si="333"/>
        <v>0</v>
      </c>
      <c r="P301" s="2">
        <f t="shared" si="333"/>
        <v>93000</v>
      </c>
      <c r="Q301" s="2">
        <f t="shared" si="333"/>
        <v>79000</v>
      </c>
      <c r="R301" s="2"/>
      <c r="S301" s="2"/>
      <c r="T301" s="2"/>
      <c r="U301" s="2">
        <f t="shared" si="333"/>
        <v>172000</v>
      </c>
      <c r="V301" s="2">
        <f t="shared" si="335"/>
        <v>0</v>
      </c>
      <c r="W301" s="2">
        <f t="shared" si="335"/>
        <v>0</v>
      </c>
      <c r="X301" s="2">
        <f t="shared" si="335"/>
        <v>0</v>
      </c>
      <c r="Y301" s="2">
        <f t="shared" si="335"/>
        <v>0</v>
      </c>
      <c r="Z301" s="2">
        <f t="shared" si="335"/>
        <v>172000</v>
      </c>
      <c r="AA301" s="2">
        <f t="shared" si="335"/>
        <v>172000</v>
      </c>
      <c r="AB301" s="2">
        <f t="shared" si="335"/>
        <v>0</v>
      </c>
      <c r="AC301" s="2">
        <f t="shared" si="335"/>
        <v>0</v>
      </c>
    </row>
    <row r="302" spans="1:29" ht="24.75" hidden="1" customHeight="1" x14ac:dyDescent="0.25">
      <c r="A302" s="291"/>
      <c r="B302" s="301" t="s">
        <v>132</v>
      </c>
      <c r="C302" s="301"/>
      <c r="D302" s="301"/>
      <c r="E302" s="173">
        <v>852</v>
      </c>
      <c r="F302" s="1" t="s">
        <v>0</v>
      </c>
      <c r="G302" s="1" t="s">
        <v>3</v>
      </c>
      <c r="H302" s="1" t="s">
        <v>134</v>
      </c>
      <c r="I302" s="1" t="s">
        <v>100</v>
      </c>
      <c r="J302" s="2">
        <v>93000</v>
      </c>
      <c r="K302" s="2"/>
      <c r="L302" s="2">
        <f t="shared" si="317"/>
        <v>93000</v>
      </c>
      <c r="M302" s="2"/>
      <c r="N302" s="2">
        <f t="shared" ref="N302" si="336">L302+M302</f>
        <v>93000</v>
      </c>
      <c r="O302" s="2"/>
      <c r="P302" s="2">
        <f>N302+O302</f>
        <v>93000</v>
      </c>
      <c r="Q302" s="2">
        <v>79000</v>
      </c>
      <c r="R302" s="2">
        <v>79000</v>
      </c>
      <c r="S302" s="2"/>
      <c r="T302" s="2"/>
      <c r="U302" s="2">
        <f>P302+Q302</f>
        <v>172000</v>
      </c>
      <c r="V302" s="2"/>
      <c r="W302" s="2"/>
      <c r="X302" s="2"/>
      <c r="Y302" s="2"/>
      <c r="Z302" s="2">
        <f t="shared" ref="Z302" si="337">U302+V302</f>
        <v>172000</v>
      </c>
      <c r="AA302" s="2">
        <f>Z302</f>
        <v>172000</v>
      </c>
      <c r="AB302" s="14"/>
      <c r="AC302" s="14"/>
    </row>
    <row r="303" spans="1:29" x14ac:dyDescent="0.25">
      <c r="A303" s="328" t="s">
        <v>102</v>
      </c>
      <c r="B303" s="328"/>
      <c r="C303" s="295"/>
      <c r="D303" s="295"/>
      <c r="E303" s="173">
        <v>852</v>
      </c>
      <c r="F303" s="10" t="s">
        <v>0</v>
      </c>
      <c r="G303" s="10" t="s">
        <v>6</v>
      </c>
      <c r="H303" s="10"/>
      <c r="I303" s="10"/>
      <c r="J303" s="11">
        <f t="shared" ref="J303:AC303" si="338">J304+J307+J312</f>
        <v>7971036</v>
      </c>
      <c r="K303" s="11">
        <f t="shared" si="338"/>
        <v>0</v>
      </c>
      <c r="L303" s="11">
        <f t="shared" si="338"/>
        <v>7971036</v>
      </c>
      <c r="M303" s="11">
        <f t="shared" si="338"/>
        <v>249959</v>
      </c>
      <c r="N303" s="11">
        <f t="shared" si="338"/>
        <v>8220995</v>
      </c>
      <c r="O303" s="11">
        <f t="shared" si="338"/>
        <v>0</v>
      </c>
      <c r="P303" s="11">
        <f t="shared" si="338"/>
        <v>8220995</v>
      </c>
      <c r="Q303" s="11">
        <f t="shared" si="338"/>
        <v>-34322.089999999997</v>
      </c>
      <c r="R303" s="11">
        <f>SUM(R304:R314)</f>
        <v>-34322.089999999997</v>
      </c>
      <c r="S303" s="11">
        <f t="shared" ref="S303:T303" si="339">SUM(S304:S314)</f>
        <v>0</v>
      </c>
      <c r="T303" s="11">
        <f t="shared" si="339"/>
        <v>0</v>
      </c>
      <c r="U303" s="11">
        <f t="shared" si="338"/>
        <v>8186672.9100000001</v>
      </c>
      <c r="V303" s="11">
        <f t="shared" si="338"/>
        <v>-336921</v>
      </c>
      <c r="W303" s="11">
        <f t="shared" si="338"/>
        <v>-336921</v>
      </c>
      <c r="X303" s="11">
        <f t="shared" si="338"/>
        <v>0</v>
      </c>
      <c r="Y303" s="11">
        <f t="shared" si="338"/>
        <v>0</v>
      </c>
      <c r="Z303" s="11">
        <f t="shared" si="338"/>
        <v>7849751.9100000001</v>
      </c>
      <c r="AA303" s="11">
        <f t="shared" si="338"/>
        <v>7849751.9100000001</v>
      </c>
      <c r="AB303" s="11">
        <f t="shared" si="338"/>
        <v>0</v>
      </c>
      <c r="AC303" s="11">
        <f t="shared" si="338"/>
        <v>0</v>
      </c>
    </row>
    <row r="304" spans="1:29" ht="24.75" customHeight="1" x14ac:dyDescent="0.25">
      <c r="A304" s="324" t="s">
        <v>438</v>
      </c>
      <c r="B304" s="324"/>
      <c r="C304" s="295"/>
      <c r="D304" s="295"/>
      <c r="E304" s="173">
        <v>852</v>
      </c>
      <c r="F304" s="1" t="s">
        <v>0</v>
      </c>
      <c r="G304" s="1" t="s">
        <v>6</v>
      </c>
      <c r="H304" s="1" t="s">
        <v>139</v>
      </c>
      <c r="I304" s="10"/>
      <c r="J304" s="2">
        <f t="shared" ref="J304:Q305" si="340">J305</f>
        <v>836736</v>
      </c>
      <c r="K304" s="2">
        <f t="shared" si="340"/>
        <v>0</v>
      </c>
      <c r="L304" s="2">
        <f t="shared" si="340"/>
        <v>836736</v>
      </c>
      <c r="M304" s="2">
        <f t="shared" si="340"/>
        <v>249959</v>
      </c>
      <c r="N304" s="2">
        <f t="shared" si="340"/>
        <v>1086695</v>
      </c>
      <c r="O304" s="2">
        <f t="shared" si="340"/>
        <v>0</v>
      </c>
      <c r="P304" s="2">
        <f t="shared" si="340"/>
        <v>1086695</v>
      </c>
      <c r="Q304" s="2">
        <f t="shared" si="340"/>
        <v>0</v>
      </c>
      <c r="R304" s="2"/>
      <c r="S304" s="2"/>
      <c r="T304" s="2"/>
      <c r="U304" s="2">
        <f t="shared" ref="U304:AC305" si="341">U305</f>
        <v>1086695</v>
      </c>
      <c r="V304" s="2">
        <f t="shared" si="341"/>
        <v>437219</v>
      </c>
      <c r="W304" s="2">
        <f t="shared" si="341"/>
        <v>437219</v>
      </c>
      <c r="X304" s="2">
        <f t="shared" si="341"/>
        <v>0</v>
      </c>
      <c r="Y304" s="2">
        <f t="shared" si="341"/>
        <v>0</v>
      </c>
      <c r="Z304" s="2">
        <f t="shared" si="341"/>
        <v>1523914</v>
      </c>
      <c r="AA304" s="2">
        <f t="shared" si="341"/>
        <v>1523914</v>
      </c>
      <c r="AB304" s="2">
        <f t="shared" si="341"/>
        <v>0</v>
      </c>
      <c r="AC304" s="2">
        <f t="shared" si="341"/>
        <v>0</v>
      </c>
    </row>
    <row r="305" spans="1:29" ht="13.5" customHeight="1" x14ac:dyDescent="0.25">
      <c r="A305" s="14"/>
      <c r="B305" s="301" t="s">
        <v>98</v>
      </c>
      <c r="C305" s="301"/>
      <c r="D305" s="301"/>
      <c r="E305" s="173">
        <v>852</v>
      </c>
      <c r="F305" s="1" t="s">
        <v>0</v>
      </c>
      <c r="G305" s="1" t="s">
        <v>6</v>
      </c>
      <c r="H305" s="1" t="s">
        <v>139</v>
      </c>
      <c r="I305" s="1" t="s">
        <v>99</v>
      </c>
      <c r="J305" s="2">
        <f t="shared" si="340"/>
        <v>836736</v>
      </c>
      <c r="K305" s="2">
        <f t="shared" si="340"/>
        <v>0</v>
      </c>
      <c r="L305" s="2">
        <f t="shared" si="340"/>
        <v>836736</v>
      </c>
      <c r="M305" s="2">
        <f t="shared" si="340"/>
        <v>249959</v>
      </c>
      <c r="N305" s="2">
        <f t="shared" si="340"/>
        <v>1086695</v>
      </c>
      <c r="O305" s="2">
        <f t="shared" si="340"/>
        <v>0</v>
      </c>
      <c r="P305" s="2">
        <f t="shared" si="340"/>
        <v>1086695</v>
      </c>
      <c r="Q305" s="2">
        <f t="shared" si="340"/>
        <v>0</v>
      </c>
      <c r="R305" s="2"/>
      <c r="S305" s="2"/>
      <c r="T305" s="2"/>
      <c r="U305" s="2">
        <f t="shared" si="341"/>
        <v>1086695</v>
      </c>
      <c r="V305" s="2">
        <f t="shared" si="341"/>
        <v>437219</v>
      </c>
      <c r="W305" s="2">
        <f t="shared" si="341"/>
        <v>437219</v>
      </c>
      <c r="X305" s="2">
        <f t="shared" si="341"/>
        <v>0</v>
      </c>
      <c r="Y305" s="2">
        <f t="shared" si="341"/>
        <v>0</v>
      </c>
      <c r="Z305" s="2">
        <f t="shared" si="341"/>
        <v>1523914</v>
      </c>
      <c r="AA305" s="2">
        <f t="shared" si="341"/>
        <v>1523914</v>
      </c>
      <c r="AB305" s="2">
        <f t="shared" si="341"/>
        <v>0</v>
      </c>
      <c r="AC305" s="2">
        <f t="shared" si="341"/>
        <v>0</v>
      </c>
    </row>
    <row r="306" spans="1:29" ht="24" customHeight="1" x14ac:dyDescent="0.25">
      <c r="A306" s="291"/>
      <c r="B306" s="301" t="s">
        <v>132</v>
      </c>
      <c r="C306" s="301"/>
      <c r="D306" s="301"/>
      <c r="E306" s="173">
        <v>852</v>
      </c>
      <c r="F306" s="1" t="s">
        <v>0</v>
      </c>
      <c r="G306" s="1" t="s">
        <v>6</v>
      </c>
      <c r="H306" s="1" t="s">
        <v>139</v>
      </c>
      <c r="I306" s="1" t="s">
        <v>100</v>
      </c>
      <c r="J306" s="2">
        <v>836736</v>
      </c>
      <c r="K306" s="2"/>
      <c r="L306" s="2">
        <f t="shared" si="317"/>
        <v>836736</v>
      </c>
      <c r="M306" s="2">
        <v>249959</v>
      </c>
      <c r="N306" s="2">
        <f t="shared" ref="N306:N314" si="342">L306+M306</f>
        <v>1086695</v>
      </c>
      <c r="O306" s="2"/>
      <c r="P306" s="2">
        <f>N306+O306</f>
        <v>1086695</v>
      </c>
      <c r="Q306" s="2"/>
      <c r="R306" s="2"/>
      <c r="S306" s="2"/>
      <c r="T306" s="2"/>
      <c r="U306" s="2">
        <f>P306+Q306</f>
        <v>1086695</v>
      </c>
      <c r="V306" s="2">
        <v>437219</v>
      </c>
      <c r="W306" s="2">
        <f>V306</f>
        <v>437219</v>
      </c>
      <c r="X306" s="2"/>
      <c r="Y306" s="2"/>
      <c r="Z306" s="2">
        <f t="shared" ref="Z306" si="343">U306+V306</f>
        <v>1523914</v>
      </c>
      <c r="AA306" s="2">
        <f>Z306</f>
        <v>1523914</v>
      </c>
      <c r="AB306" s="14"/>
      <c r="AC306" s="14"/>
    </row>
    <row r="307" spans="1:29" ht="36" customHeight="1" x14ac:dyDescent="0.25">
      <c r="A307" s="347" t="s">
        <v>2</v>
      </c>
      <c r="B307" s="347"/>
      <c r="C307" s="301"/>
      <c r="D307" s="301"/>
      <c r="E307" s="173">
        <v>852</v>
      </c>
      <c r="F307" s="1" t="s">
        <v>0</v>
      </c>
      <c r="G307" s="1" t="s">
        <v>6</v>
      </c>
      <c r="H307" s="1" t="s">
        <v>4</v>
      </c>
      <c r="I307" s="1"/>
      <c r="J307" s="2">
        <f t="shared" ref="J307:Q307" si="344">J308+J310</f>
        <v>6976300</v>
      </c>
      <c r="K307" s="2">
        <f t="shared" si="344"/>
        <v>0</v>
      </c>
      <c r="L307" s="2">
        <f t="shared" si="344"/>
        <v>6976300</v>
      </c>
      <c r="M307" s="2">
        <f t="shared" si="344"/>
        <v>0</v>
      </c>
      <c r="N307" s="2">
        <f t="shared" si="344"/>
        <v>6976300</v>
      </c>
      <c r="O307" s="2">
        <f t="shared" si="344"/>
        <v>0</v>
      </c>
      <c r="P307" s="2">
        <f t="shared" si="344"/>
        <v>6976300</v>
      </c>
      <c r="Q307" s="2">
        <f t="shared" si="344"/>
        <v>0</v>
      </c>
      <c r="R307" s="2"/>
      <c r="S307" s="2"/>
      <c r="T307" s="2"/>
      <c r="U307" s="2">
        <f t="shared" ref="U307:AC307" si="345">U308+U310</f>
        <v>6976300</v>
      </c>
      <c r="V307" s="2">
        <f t="shared" si="345"/>
        <v>-774140</v>
      </c>
      <c r="W307" s="2">
        <f t="shared" si="345"/>
        <v>-774140</v>
      </c>
      <c r="X307" s="2">
        <f t="shared" si="345"/>
        <v>0</v>
      </c>
      <c r="Y307" s="2">
        <f t="shared" si="345"/>
        <v>0</v>
      </c>
      <c r="Z307" s="2">
        <f t="shared" si="345"/>
        <v>6202160</v>
      </c>
      <c r="AA307" s="2">
        <f t="shared" si="345"/>
        <v>6202160</v>
      </c>
      <c r="AB307" s="2">
        <f t="shared" si="345"/>
        <v>0</v>
      </c>
      <c r="AC307" s="2">
        <f t="shared" si="345"/>
        <v>0</v>
      </c>
    </row>
    <row r="308" spans="1:29" ht="12.75" customHeight="1" x14ac:dyDescent="0.25">
      <c r="A308" s="14"/>
      <c r="B308" s="291" t="s">
        <v>27</v>
      </c>
      <c r="C308" s="301"/>
      <c r="D308" s="301"/>
      <c r="E308" s="173">
        <v>852</v>
      </c>
      <c r="F308" s="1" t="s">
        <v>135</v>
      </c>
      <c r="G308" s="1" t="s">
        <v>6</v>
      </c>
      <c r="H308" s="1" t="s">
        <v>4</v>
      </c>
      <c r="I308" s="1" t="s">
        <v>28</v>
      </c>
      <c r="J308" s="2">
        <f t="shared" ref="J308:Q308" si="346">J309</f>
        <v>1795108</v>
      </c>
      <c r="K308" s="2">
        <f t="shared" si="346"/>
        <v>0</v>
      </c>
      <c r="L308" s="2">
        <f t="shared" si="346"/>
        <v>1795108</v>
      </c>
      <c r="M308" s="2">
        <f t="shared" si="346"/>
        <v>0</v>
      </c>
      <c r="N308" s="2">
        <f t="shared" si="346"/>
        <v>1795108</v>
      </c>
      <c r="O308" s="2">
        <f t="shared" si="346"/>
        <v>0</v>
      </c>
      <c r="P308" s="2">
        <f t="shared" si="346"/>
        <v>1795108</v>
      </c>
      <c r="Q308" s="2">
        <f t="shared" si="346"/>
        <v>0</v>
      </c>
      <c r="R308" s="2"/>
      <c r="S308" s="2"/>
      <c r="T308" s="2"/>
      <c r="U308" s="2">
        <f t="shared" ref="U308:AC308" si="347">U309</f>
        <v>1795108</v>
      </c>
      <c r="V308" s="2">
        <f t="shared" si="347"/>
        <v>-104054.56</v>
      </c>
      <c r="W308" s="2">
        <f t="shared" si="347"/>
        <v>-104054.56</v>
      </c>
      <c r="X308" s="2">
        <f t="shared" si="347"/>
        <v>0</v>
      </c>
      <c r="Y308" s="2">
        <f t="shared" si="347"/>
        <v>0</v>
      </c>
      <c r="Z308" s="2">
        <f t="shared" si="347"/>
        <v>1691053.44</v>
      </c>
      <c r="AA308" s="2">
        <f t="shared" si="347"/>
        <v>1691053.44</v>
      </c>
      <c r="AB308" s="2">
        <f t="shared" si="347"/>
        <v>0</v>
      </c>
      <c r="AC308" s="2">
        <f t="shared" si="347"/>
        <v>0</v>
      </c>
    </row>
    <row r="309" spans="1:29" ht="12.75" customHeight="1" x14ac:dyDescent="0.25">
      <c r="A309" s="14"/>
      <c r="B309" s="291" t="s">
        <v>29</v>
      </c>
      <c r="C309" s="291"/>
      <c r="D309" s="291"/>
      <c r="E309" s="173">
        <v>852</v>
      </c>
      <c r="F309" s="1" t="s">
        <v>135</v>
      </c>
      <c r="G309" s="1" t="s">
        <v>6</v>
      </c>
      <c r="H309" s="1" t="s">
        <v>4</v>
      </c>
      <c r="I309" s="1" t="s">
        <v>30</v>
      </c>
      <c r="J309" s="2">
        <f>1697810+97298</f>
        <v>1795108</v>
      </c>
      <c r="K309" s="2"/>
      <c r="L309" s="2">
        <f t="shared" si="317"/>
        <v>1795108</v>
      </c>
      <c r="M309" s="2"/>
      <c r="N309" s="2">
        <f t="shared" si="342"/>
        <v>1795108</v>
      </c>
      <c r="O309" s="2"/>
      <c r="P309" s="2">
        <f>N309+O309</f>
        <v>1795108</v>
      </c>
      <c r="Q309" s="2"/>
      <c r="R309" s="2"/>
      <c r="S309" s="2"/>
      <c r="T309" s="2"/>
      <c r="U309" s="2">
        <f>P309+Q309</f>
        <v>1795108</v>
      </c>
      <c r="V309" s="2">
        <v>-104054.56</v>
      </c>
      <c r="W309" s="2">
        <f>V309</f>
        <v>-104054.56</v>
      </c>
      <c r="X309" s="2"/>
      <c r="Y309" s="2"/>
      <c r="Z309" s="2">
        <f t="shared" ref="Z309" si="348">U309+V309</f>
        <v>1691053.44</v>
      </c>
      <c r="AA309" s="2">
        <f>Z309</f>
        <v>1691053.44</v>
      </c>
      <c r="AB309" s="14"/>
      <c r="AC309" s="14"/>
    </row>
    <row r="310" spans="1:29" ht="12.75" customHeight="1" x14ac:dyDescent="0.25">
      <c r="A310" s="299"/>
      <c r="B310" s="301" t="s">
        <v>98</v>
      </c>
      <c r="C310" s="301"/>
      <c r="D310" s="301"/>
      <c r="E310" s="173">
        <v>852</v>
      </c>
      <c r="F310" s="1" t="s">
        <v>0</v>
      </c>
      <c r="G310" s="1" t="s">
        <v>6</v>
      </c>
      <c r="H310" s="1" t="s">
        <v>4</v>
      </c>
      <c r="I310" s="1" t="s">
        <v>99</v>
      </c>
      <c r="J310" s="2">
        <f t="shared" ref="J310:Q310" si="349">J311</f>
        <v>5181192</v>
      </c>
      <c r="K310" s="2">
        <f t="shared" si="349"/>
        <v>0</v>
      </c>
      <c r="L310" s="2">
        <f t="shared" si="349"/>
        <v>5181192</v>
      </c>
      <c r="M310" s="2">
        <f t="shared" si="349"/>
        <v>0</v>
      </c>
      <c r="N310" s="2">
        <f t="shared" si="349"/>
        <v>5181192</v>
      </c>
      <c r="O310" s="2">
        <f t="shared" si="349"/>
        <v>0</v>
      </c>
      <c r="P310" s="2">
        <f t="shared" si="349"/>
        <v>5181192</v>
      </c>
      <c r="Q310" s="2">
        <f t="shared" si="349"/>
        <v>0</v>
      </c>
      <c r="R310" s="2"/>
      <c r="S310" s="2"/>
      <c r="T310" s="2"/>
      <c r="U310" s="2">
        <f t="shared" ref="U310:AC310" si="350">U311</f>
        <v>5181192</v>
      </c>
      <c r="V310" s="2">
        <f t="shared" si="350"/>
        <v>-670085.43999999994</v>
      </c>
      <c r="W310" s="2">
        <f t="shared" si="350"/>
        <v>-670085.43999999994</v>
      </c>
      <c r="X310" s="2">
        <f t="shared" si="350"/>
        <v>0</v>
      </c>
      <c r="Y310" s="2">
        <f t="shared" si="350"/>
        <v>0</v>
      </c>
      <c r="Z310" s="2">
        <f t="shared" si="350"/>
        <v>4511106.5600000005</v>
      </c>
      <c r="AA310" s="2">
        <f t="shared" si="350"/>
        <v>4511106.5600000005</v>
      </c>
      <c r="AB310" s="2">
        <f t="shared" si="350"/>
        <v>0</v>
      </c>
      <c r="AC310" s="2">
        <f t="shared" si="350"/>
        <v>0</v>
      </c>
    </row>
    <row r="311" spans="1:29" ht="27.75" customHeight="1" x14ac:dyDescent="0.25">
      <c r="A311" s="299"/>
      <c r="B311" s="301" t="s">
        <v>360</v>
      </c>
      <c r="C311" s="301"/>
      <c r="D311" s="301"/>
      <c r="E311" s="173">
        <v>852</v>
      </c>
      <c r="F311" s="1" t="s">
        <v>0</v>
      </c>
      <c r="G311" s="1" t="s">
        <v>6</v>
      </c>
      <c r="H311" s="1" t="s">
        <v>4</v>
      </c>
      <c r="I311" s="1" t="s">
        <v>8</v>
      </c>
      <c r="J311" s="2">
        <f>3238668+1942569-45</f>
        <v>5181192</v>
      </c>
      <c r="K311" s="2"/>
      <c r="L311" s="2">
        <f t="shared" si="317"/>
        <v>5181192</v>
      </c>
      <c r="M311" s="2"/>
      <c r="N311" s="2">
        <f t="shared" si="342"/>
        <v>5181192</v>
      </c>
      <c r="O311" s="2"/>
      <c r="P311" s="2">
        <f>N311+O311</f>
        <v>5181192</v>
      </c>
      <c r="Q311" s="2"/>
      <c r="R311" s="2"/>
      <c r="S311" s="2"/>
      <c r="T311" s="2"/>
      <c r="U311" s="2">
        <f>P311+Q311</f>
        <v>5181192</v>
      </c>
      <c r="V311" s="2">
        <v>-670085.43999999994</v>
      </c>
      <c r="W311" s="2">
        <f>V311</f>
        <v>-670085.43999999994</v>
      </c>
      <c r="X311" s="2"/>
      <c r="Y311" s="2"/>
      <c r="Z311" s="2">
        <f t="shared" ref="Z311" si="351">U311+V311</f>
        <v>4511106.5600000005</v>
      </c>
      <c r="AA311" s="2">
        <f>Z311</f>
        <v>4511106.5600000005</v>
      </c>
      <c r="AB311" s="14"/>
      <c r="AC311" s="14"/>
    </row>
    <row r="312" spans="1:29" ht="50.25" hidden="1" customHeight="1" x14ac:dyDescent="0.25">
      <c r="A312" s="324" t="s">
        <v>5</v>
      </c>
      <c r="B312" s="324"/>
      <c r="C312" s="301"/>
      <c r="D312" s="301"/>
      <c r="E312" s="173">
        <v>852</v>
      </c>
      <c r="F312" s="1" t="s">
        <v>0</v>
      </c>
      <c r="G312" s="1" t="s">
        <v>6</v>
      </c>
      <c r="H312" s="1" t="s">
        <v>7</v>
      </c>
      <c r="I312" s="1"/>
      <c r="J312" s="2">
        <f t="shared" ref="J312:Q313" si="352">J313</f>
        <v>158000</v>
      </c>
      <c r="K312" s="2">
        <f t="shared" si="352"/>
        <v>0</v>
      </c>
      <c r="L312" s="2">
        <f t="shared" si="352"/>
        <v>158000</v>
      </c>
      <c r="M312" s="2">
        <f t="shared" si="352"/>
        <v>0</v>
      </c>
      <c r="N312" s="2">
        <f t="shared" si="352"/>
        <v>158000</v>
      </c>
      <c r="O312" s="2">
        <f t="shared" si="352"/>
        <v>0</v>
      </c>
      <c r="P312" s="2">
        <f t="shared" si="352"/>
        <v>158000</v>
      </c>
      <c r="Q312" s="2">
        <f t="shared" si="352"/>
        <v>-34322.089999999997</v>
      </c>
      <c r="R312" s="2"/>
      <c r="S312" s="2"/>
      <c r="T312" s="2"/>
      <c r="U312" s="2">
        <f t="shared" ref="U312:AC313" si="353">U313</f>
        <v>123677.91</v>
      </c>
      <c r="V312" s="2">
        <f t="shared" si="353"/>
        <v>0</v>
      </c>
      <c r="W312" s="2">
        <f t="shared" si="353"/>
        <v>0</v>
      </c>
      <c r="X312" s="2">
        <f t="shared" si="353"/>
        <v>0</v>
      </c>
      <c r="Y312" s="2">
        <f t="shared" si="353"/>
        <v>0</v>
      </c>
      <c r="Z312" s="2">
        <f t="shared" si="353"/>
        <v>123677.91</v>
      </c>
      <c r="AA312" s="2">
        <f t="shared" si="353"/>
        <v>123677.91</v>
      </c>
      <c r="AB312" s="2">
        <f t="shared" si="353"/>
        <v>0</v>
      </c>
      <c r="AC312" s="2">
        <f t="shared" si="353"/>
        <v>0</v>
      </c>
    </row>
    <row r="313" spans="1:29" ht="15" hidden="1" customHeight="1" x14ac:dyDescent="0.25">
      <c r="A313" s="299"/>
      <c r="B313" s="301" t="s">
        <v>98</v>
      </c>
      <c r="C313" s="301"/>
      <c r="D313" s="301"/>
      <c r="E313" s="173">
        <v>852</v>
      </c>
      <c r="F313" s="1" t="s">
        <v>0</v>
      </c>
      <c r="G313" s="1" t="s">
        <v>6</v>
      </c>
      <c r="H313" s="1" t="s">
        <v>7</v>
      </c>
      <c r="I313" s="1" t="s">
        <v>99</v>
      </c>
      <c r="J313" s="2">
        <f t="shared" si="352"/>
        <v>158000</v>
      </c>
      <c r="K313" s="2">
        <f t="shared" si="352"/>
        <v>0</v>
      </c>
      <c r="L313" s="2">
        <f t="shared" si="352"/>
        <v>158000</v>
      </c>
      <c r="M313" s="2">
        <f t="shared" si="352"/>
        <v>0</v>
      </c>
      <c r="N313" s="2">
        <f t="shared" si="352"/>
        <v>158000</v>
      </c>
      <c r="O313" s="2">
        <f t="shared" si="352"/>
        <v>0</v>
      </c>
      <c r="P313" s="2">
        <f t="shared" si="352"/>
        <v>158000</v>
      </c>
      <c r="Q313" s="2">
        <f t="shared" si="352"/>
        <v>-34322.089999999997</v>
      </c>
      <c r="R313" s="2"/>
      <c r="S313" s="2"/>
      <c r="T313" s="2"/>
      <c r="U313" s="2">
        <f t="shared" si="353"/>
        <v>123677.91</v>
      </c>
      <c r="V313" s="2">
        <f t="shared" si="353"/>
        <v>0</v>
      </c>
      <c r="W313" s="2">
        <f t="shared" si="353"/>
        <v>0</v>
      </c>
      <c r="X313" s="2">
        <f t="shared" si="353"/>
        <v>0</v>
      </c>
      <c r="Y313" s="2">
        <f t="shared" si="353"/>
        <v>0</v>
      </c>
      <c r="Z313" s="2">
        <f t="shared" si="353"/>
        <v>123677.91</v>
      </c>
      <c r="AA313" s="2">
        <f t="shared" si="353"/>
        <v>123677.91</v>
      </c>
      <c r="AB313" s="2">
        <f t="shared" si="353"/>
        <v>0</v>
      </c>
      <c r="AC313" s="2">
        <f t="shared" si="353"/>
        <v>0</v>
      </c>
    </row>
    <row r="314" spans="1:29" ht="27" hidden="1" customHeight="1" x14ac:dyDescent="0.25">
      <c r="A314" s="299"/>
      <c r="B314" s="301" t="s">
        <v>360</v>
      </c>
      <c r="C314" s="301"/>
      <c r="D314" s="301"/>
      <c r="E314" s="173">
        <v>852</v>
      </c>
      <c r="F314" s="1" t="s">
        <v>0</v>
      </c>
      <c r="G314" s="1" t="s">
        <v>6</v>
      </c>
      <c r="H314" s="1" t="s">
        <v>7</v>
      </c>
      <c r="I314" s="1" t="s">
        <v>8</v>
      </c>
      <c r="J314" s="2">
        <v>158000</v>
      </c>
      <c r="K314" s="2"/>
      <c r="L314" s="2">
        <f t="shared" si="317"/>
        <v>158000</v>
      </c>
      <c r="M314" s="2"/>
      <c r="N314" s="2">
        <f t="shared" si="342"/>
        <v>158000</v>
      </c>
      <c r="O314" s="2"/>
      <c r="P314" s="2">
        <f>N314+O314</f>
        <v>158000</v>
      </c>
      <c r="Q314" s="2">
        <v>-34322.089999999997</v>
      </c>
      <c r="R314" s="2">
        <v>-34322.089999999997</v>
      </c>
      <c r="S314" s="2"/>
      <c r="T314" s="2"/>
      <c r="U314" s="2">
        <f>P314+Q314</f>
        <v>123677.91</v>
      </c>
      <c r="V314" s="2"/>
      <c r="W314" s="2">
        <f>V314</f>
        <v>0</v>
      </c>
      <c r="X314" s="2"/>
      <c r="Y314" s="2"/>
      <c r="Z314" s="2">
        <f t="shared" ref="Z314" si="354">U314+V314</f>
        <v>123677.91</v>
      </c>
      <c r="AA314" s="2">
        <f>Z314</f>
        <v>123677.91</v>
      </c>
      <c r="AB314" s="14"/>
      <c r="AC314" s="14"/>
    </row>
    <row r="315" spans="1:29" hidden="1" x14ac:dyDescent="0.25">
      <c r="A315" s="328" t="s">
        <v>105</v>
      </c>
      <c r="B315" s="328"/>
      <c r="C315" s="295"/>
      <c r="D315" s="295"/>
      <c r="E315" s="173">
        <v>852</v>
      </c>
      <c r="F315" s="10" t="s">
        <v>0</v>
      </c>
      <c r="G315" s="10" t="s">
        <v>1</v>
      </c>
      <c r="H315" s="10"/>
      <c r="I315" s="10"/>
      <c r="J315" s="11">
        <f t="shared" ref="J315:AC315" si="355">J316+J321</f>
        <v>1168800</v>
      </c>
      <c r="K315" s="11">
        <f t="shared" si="355"/>
        <v>0</v>
      </c>
      <c r="L315" s="11">
        <f t="shared" si="355"/>
        <v>1168800</v>
      </c>
      <c r="M315" s="11">
        <f t="shared" si="355"/>
        <v>-81823</v>
      </c>
      <c r="N315" s="11">
        <f t="shared" si="355"/>
        <v>1086977</v>
      </c>
      <c r="O315" s="11">
        <f t="shared" si="355"/>
        <v>0</v>
      </c>
      <c r="P315" s="11">
        <f t="shared" si="355"/>
        <v>1086977</v>
      </c>
      <c r="Q315" s="11">
        <f t="shared" si="355"/>
        <v>0</v>
      </c>
      <c r="R315" s="11"/>
      <c r="S315" s="11"/>
      <c r="T315" s="11"/>
      <c r="U315" s="11">
        <f t="shared" si="355"/>
        <v>1086977</v>
      </c>
      <c r="V315" s="11">
        <f t="shared" si="355"/>
        <v>0</v>
      </c>
      <c r="W315" s="11">
        <f t="shared" si="355"/>
        <v>0</v>
      </c>
      <c r="X315" s="11">
        <f t="shared" si="355"/>
        <v>0</v>
      </c>
      <c r="Y315" s="11">
        <f t="shared" si="355"/>
        <v>0</v>
      </c>
      <c r="Z315" s="11">
        <f t="shared" si="355"/>
        <v>1086977</v>
      </c>
      <c r="AA315" s="11">
        <f t="shared" si="355"/>
        <v>1086977</v>
      </c>
      <c r="AB315" s="11">
        <f t="shared" si="355"/>
        <v>0</v>
      </c>
      <c r="AC315" s="11">
        <f t="shared" si="355"/>
        <v>0</v>
      </c>
    </row>
    <row r="316" spans="1:29" ht="36" customHeight="1" x14ac:dyDescent="0.25">
      <c r="A316" s="324" t="s">
        <v>45</v>
      </c>
      <c r="B316" s="324"/>
      <c r="C316" s="173"/>
      <c r="D316" s="173"/>
      <c r="E316" s="173">
        <v>852</v>
      </c>
      <c r="F316" s="1" t="s">
        <v>0</v>
      </c>
      <c r="G316" s="1" t="s">
        <v>1</v>
      </c>
      <c r="H316" s="1" t="s">
        <v>140</v>
      </c>
      <c r="I316" s="1"/>
      <c r="J316" s="2">
        <f t="shared" ref="J316:Q316" si="356">J317+J319</f>
        <v>510800</v>
      </c>
      <c r="K316" s="2">
        <f t="shared" si="356"/>
        <v>0</v>
      </c>
      <c r="L316" s="2">
        <f t="shared" si="356"/>
        <v>510800</v>
      </c>
      <c r="M316" s="2">
        <f t="shared" si="356"/>
        <v>-35763</v>
      </c>
      <c r="N316" s="2">
        <f t="shared" si="356"/>
        <v>475037</v>
      </c>
      <c r="O316" s="2">
        <f t="shared" si="356"/>
        <v>0</v>
      </c>
      <c r="P316" s="2">
        <f t="shared" si="356"/>
        <v>475037</v>
      </c>
      <c r="Q316" s="2">
        <f t="shared" si="356"/>
        <v>0</v>
      </c>
      <c r="R316" s="2"/>
      <c r="S316" s="2"/>
      <c r="T316" s="2"/>
      <c r="U316" s="2">
        <f t="shared" ref="U316:AC316" si="357">U317+U319</f>
        <v>475037</v>
      </c>
      <c r="V316" s="2">
        <f t="shared" si="357"/>
        <v>0</v>
      </c>
      <c r="W316" s="2">
        <f t="shared" si="357"/>
        <v>0</v>
      </c>
      <c r="X316" s="2">
        <f t="shared" si="357"/>
        <v>0</v>
      </c>
      <c r="Y316" s="2">
        <f t="shared" si="357"/>
        <v>0</v>
      </c>
      <c r="Z316" s="2">
        <f t="shared" si="357"/>
        <v>475037</v>
      </c>
      <c r="AA316" s="2">
        <f t="shared" si="357"/>
        <v>475037</v>
      </c>
      <c r="AB316" s="2">
        <f t="shared" si="357"/>
        <v>0</v>
      </c>
      <c r="AC316" s="2">
        <f t="shared" si="357"/>
        <v>0</v>
      </c>
    </row>
    <row r="317" spans="1:29" ht="36.75" customHeight="1" x14ac:dyDescent="0.25">
      <c r="A317" s="14"/>
      <c r="B317" s="301" t="s">
        <v>21</v>
      </c>
      <c r="C317" s="173"/>
      <c r="D317" s="173"/>
      <c r="E317" s="173">
        <v>852</v>
      </c>
      <c r="F317" s="17" t="s">
        <v>0</v>
      </c>
      <c r="G317" s="17" t="s">
        <v>1</v>
      </c>
      <c r="H317" s="1" t="s">
        <v>140</v>
      </c>
      <c r="I317" s="1" t="s">
        <v>23</v>
      </c>
      <c r="J317" s="2">
        <f t="shared" ref="J317:Q317" si="358">J318</f>
        <v>379550</v>
      </c>
      <c r="K317" s="2">
        <f t="shared" si="358"/>
        <v>0</v>
      </c>
      <c r="L317" s="2">
        <f t="shared" si="358"/>
        <v>379550</v>
      </c>
      <c r="M317" s="2">
        <f t="shared" si="358"/>
        <v>0</v>
      </c>
      <c r="N317" s="2">
        <f t="shared" si="358"/>
        <v>379550</v>
      </c>
      <c r="O317" s="2">
        <f t="shared" si="358"/>
        <v>0</v>
      </c>
      <c r="P317" s="2">
        <f t="shared" si="358"/>
        <v>379550</v>
      </c>
      <c r="Q317" s="2">
        <f t="shared" si="358"/>
        <v>0</v>
      </c>
      <c r="R317" s="2"/>
      <c r="S317" s="2"/>
      <c r="T317" s="2"/>
      <c r="U317" s="2">
        <f t="shared" ref="U317:AC317" si="359">U318</f>
        <v>379550</v>
      </c>
      <c r="V317" s="2">
        <f t="shared" si="359"/>
        <v>25176.61</v>
      </c>
      <c r="W317" s="2">
        <f t="shared" si="359"/>
        <v>25176.61</v>
      </c>
      <c r="X317" s="2">
        <f t="shared" si="359"/>
        <v>0</v>
      </c>
      <c r="Y317" s="2">
        <f t="shared" si="359"/>
        <v>0</v>
      </c>
      <c r="Z317" s="2">
        <f t="shared" si="359"/>
        <v>404726.61</v>
      </c>
      <c r="AA317" s="2">
        <f t="shared" si="359"/>
        <v>404726.61</v>
      </c>
      <c r="AB317" s="2">
        <f t="shared" si="359"/>
        <v>0</v>
      </c>
      <c r="AC317" s="2">
        <f t="shared" si="359"/>
        <v>0</v>
      </c>
    </row>
    <row r="318" spans="1:29" ht="15" customHeight="1" x14ac:dyDescent="0.25">
      <c r="A318" s="14"/>
      <c r="B318" s="301" t="s">
        <v>24</v>
      </c>
      <c r="C318" s="173"/>
      <c r="D318" s="173"/>
      <c r="E318" s="173">
        <v>852</v>
      </c>
      <c r="F318" s="17" t="s">
        <v>0</v>
      </c>
      <c r="G318" s="17" t="s">
        <v>1</v>
      </c>
      <c r="H318" s="1" t="s">
        <v>140</v>
      </c>
      <c r="I318" s="1" t="s">
        <v>25</v>
      </c>
      <c r="J318" s="2">
        <f>431934-52384</f>
        <v>379550</v>
      </c>
      <c r="K318" s="2"/>
      <c r="L318" s="2">
        <f t="shared" si="317"/>
        <v>379550</v>
      </c>
      <c r="M318" s="278"/>
      <c r="N318" s="2">
        <f t="shared" ref="N318:N325" si="360">L318+M318</f>
        <v>379550</v>
      </c>
      <c r="O318" s="278"/>
      <c r="P318" s="2">
        <f>N318+O318</f>
        <v>379550</v>
      </c>
      <c r="Q318" s="278"/>
      <c r="R318" s="278"/>
      <c r="S318" s="278"/>
      <c r="T318" s="278"/>
      <c r="U318" s="2">
        <f>P318+Q318</f>
        <v>379550</v>
      </c>
      <c r="V318" s="2">
        <v>25176.61</v>
      </c>
      <c r="W318" s="2">
        <f>V318</f>
        <v>25176.61</v>
      </c>
      <c r="X318" s="278"/>
      <c r="Y318" s="278"/>
      <c r="Z318" s="2">
        <f t="shared" ref="Z318" si="361">U318+V318</f>
        <v>404726.61</v>
      </c>
      <c r="AA318" s="2">
        <f>Z318</f>
        <v>404726.61</v>
      </c>
      <c r="AB318" s="14"/>
      <c r="AC318" s="14"/>
    </row>
    <row r="319" spans="1:29" ht="15" customHeight="1" x14ac:dyDescent="0.25">
      <c r="A319" s="14"/>
      <c r="B319" s="291" t="s">
        <v>27</v>
      </c>
      <c r="C319" s="173"/>
      <c r="D319" s="173"/>
      <c r="E319" s="173">
        <v>852</v>
      </c>
      <c r="F319" s="17" t="s">
        <v>0</v>
      </c>
      <c r="G319" s="17" t="s">
        <v>1</v>
      </c>
      <c r="H319" s="1" t="s">
        <v>140</v>
      </c>
      <c r="I319" s="1" t="s">
        <v>28</v>
      </c>
      <c r="J319" s="2">
        <f t="shared" ref="J319:Q319" si="362">J320</f>
        <v>131250</v>
      </c>
      <c r="K319" s="2">
        <f t="shared" si="362"/>
        <v>0</v>
      </c>
      <c r="L319" s="2">
        <f t="shared" si="362"/>
        <v>131250</v>
      </c>
      <c r="M319" s="2">
        <f t="shared" si="362"/>
        <v>-35763</v>
      </c>
      <c r="N319" s="2">
        <f t="shared" si="362"/>
        <v>95487</v>
      </c>
      <c r="O319" s="2">
        <f t="shared" si="362"/>
        <v>0</v>
      </c>
      <c r="P319" s="2">
        <f t="shared" si="362"/>
        <v>95487</v>
      </c>
      <c r="Q319" s="2">
        <f t="shared" si="362"/>
        <v>0</v>
      </c>
      <c r="R319" s="2"/>
      <c r="S319" s="2"/>
      <c r="T319" s="2"/>
      <c r="U319" s="2">
        <f t="shared" ref="U319:AC319" si="363">U320</f>
        <v>95487</v>
      </c>
      <c r="V319" s="2">
        <f t="shared" si="363"/>
        <v>-25176.61</v>
      </c>
      <c r="W319" s="2">
        <f t="shared" si="363"/>
        <v>-25176.61</v>
      </c>
      <c r="X319" s="2">
        <f t="shared" si="363"/>
        <v>0</v>
      </c>
      <c r="Y319" s="2">
        <f t="shared" si="363"/>
        <v>0</v>
      </c>
      <c r="Z319" s="2">
        <f t="shared" si="363"/>
        <v>70310.39</v>
      </c>
      <c r="AA319" s="2">
        <f t="shared" si="363"/>
        <v>70310.39</v>
      </c>
      <c r="AB319" s="2">
        <f t="shared" si="363"/>
        <v>0</v>
      </c>
      <c r="AC319" s="2">
        <f t="shared" si="363"/>
        <v>0</v>
      </c>
    </row>
    <row r="320" spans="1:29" ht="12" customHeight="1" x14ac:dyDescent="0.25">
      <c r="A320" s="14"/>
      <c r="B320" s="291" t="s">
        <v>29</v>
      </c>
      <c r="C320" s="173"/>
      <c r="D320" s="173"/>
      <c r="E320" s="173">
        <v>852</v>
      </c>
      <c r="F320" s="17" t="s">
        <v>0</v>
      </c>
      <c r="G320" s="17" t="s">
        <v>1</v>
      </c>
      <c r="H320" s="1" t="s">
        <v>140</v>
      </c>
      <c r="I320" s="1" t="s">
        <v>30</v>
      </c>
      <c r="J320" s="2">
        <f>78866+52384</f>
        <v>131250</v>
      </c>
      <c r="K320" s="2"/>
      <c r="L320" s="2">
        <f t="shared" si="317"/>
        <v>131250</v>
      </c>
      <c r="M320" s="278">
        <f>-35756-7</f>
        <v>-35763</v>
      </c>
      <c r="N320" s="2">
        <f t="shared" si="360"/>
        <v>95487</v>
      </c>
      <c r="O320" s="278"/>
      <c r="P320" s="2">
        <f>N320+O320</f>
        <v>95487</v>
      </c>
      <c r="Q320" s="278"/>
      <c r="R320" s="278"/>
      <c r="S320" s="278"/>
      <c r="T320" s="278"/>
      <c r="U320" s="2">
        <f>P320+Q320</f>
        <v>95487</v>
      </c>
      <c r="V320" s="2">
        <v>-25176.61</v>
      </c>
      <c r="W320" s="2">
        <f>V320</f>
        <v>-25176.61</v>
      </c>
      <c r="X320" s="278"/>
      <c r="Y320" s="278"/>
      <c r="Z320" s="2">
        <f t="shared" ref="Z320" si="364">U320+V320</f>
        <v>70310.39</v>
      </c>
      <c r="AA320" s="2">
        <f>Z320</f>
        <v>70310.39</v>
      </c>
      <c r="AB320" s="14"/>
      <c r="AC320" s="14"/>
    </row>
    <row r="321" spans="1:29" ht="36" customHeight="1" x14ac:dyDescent="0.25">
      <c r="A321" s="347" t="s">
        <v>2</v>
      </c>
      <c r="B321" s="347"/>
      <c r="C321" s="301"/>
      <c r="D321" s="301"/>
      <c r="E321" s="173">
        <v>852</v>
      </c>
      <c r="F321" s="1" t="s">
        <v>0</v>
      </c>
      <c r="G321" s="1" t="s">
        <v>1</v>
      </c>
      <c r="H321" s="1" t="s">
        <v>4</v>
      </c>
      <c r="I321" s="1"/>
      <c r="J321" s="2">
        <f t="shared" ref="J321:Q321" si="365">J322+J324</f>
        <v>658000</v>
      </c>
      <c r="K321" s="2">
        <f t="shared" si="365"/>
        <v>0</v>
      </c>
      <c r="L321" s="2">
        <f t="shared" si="365"/>
        <v>658000</v>
      </c>
      <c r="M321" s="2">
        <f t="shared" si="365"/>
        <v>-46060</v>
      </c>
      <c r="N321" s="2">
        <f t="shared" si="365"/>
        <v>611940</v>
      </c>
      <c r="O321" s="2">
        <f t="shared" si="365"/>
        <v>0</v>
      </c>
      <c r="P321" s="2">
        <f t="shared" si="365"/>
        <v>611940</v>
      </c>
      <c r="Q321" s="2">
        <f t="shared" si="365"/>
        <v>0</v>
      </c>
      <c r="R321" s="2"/>
      <c r="S321" s="2"/>
      <c r="T321" s="2"/>
      <c r="U321" s="2">
        <f t="shared" ref="U321:AC321" si="366">U322+U324</f>
        <v>611940</v>
      </c>
      <c r="V321" s="2">
        <f t="shared" si="366"/>
        <v>0</v>
      </c>
      <c r="W321" s="2">
        <f t="shared" si="366"/>
        <v>0</v>
      </c>
      <c r="X321" s="2">
        <f t="shared" si="366"/>
        <v>0</v>
      </c>
      <c r="Y321" s="2">
        <f t="shared" si="366"/>
        <v>0</v>
      </c>
      <c r="Z321" s="2">
        <f t="shared" si="366"/>
        <v>611940</v>
      </c>
      <c r="AA321" s="2">
        <f t="shared" si="366"/>
        <v>611940</v>
      </c>
      <c r="AB321" s="2">
        <f t="shared" si="366"/>
        <v>0</v>
      </c>
      <c r="AC321" s="2">
        <f t="shared" si="366"/>
        <v>0</v>
      </c>
    </row>
    <row r="322" spans="1:29" ht="36" customHeight="1" x14ac:dyDescent="0.25">
      <c r="A322" s="291"/>
      <c r="B322" s="301" t="s">
        <v>21</v>
      </c>
      <c r="C322" s="291"/>
      <c r="D322" s="291"/>
      <c r="E322" s="173">
        <v>852</v>
      </c>
      <c r="F322" s="17" t="s">
        <v>0</v>
      </c>
      <c r="G322" s="17" t="s">
        <v>1</v>
      </c>
      <c r="H322" s="1" t="s">
        <v>4</v>
      </c>
      <c r="I322" s="1" t="s">
        <v>23</v>
      </c>
      <c r="J322" s="2">
        <f t="shared" ref="J322:Q322" si="367">J323</f>
        <v>420900</v>
      </c>
      <c r="K322" s="2">
        <f t="shared" si="367"/>
        <v>0</v>
      </c>
      <c r="L322" s="2">
        <f t="shared" si="367"/>
        <v>420900</v>
      </c>
      <c r="M322" s="2">
        <f t="shared" si="367"/>
        <v>0</v>
      </c>
      <c r="N322" s="2">
        <f t="shared" si="367"/>
        <v>420900</v>
      </c>
      <c r="O322" s="2">
        <f t="shared" si="367"/>
        <v>0</v>
      </c>
      <c r="P322" s="2">
        <f t="shared" si="367"/>
        <v>420900</v>
      </c>
      <c r="Q322" s="2">
        <f t="shared" si="367"/>
        <v>0</v>
      </c>
      <c r="R322" s="2"/>
      <c r="S322" s="2"/>
      <c r="T322" s="2"/>
      <c r="U322" s="2">
        <f t="shared" ref="U322:AC322" si="368">U323</f>
        <v>420900</v>
      </c>
      <c r="V322" s="2">
        <f t="shared" si="368"/>
        <v>21799.07</v>
      </c>
      <c r="W322" s="2">
        <f t="shared" si="368"/>
        <v>21799.07</v>
      </c>
      <c r="X322" s="2">
        <f t="shared" si="368"/>
        <v>0</v>
      </c>
      <c r="Y322" s="2">
        <f t="shared" si="368"/>
        <v>0</v>
      </c>
      <c r="Z322" s="2">
        <f t="shared" si="368"/>
        <v>442699.07</v>
      </c>
      <c r="AA322" s="2">
        <f t="shared" si="368"/>
        <v>442699.07</v>
      </c>
      <c r="AB322" s="2">
        <f t="shared" si="368"/>
        <v>0</v>
      </c>
      <c r="AC322" s="2">
        <f t="shared" si="368"/>
        <v>0</v>
      </c>
    </row>
    <row r="323" spans="1:29" ht="15" customHeight="1" x14ac:dyDescent="0.25">
      <c r="A323" s="14"/>
      <c r="B323" s="301" t="s">
        <v>24</v>
      </c>
      <c r="C323" s="301"/>
      <c r="D323" s="301"/>
      <c r="E323" s="173">
        <v>852</v>
      </c>
      <c r="F323" s="17" t="s">
        <v>0</v>
      </c>
      <c r="G323" s="17" t="s">
        <v>1</v>
      </c>
      <c r="H323" s="1" t="s">
        <v>4</v>
      </c>
      <c r="I323" s="1" t="s">
        <v>25</v>
      </c>
      <c r="J323" s="2">
        <v>420900</v>
      </c>
      <c r="K323" s="2"/>
      <c r="L323" s="2">
        <f t="shared" si="317"/>
        <v>420900</v>
      </c>
      <c r="M323" s="2"/>
      <c r="N323" s="2">
        <f t="shared" si="360"/>
        <v>420900</v>
      </c>
      <c r="O323" s="2"/>
      <c r="P323" s="2">
        <f>N323+O323</f>
        <v>420900</v>
      </c>
      <c r="Q323" s="2"/>
      <c r="R323" s="2"/>
      <c r="S323" s="2"/>
      <c r="T323" s="2"/>
      <c r="U323" s="2">
        <f>P323+Q323</f>
        <v>420900</v>
      </c>
      <c r="V323" s="2">
        <v>21799.07</v>
      </c>
      <c r="W323" s="2">
        <f>V323</f>
        <v>21799.07</v>
      </c>
      <c r="X323" s="2"/>
      <c r="Y323" s="2"/>
      <c r="Z323" s="2">
        <f t="shared" ref="Z323" si="369">U323+V323</f>
        <v>442699.07</v>
      </c>
      <c r="AA323" s="2">
        <f>Z323</f>
        <v>442699.07</v>
      </c>
      <c r="AB323" s="14"/>
      <c r="AC323" s="14"/>
    </row>
    <row r="324" spans="1:29" ht="15" customHeight="1" x14ac:dyDescent="0.25">
      <c r="A324" s="14"/>
      <c r="B324" s="291" t="s">
        <v>27</v>
      </c>
      <c r="C324" s="301"/>
      <c r="D324" s="301"/>
      <c r="E324" s="173">
        <v>852</v>
      </c>
      <c r="F324" s="17" t="s">
        <v>0</v>
      </c>
      <c r="G324" s="17" t="s">
        <v>1</v>
      </c>
      <c r="H324" s="1" t="s">
        <v>4</v>
      </c>
      <c r="I324" s="1" t="s">
        <v>28</v>
      </c>
      <c r="J324" s="2">
        <f t="shared" ref="J324:Q324" si="370">J325</f>
        <v>237100</v>
      </c>
      <c r="K324" s="2">
        <f t="shared" si="370"/>
        <v>0</v>
      </c>
      <c r="L324" s="2">
        <f t="shared" si="370"/>
        <v>237100</v>
      </c>
      <c r="M324" s="2">
        <f t="shared" si="370"/>
        <v>-46060</v>
      </c>
      <c r="N324" s="2">
        <f t="shared" si="370"/>
        <v>191040</v>
      </c>
      <c r="O324" s="2">
        <f t="shared" si="370"/>
        <v>0</v>
      </c>
      <c r="P324" s="2">
        <f t="shared" si="370"/>
        <v>191040</v>
      </c>
      <c r="Q324" s="2">
        <f t="shared" si="370"/>
        <v>0</v>
      </c>
      <c r="R324" s="2"/>
      <c r="S324" s="2"/>
      <c r="T324" s="2"/>
      <c r="U324" s="2">
        <f t="shared" ref="U324:AC324" si="371">U325</f>
        <v>191040</v>
      </c>
      <c r="V324" s="2">
        <f t="shared" si="371"/>
        <v>-21799.07</v>
      </c>
      <c r="W324" s="2">
        <f t="shared" si="371"/>
        <v>-21799.07</v>
      </c>
      <c r="X324" s="2">
        <f t="shared" si="371"/>
        <v>0</v>
      </c>
      <c r="Y324" s="2">
        <f t="shared" si="371"/>
        <v>0</v>
      </c>
      <c r="Z324" s="2">
        <f t="shared" si="371"/>
        <v>169240.93</v>
      </c>
      <c r="AA324" s="2">
        <f t="shared" si="371"/>
        <v>169240.93</v>
      </c>
      <c r="AB324" s="2">
        <f t="shared" si="371"/>
        <v>0</v>
      </c>
      <c r="AC324" s="2">
        <f t="shared" si="371"/>
        <v>0</v>
      </c>
    </row>
    <row r="325" spans="1:29" ht="13.5" customHeight="1" x14ac:dyDescent="0.25">
      <c r="A325" s="14"/>
      <c r="B325" s="291" t="s">
        <v>29</v>
      </c>
      <c r="C325" s="291"/>
      <c r="D325" s="291"/>
      <c r="E325" s="173">
        <v>852</v>
      </c>
      <c r="F325" s="17" t="s">
        <v>0</v>
      </c>
      <c r="G325" s="17" t="s">
        <v>1</v>
      </c>
      <c r="H325" s="1" t="s">
        <v>4</v>
      </c>
      <c r="I325" s="1" t="s">
        <v>30</v>
      </c>
      <c r="J325" s="2">
        <v>237100</v>
      </c>
      <c r="K325" s="2"/>
      <c r="L325" s="2">
        <f t="shared" si="317"/>
        <v>237100</v>
      </c>
      <c r="M325" s="2">
        <v>-46060</v>
      </c>
      <c r="N325" s="2">
        <f t="shared" si="360"/>
        <v>191040</v>
      </c>
      <c r="O325" s="2"/>
      <c r="P325" s="2">
        <f>N325+O325</f>
        <v>191040</v>
      </c>
      <c r="Q325" s="2"/>
      <c r="R325" s="2"/>
      <c r="S325" s="2"/>
      <c r="T325" s="2"/>
      <c r="U325" s="2">
        <f>P325+Q325</f>
        <v>191040</v>
      </c>
      <c r="V325" s="2">
        <v>-21799.07</v>
      </c>
      <c r="W325" s="2">
        <f>V325</f>
        <v>-21799.07</v>
      </c>
      <c r="X325" s="2"/>
      <c r="Y325" s="2"/>
      <c r="Z325" s="2">
        <f t="shared" ref="Z325" si="372">U325+V325</f>
        <v>169240.93</v>
      </c>
      <c r="AA325" s="2">
        <f>Z325</f>
        <v>169240.93</v>
      </c>
      <c r="AB325" s="14"/>
      <c r="AC325" s="14"/>
    </row>
    <row r="326" spans="1:29" ht="18" customHeight="1" x14ac:dyDescent="0.25">
      <c r="A326" s="332" t="s">
        <v>141</v>
      </c>
      <c r="B326" s="332"/>
      <c r="C326" s="307"/>
      <c r="D326" s="307"/>
      <c r="E326" s="306">
        <v>853</v>
      </c>
      <c r="F326" s="1"/>
      <c r="G326" s="1"/>
      <c r="H326" s="1"/>
      <c r="I326" s="1"/>
      <c r="J326" s="7">
        <f>J327+J341+J346+J360+J369+J386</f>
        <v>19120517</v>
      </c>
      <c r="K326" s="7">
        <f>K327+K341+K346+K360+K369+K386</f>
        <v>0</v>
      </c>
      <c r="L326" s="7">
        <f t="shared" ref="L326:AC326" si="373">L327+L341+L346+L351+L360+L369+L386</f>
        <v>19120517</v>
      </c>
      <c r="M326" s="7">
        <f t="shared" si="373"/>
        <v>-666401</v>
      </c>
      <c r="N326" s="7">
        <f t="shared" si="373"/>
        <v>18454116</v>
      </c>
      <c r="O326" s="7">
        <f t="shared" si="373"/>
        <v>-7950</v>
      </c>
      <c r="P326" s="7">
        <f t="shared" si="373"/>
        <v>18446166</v>
      </c>
      <c r="Q326" s="7">
        <f t="shared" si="373"/>
        <v>2752363.6</v>
      </c>
      <c r="R326" s="7">
        <f t="shared" si="373"/>
        <v>0</v>
      </c>
      <c r="S326" s="7">
        <f t="shared" si="373"/>
        <v>2752363.6</v>
      </c>
      <c r="T326" s="7">
        <f t="shared" si="373"/>
        <v>0</v>
      </c>
      <c r="U326" s="7">
        <f t="shared" si="373"/>
        <v>21198529.600000001</v>
      </c>
      <c r="V326" s="7">
        <f t="shared" si="373"/>
        <v>152427.65</v>
      </c>
      <c r="W326" s="7">
        <f t="shared" si="373"/>
        <v>164819</v>
      </c>
      <c r="X326" s="7">
        <f t="shared" si="373"/>
        <v>-12391.35</v>
      </c>
      <c r="Y326" s="7">
        <f t="shared" si="373"/>
        <v>0</v>
      </c>
      <c r="Z326" s="7">
        <f t="shared" si="373"/>
        <v>21350957.25</v>
      </c>
      <c r="AA326" s="7">
        <f t="shared" si="373"/>
        <v>14607281</v>
      </c>
      <c r="AB326" s="7">
        <f t="shared" si="373"/>
        <v>6743676.25</v>
      </c>
      <c r="AC326" s="7">
        <f t="shared" si="373"/>
        <v>0</v>
      </c>
    </row>
    <row r="327" spans="1:29" s="9" customFormat="1" hidden="1" x14ac:dyDescent="0.25">
      <c r="A327" s="325" t="s">
        <v>16</v>
      </c>
      <c r="B327" s="325"/>
      <c r="C327" s="245"/>
      <c r="D327" s="245"/>
      <c r="E327" s="27">
        <v>853</v>
      </c>
      <c r="F327" s="6" t="s">
        <v>17</v>
      </c>
      <c r="G327" s="6"/>
      <c r="H327" s="6"/>
      <c r="I327" s="6"/>
      <c r="J327" s="7">
        <f t="shared" ref="J327:AC327" si="374">J328+J337</f>
        <v>3735500</v>
      </c>
      <c r="K327" s="7">
        <f t="shared" si="374"/>
        <v>0</v>
      </c>
      <c r="L327" s="7">
        <f t="shared" si="374"/>
        <v>3735500</v>
      </c>
      <c r="M327" s="7">
        <f t="shared" si="374"/>
        <v>0</v>
      </c>
      <c r="N327" s="7">
        <f t="shared" si="374"/>
        <v>3735500</v>
      </c>
      <c r="O327" s="7">
        <f t="shared" si="374"/>
        <v>0</v>
      </c>
      <c r="P327" s="7">
        <f t="shared" si="374"/>
        <v>3735500</v>
      </c>
      <c r="Q327" s="7">
        <f t="shared" si="374"/>
        <v>0</v>
      </c>
      <c r="R327" s="7"/>
      <c r="S327" s="7"/>
      <c r="T327" s="7"/>
      <c r="U327" s="7">
        <f t="shared" si="374"/>
        <v>3735500</v>
      </c>
      <c r="V327" s="7">
        <f t="shared" si="374"/>
        <v>0</v>
      </c>
      <c r="W327" s="7">
        <f t="shared" si="374"/>
        <v>0</v>
      </c>
      <c r="X327" s="7">
        <f t="shared" si="374"/>
        <v>0</v>
      </c>
      <c r="Y327" s="7">
        <f t="shared" si="374"/>
        <v>0</v>
      </c>
      <c r="Z327" s="7">
        <f t="shared" si="374"/>
        <v>3735500</v>
      </c>
      <c r="AA327" s="7">
        <f t="shared" si="374"/>
        <v>200</v>
      </c>
      <c r="AB327" s="7">
        <f t="shared" si="374"/>
        <v>3735300</v>
      </c>
      <c r="AC327" s="7">
        <f t="shared" si="374"/>
        <v>0</v>
      </c>
    </row>
    <row r="328" spans="1:29" s="12" customFormat="1" ht="27.75" hidden="1" customHeight="1" x14ac:dyDescent="0.25">
      <c r="A328" s="328" t="s">
        <v>142</v>
      </c>
      <c r="B328" s="328"/>
      <c r="C328" s="308"/>
      <c r="D328" s="308"/>
      <c r="E328" s="27">
        <v>853</v>
      </c>
      <c r="F328" s="10" t="s">
        <v>17</v>
      </c>
      <c r="G328" s="10" t="s">
        <v>1</v>
      </c>
      <c r="H328" s="10"/>
      <c r="I328" s="10"/>
      <c r="J328" s="11">
        <f t="shared" ref="J328:AC328" si="375">J329</f>
        <v>3735300</v>
      </c>
      <c r="K328" s="11">
        <f t="shared" si="375"/>
        <v>0</v>
      </c>
      <c r="L328" s="11">
        <f t="shared" si="375"/>
        <v>3735300</v>
      </c>
      <c r="M328" s="11">
        <f t="shared" si="375"/>
        <v>0</v>
      </c>
      <c r="N328" s="11">
        <f t="shared" si="375"/>
        <v>3735300</v>
      </c>
      <c r="O328" s="11">
        <f t="shared" si="375"/>
        <v>0</v>
      </c>
      <c r="P328" s="11">
        <f t="shared" si="375"/>
        <v>3735300</v>
      </c>
      <c r="Q328" s="11">
        <f t="shared" si="375"/>
        <v>0</v>
      </c>
      <c r="R328" s="11"/>
      <c r="S328" s="11"/>
      <c r="T328" s="11"/>
      <c r="U328" s="11">
        <f t="shared" si="375"/>
        <v>3735300</v>
      </c>
      <c r="V328" s="11">
        <f t="shared" si="375"/>
        <v>0</v>
      </c>
      <c r="W328" s="11">
        <f t="shared" si="375"/>
        <v>0</v>
      </c>
      <c r="X328" s="11">
        <f t="shared" si="375"/>
        <v>0</v>
      </c>
      <c r="Y328" s="11">
        <f t="shared" si="375"/>
        <v>0</v>
      </c>
      <c r="Z328" s="11">
        <f t="shared" si="375"/>
        <v>3735300</v>
      </c>
      <c r="AA328" s="11">
        <f t="shared" si="375"/>
        <v>0</v>
      </c>
      <c r="AB328" s="11">
        <f t="shared" si="375"/>
        <v>3735300</v>
      </c>
      <c r="AC328" s="11">
        <f t="shared" si="375"/>
        <v>0</v>
      </c>
    </row>
    <row r="329" spans="1:29" ht="27.75" hidden="1" customHeight="1" x14ac:dyDescent="0.25">
      <c r="A329" s="324" t="s">
        <v>26</v>
      </c>
      <c r="B329" s="324"/>
      <c r="C329" s="173"/>
      <c r="D329" s="173"/>
      <c r="E329" s="27">
        <v>853</v>
      </c>
      <c r="F329" s="1" t="s">
        <v>22</v>
      </c>
      <c r="G329" s="1" t="s">
        <v>1</v>
      </c>
      <c r="H329" s="1" t="s">
        <v>359</v>
      </c>
      <c r="I329" s="1"/>
      <c r="J329" s="2">
        <f t="shared" ref="J329:O329" si="376">J330+J332+J334</f>
        <v>3735300</v>
      </c>
      <c r="K329" s="2">
        <f t="shared" si="376"/>
        <v>0</v>
      </c>
      <c r="L329" s="2">
        <f t="shared" si="376"/>
        <v>3735300</v>
      </c>
      <c r="M329" s="2">
        <f t="shared" si="376"/>
        <v>0</v>
      </c>
      <c r="N329" s="2">
        <f t="shared" si="376"/>
        <v>3735300</v>
      </c>
      <c r="O329" s="2">
        <f t="shared" si="376"/>
        <v>0</v>
      </c>
      <c r="P329" s="2">
        <f>P330+P332+P334</f>
        <v>3735300</v>
      </c>
      <c r="Q329" s="2">
        <f t="shared" ref="Q329:AC329" si="377">Q330+Q332+Q334</f>
        <v>0</v>
      </c>
      <c r="R329" s="2"/>
      <c r="S329" s="2"/>
      <c r="T329" s="2"/>
      <c r="U329" s="2">
        <f t="shared" si="377"/>
        <v>3735300</v>
      </c>
      <c r="V329" s="2">
        <f t="shared" si="377"/>
        <v>0</v>
      </c>
      <c r="W329" s="2">
        <f t="shared" si="377"/>
        <v>0</v>
      </c>
      <c r="X329" s="2">
        <f t="shared" si="377"/>
        <v>0</v>
      </c>
      <c r="Y329" s="2">
        <f t="shared" si="377"/>
        <v>0</v>
      </c>
      <c r="Z329" s="2">
        <f t="shared" si="377"/>
        <v>3735300</v>
      </c>
      <c r="AA329" s="2">
        <f t="shared" si="377"/>
        <v>0</v>
      </c>
      <c r="AB329" s="2">
        <f t="shared" si="377"/>
        <v>3735300</v>
      </c>
      <c r="AC329" s="2">
        <f t="shared" si="377"/>
        <v>0</v>
      </c>
    </row>
    <row r="330" spans="1:29" ht="36" customHeight="1" x14ac:dyDescent="0.25">
      <c r="A330" s="14"/>
      <c r="B330" s="301" t="s">
        <v>21</v>
      </c>
      <c r="C330" s="173"/>
      <c r="D330" s="173"/>
      <c r="E330" s="27">
        <v>853</v>
      </c>
      <c r="F330" s="1" t="s">
        <v>17</v>
      </c>
      <c r="G330" s="1" t="s">
        <v>1</v>
      </c>
      <c r="H330" s="1" t="s">
        <v>359</v>
      </c>
      <c r="I330" s="1" t="s">
        <v>23</v>
      </c>
      <c r="J330" s="2">
        <f t="shared" ref="J330:O330" si="378">J331</f>
        <v>3406500</v>
      </c>
      <c r="K330" s="2">
        <f t="shared" si="378"/>
        <v>0</v>
      </c>
      <c r="L330" s="2">
        <f t="shared" si="378"/>
        <v>3406500</v>
      </c>
      <c r="M330" s="2">
        <f t="shared" si="378"/>
        <v>0</v>
      </c>
      <c r="N330" s="2">
        <f t="shared" si="378"/>
        <v>3406500</v>
      </c>
      <c r="O330" s="2">
        <f t="shared" si="378"/>
        <v>0</v>
      </c>
      <c r="P330" s="2">
        <f>P331</f>
        <v>3406500</v>
      </c>
      <c r="Q330" s="2">
        <f t="shared" ref="Q330:AC330" si="379">Q331</f>
        <v>0</v>
      </c>
      <c r="R330" s="2"/>
      <c r="S330" s="2"/>
      <c r="T330" s="2"/>
      <c r="U330" s="2">
        <f t="shared" si="379"/>
        <v>3406500</v>
      </c>
      <c r="V330" s="2">
        <f t="shared" si="379"/>
        <v>15477</v>
      </c>
      <c r="W330" s="2">
        <f t="shared" si="379"/>
        <v>0</v>
      </c>
      <c r="X330" s="2">
        <f t="shared" si="379"/>
        <v>15477</v>
      </c>
      <c r="Y330" s="2">
        <f t="shared" si="379"/>
        <v>0</v>
      </c>
      <c r="Z330" s="2">
        <f t="shared" si="379"/>
        <v>3421977</v>
      </c>
      <c r="AA330" s="2">
        <f t="shared" si="379"/>
        <v>0</v>
      </c>
      <c r="AB330" s="2">
        <f t="shared" si="379"/>
        <v>3421977</v>
      </c>
      <c r="AC330" s="2">
        <f t="shared" si="379"/>
        <v>0</v>
      </c>
    </row>
    <row r="331" spans="1:29" ht="14.25" customHeight="1" x14ac:dyDescent="0.25">
      <c r="A331" s="14"/>
      <c r="B331" s="301" t="s">
        <v>24</v>
      </c>
      <c r="C331" s="173"/>
      <c r="D331" s="173"/>
      <c r="E331" s="27">
        <v>853</v>
      </c>
      <c r="F331" s="1" t="s">
        <v>17</v>
      </c>
      <c r="G331" s="1" t="s">
        <v>1</v>
      </c>
      <c r="H331" s="1" t="s">
        <v>359</v>
      </c>
      <c r="I331" s="1" t="s">
        <v>25</v>
      </c>
      <c r="J331" s="2">
        <f>3406447+53</f>
        <v>3406500</v>
      </c>
      <c r="K331" s="2"/>
      <c r="L331" s="2">
        <f t="shared" si="317"/>
        <v>3406500</v>
      </c>
      <c r="M331" s="2"/>
      <c r="N331" s="2">
        <f t="shared" ref="N331:N336" si="380">L331+M331</f>
        <v>3406500</v>
      </c>
      <c r="O331" s="2"/>
      <c r="P331" s="2">
        <f>N331+O331</f>
        <v>3406500</v>
      </c>
      <c r="Q331" s="2"/>
      <c r="R331" s="2"/>
      <c r="S331" s="2"/>
      <c r="T331" s="2"/>
      <c r="U331" s="2">
        <f>P331+Q331</f>
        <v>3406500</v>
      </c>
      <c r="V331" s="2">
        <v>15477</v>
      </c>
      <c r="W331" s="2"/>
      <c r="X331" s="2">
        <f>V331</f>
        <v>15477</v>
      </c>
      <c r="Y331" s="2"/>
      <c r="Z331" s="2">
        <f t="shared" ref="Z331" si="381">U331+V331</f>
        <v>3421977</v>
      </c>
      <c r="AA331" s="14"/>
      <c r="AB331" s="2">
        <f>Z331</f>
        <v>3421977</v>
      </c>
      <c r="AC331" s="14"/>
    </row>
    <row r="332" spans="1:29" ht="14.25" customHeight="1" x14ac:dyDescent="0.25">
      <c r="A332" s="14"/>
      <c r="B332" s="291" t="s">
        <v>27</v>
      </c>
      <c r="C332" s="173"/>
      <c r="D332" s="173"/>
      <c r="E332" s="27">
        <v>853</v>
      </c>
      <c r="F332" s="1" t="s">
        <v>17</v>
      </c>
      <c r="G332" s="1" t="s">
        <v>1</v>
      </c>
      <c r="H332" s="1" t="s">
        <v>359</v>
      </c>
      <c r="I332" s="1" t="s">
        <v>28</v>
      </c>
      <c r="J332" s="2">
        <f t="shared" ref="J332:O332" si="382">J333</f>
        <v>314800</v>
      </c>
      <c r="K332" s="2">
        <f t="shared" si="382"/>
        <v>0</v>
      </c>
      <c r="L332" s="2">
        <f t="shared" si="382"/>
        <v>314800</v>
      </c>
      <c r="M332" s="2">
        <f t="shared" si="382"/>
        <v>0</v>
      </c>
      <c r="N332" s="2">
        <f t="shared" si="382"/>
        <v>314800</v>
      </c>
      <c r="O332" s="2">
        <f t="shared" si="382"/>
        <v>0</v>
      </c>
      <c r="P332" s="2">
        <f>P333</f>
        <v>314800</v>
      </c>
      <c r="Q332" s="2">
        <f t="shared" ref="Q332:AC332" si="383">Q333</f>
        <v>0</v>
      </c>
      <c r="R332" s="2"/>
      <c r="S332" s="2"/>
      <c r="T332" s="2"/>
      <c r="U332" s="2">
        <f t="shared" si="383"/>
        <v>314800</v>
      </c>
      <c r="V332" s="2">
        <f t="shared" si="383"/>
        <v>-5064</v>
      </c>
      <c r="W332" s="2">
        <f t="shared" si="383"/>
        <v>0</v>
      </c>
      <c r="X332" s="2">
        <f t="shared" si="383"/>
        <v>-5064</v>
      </c>
      <c r="Y332" s="2">
        <f t="shared" si="383"/>
        <v>0</v>
      </c>
      <c r="Z332" s="2">
        <f t="shared" si="383"/>
        <v>309736</v>
      </c>
      <c r="AA332" s="2">
        <f t="shared" si="383"/>
        <v>0</v>
      </c>
      <c r="AB332" s="2">
        <f t="shared" si="383"/>
        <v>309736</v>
      </c>
      <c r="AC332" s="2">
        <f t="shared" si="383"/>
        <v>0</v>
      </c>
    </row>
    <row r="333" spans="1:29" ht="14.25" customHeight="1" x14ac:dyDescent="0.25">
      <c r="A333" s="14"/>
      <c r="B333" s="291" t="s">
        <v>29</v>
      </c>
      <c r="C333" s="173"/>
      <c r="D333" s="173"/>
      <c r="E333" s="27">
        <v>853</v>
      </c>
      <c r="F333" s="1" t="s">
        <v>17</v>
      </c>
      <c r="G333" s="1" t="s">
        <v>1</v>
      </c>
      <c r="H333" s="1" t="s">
        <v>359</v>
      </c>
      <c r="I333" s="1" t="s">
        <v>30</v>
      </c>
      <c r="J333" s="2">
        <f>318400-3600</f>
        <v>314800</v>
      </c>
      <c r="K333" s="2"/>
      <c r="L333" s="2">
        <f t="shared" si="317"/>
        <v>314800</v>
      </c>
      <c r="M333" s="2"/>
      <c r="N333" s="2">
        <f t="shared" si="380"/>
        <v>314800</v>
      </c>
      <c r="O333" s="2"/>
      <c r="P333" s="2">
        <f>N333+O333</f>
        <v>314800</v>
      </c>
      <c r="Q333" s="2"/>
      <c r="R333" s="2"/>
      <c r="S333" s="2"/>
      <c r="T333" s="2"/>
      <c r="U333" s="2">
        <f>P333+Q333</f>
        <v>314800</v>
      </c>
      <c r="V333" s="2">
        <v>-5064</v>
      </c>
      <c r="W333" s="2"/>
      <c r="X333" s="2">
        <f>V333</f>
        <v>-5064</v>
      </c>
      <c r="Y333" s="2"/>
      <c r="Z333" s="2">
        <f t="shared" ref="Z333" si="384">U333+V333</f>
        <v>309736</v>
      </c>
      <c r="AA333" s="14"/>
      <c r="AB333" s="2">
        <f>Z333</f>
        <v>309736</v>
      </c>
      <c r="AC333" s="14"/>
    </row>
    <row r="334" spans="1:29" x14ac:dyDescent="0.25">
      <c r="A334" s="14"/>
      <c r="B334" s="291" t="s">
        <v>31</v>
      </c>
      <c r="C334" s="173"/>
      <c r="D334" s="173"/>
      <c r="E334" s="27">
        <v>853</v>
      </c>
      <c r="F334" s="1" t="s">
        <v>17</v>
      </c>
      <c r="G334" s="1" t="s">
        <v>1</v>
      </c>
      <c r="H334" s="1" t="s">
        <v>359</v>
      </c>
      <c r="I334" s="1" t="s">
        <v>32</v>
      </c>
      <c r="J334" s="2">
        <f t="shared" ref="J334:O334" si="385">J335+J336</f>
        <v>14000</v>
      </c>
      <c r="K334" s="2">
        <f t="shared" si="385"/>
        <v>0</v>
      </c>
      <c r="L334" s="2">
        <f t="shared" si="385"/>
        <v>14000</v>
      </c>
      <c r="M334" s="2">
        <f t="shared" si="385"/>
        <v>0</v>
      </c>
      <c r="N334" s="2">
        <f t="shared" si="385"/>
        <v>14000</v>
      </c>
      <c r="O334" s="2">
        <f t="shared" si="385"/>
        <v>0</v>
      </c>
      <c r="P334" s="2">
        <f>P335+P336</f>
        <v>14000</v>
      </c>
      <c r="Q334" s="2">
        <f t="shared" ref="Q334:AC334" si="386">Q335+Q336</f>
        <v>0</v>
      </c>
      <c r="R334" s="2"/>
      <c r="S334" s="2"/>
      <c r="T334" s="2"/>
      <c r="U334" s="2">
        <f t="shared" si="386"/>
        <v>14000</v>
      </c>
      <c r="V334" s="2">
        <f t="shared" si="386"/>
        <v>-10413</v>
      </c>
      <c r="W334" s="2">
        <f t="shared" si="386"/>
        <v>0</v>
      </c>
      <c r="X334" s="2">
        <f t="shared" si="386"/>
        <v>-10413</v>
      </c>
      <c r="Y334" s="2">
        <f t="shared" si="386"/>
        <v>0</v>
      </c>
      <c r="Z334" s="2">
        <f t="shared" si="386"/>
        <v>3587</v>
      </c>
      <c r="AA334" s="2">
        <f t="shared" si="386"/>
        <v>0</v>
      </c>
      <c r="AB334" s="2">
        <f t="shared" si="386"/>
        <v>3587</v>
      </c>
      <c r="AC334" s="2">
        <f t="shared" si="386"/>
        <v>0</v>
      </c>
    </row>
    <row r="335" spans="1:29" ht="13.5" customHeight="1" x14ac:dyDescent="0.25">
      <c r="A335" s="14"/>
      <c r="B335" s="291" t="s">
        <v>33</v>
      </c>
      <c r="C335" s="173"/>
      <c r="D335" s="173"/>
      <c r="E335" s="62">
        <v>853</v>
      </c>
      <c r="F335" s="1" t="s">
        <v>17</v>
      </c>
      <c r="G335" s="1" t="s">
        <v>1</v>
      </c>
      <c r="H335" s="1" t="s">
        <v>359</v>
      </c>
      <c r="I335" s="1" t="s">
        <v>34</v>
      </c>
      <c r="J335" s="2">
        <f>14000-130</f>
        <v>13870</v>
      </c>
      <c r="K335" s="2"/>
      <c r="L335" s="2">
        <f t="shared" si="317"/>
        <v>13870</v>
      </c>
      <c r="M335" s="2"/>
      <c r="N335" s="2">
        <f t="shared" si="380"/>
        <v>13870</v>
      </c>
      <c r="O335" s="2"/>
      <c r="P335" s="2">
        <f>N335+O335</f>
        <v>13870</v>
      </c>
      <c r="Q335" s="2"/>
      <c r="R335" s="2"/>
      <c r="S335" s="2"/>
      <c r="T335" s="2"/>
      <c r="U335" s="2">
        <f>P335+Q335</f>
        <v>13870</v>
      </c>
      <c r="V335" s="2">
        <v>-10489</v>
      </c>
      <c r="W335" s="2"/>
      <c r="X335" s="2">
        <f>V335</f>
        <v>-10489</v>
      </c>
      <c r="Y335" s="2"/>
      <c r="Z335" s="2">
        <f t="shared" ref="Z335:Z336" si="387">U335+V335</f>
        <v>3381</v>
      </c>
      <c r="AA335" s="14"/>
      <c r="AB335" s="2">
        <f>Z335</f>
        <v>3381</v>
      </c>
      <c r="AC335" s="14"/>
    </row>
    <row r="336" spans="1:29" ht="13.5" customHeight="1" x14ac:dyDescent="0.25">
      <c r="A336" s="14"/>
      <c r="B336" s="301" t="s">
        <v>435</v>
      </c>
      <c r="C336" s="173"/>
      <c r="D336" s="173"/>
      <c r="E336" s="62">
        <v>853</v>
      </c>
      <c r="F336" s="1" t="s">
        <v>17</v>
      </c>
      <c r="G336" s="1" t="s">
        <v>1</v>
      </c>
      <c r="H336" s="1" t="s">
        <v>359</v>
      </c>
      <c r="I336" s="1" t="s">
        <v>35</v>
      </c>
      <c r="J336" s="2">
        <v>130</v>
      </c>
      <c r="K336" s="2"/>
      <c r="L336" s="2">
        <f t="shared" si="317"/>
        <v>130</v>
      </c>
      <c r="M336" s="2"/>
      <c r="N336" s="2">
        <f t="shared" si="380"/>
        <v>130</v>
      </c>
      <c r="O336" s="2"/>
      <c r="P336" s="2">
        <f>N336+O336</f>
        <v>130</v>
      </c>
      <c r="Q336" s="2"/>
      <c r="R336" s="2"/>
      <c r="S336" s="2"/>
      <c r="T336" s="2"/>
      <c r="U336" s="2">
        <f>P336+Q336</f>
        <v>130</v>
      </c>
      <c r="V336" s="2">
        <v>76</v>
      </c>
      <c r="W336" s="2"/>
      <c r="X336" s="2">
        <f>V336</f>
        <v>76</v>
      </c>
      <c r="Y336" s="2"/>
      <c r="Z336" s="2">
        <f t="shared" si="387"/>
        <v>206</v>
      </c>
      <c r="AA336" s="14"/>
      <c r="AB336" s="2">
        <f>Z336</f>
        <v>206</v>
      </c>
      <c r="AC336" s="14"/>
    </row>
    <row r="337" spans="1:29" s="12" customFormat="1" hidden="1" x14ac:dyDescent="0.25">
      <c r="A337" s="328" t="s">
        <v>43</v>
      </c>
      <c r="B337" s="328"/>
      <c r="C337" s="295"/>
      <c r="D337" s="295"/>
      <c r="E337" s="62">
        <v>853</v>
      </c>
      <c r="F337" s="10" t="s">
        <v>17</v>
      </c>
      <c r="G337" s="10" t="s">
        <v>44</v>
      </c>
      <c r="H337" s="10"/>
      <c r="I337" s="10"/>
      <c r="J337" s="11">
        <f t="shared" ref="J337:Y339" si="388">J338</f>
        <v>200</v>
      </c>
      <c r="K337" s="11">
        <f t="shared" si="388"/>
        <v>0</v>
      </c>
      <c r="L337" s="11">
        <f t="shared" si="388"/>
        <v>200</v>
      </c>
      <c r="M337" s="11">
        <f t="shared" si="388"/>
        <v>0</v>
      </c>
      <c r="N337" s="11">
        <f t="shared" si="388"/>
        <v>200</v>
      </c>
      <c r="O337" s="11">
        <f t="shared" si="388"/>
        <v>0</v>
      </c>
      <c r="P337" s="11">
        <f t="shared" si="388"/>
        <v>200</v>
      </c>
      <c r="Q337" s="11">
        <f t="shared" si="388"/>
        <v>0</v>
      </c>
      <c r="R337" s="11"/>
      <c r="S337" s="11"/>
      <c r="T337" s="11"/>
      <c r="U337" s="11">
        <f t="shared" si="388"/>
        <v>200</v>
      </c>
      <c r="V337" s="11">
        <f t="shared" si="388"/>
        <v>0</v>
      </c>
      <c r="W337" s="11">
        <f t="shared" si="388"/>
        <v>0</v>
      </c>
      <c r="X337" s="11">
        <f t="shared" si="388"/>
        <v>0</v>
      </c>
      <c r="Y337" s="11">
        <f t="shared" si="388"/>
        <v>0</v>
      </c>
      <c r="Z337" s="11">
        <f t="shared" ref="V337:AC339" si="389">Z338</f>
        <v>200</v>
      </c>
      <c r="AA337" s="11">
        <f t="shared" si="389"/>
        <v>200</v>
      </c>
      <c r="AB337" s="11">
        <f t="shared" si="389"/>
        <v>0</v>
      </c>
      <c r="AC337" s="11">
        <f t="shared" si="389"/>
        <v>0</v>
      </c>
    </row>
    <row r="338" spans="1:29" ht="49.5" hidden="1" customHeight="1" x14ac:dyDescent="0.25">
      <c r="A338" s="324" t="s">
        <v>45</v>
      </c>
      <c r="B338" s="324"/>
      <c r="C338" s="173"/>
      <c r="D338" s="173"/>
      <c r="E338" s="62">
        <v>853</v>
      </c>
      <c r="F338" s="1" t="s">
        <v>17</v>
      </c>
      <c r="G338" s="1" t="s">
        <v>44</v>
      </c>
      <c r="H338" s="1" t="s">
        <v>419</v>
      </c>
      <c r="I338" s="1"/>
      <c r="J338" s="2">
        <f t="shared" si="388"/>
        <v>200</v>
      </c>
      <c r="K338" s="2">
        <f t="shared" si="388"/>
        <v>0</v>
      </c>
      <c r="L338" s="2">
        <f t="shared" si="388"/>
        <v>200</v>
      </c>
      <c r="M338" s="2">
        <f t="shared" si="388"/>
        <v>0</v>
      </c>
      <c r="N338" s="2">
        <f t="shared" si="388"/>
        <v>200</v>
      </c>
      <c r="O338" s="2">
        <f t="shared" si="388"/>
        <v>0</v>
      </c>
      <c r="P338" s="2">
        <f>P339</f>
        <v>200</v>
      </c>
      <c r="Q338" s="2">
        <f t="shared" si="388"/>
        <v>0</v>
      </c>
      <c r="R338" s="2"/>
      <c r="S338" s="2"/>
      <c r="T338" s="2"/>
      <c r="U338" s="2">
        <f t="shared" si="388"/>
        <v>200</v>
      </c>
      <c r="V338" s="2">
        <f t="shared" si="388"/>
        <v>0</v>
      </c>
      <c r="W338" s="2">
        <f t="shared" si="388"/>
        <v>0</v>
      </c>
      <c r="X338" s="2">
        <f t="shared" si="388"/>
        <v>0</v>
      </c>
      <c r="Y338" s="2">
        <f t="shared" si="388"/>
        <v>0</v>
      </c>
      <c r="Z338" s="2">
        <f t="shared" si="389"/>
        <v>200</v>
      </c>
      <c r="AA338" s="2">
        <f t="shared" si="389"/>
        <v>200</v>
      </c>
      <c r="AB338" s="2">
        <f t="shared" si="389"/>
        <v>0</v>
      </c>
      <c r="AC338" s="2">
        <f t="shared" si="389"/>
        <v>0</v>
      </c>
    </row>
    <row r="339" spans="1:29" hidden="1" x14ac:dyDescent="0.25">
      <c r="A339" s="14"/>
      <c r="B339" s="301" t="s">
        <v>143</v>
      </c>
      <c r="C339" s="300"/>
      <c r="D339" s="300"/>
      <c r="E339" s="27">
        <v>853</v>
      </c>
      <c r="F339" s="1" t="s">
        <v>17</v>
      </c>
      <c r="G339" s="17" t="s">
        <v>44</v>
      </c>
      <c r="H339" s="1" t="s">
        <v>419</v>
      </c>
      <c r="I339" s="1" t="s">
        <v>144</v>
      </c>
      <c r="J339" s="2">
        <f t="shared" si="388"/>
        <v>200</v>
      </c>
      <c r="K339" s="2">
        <f t="shared" si="388"/>
        <v>0</v>
      </c>
      <c r="L339" s="2">
        <f t="shared" si="388"/>
        <v>200</v>
      </c>
      <c r="M339" s="2">
        <f t="shared" si="388"/>
        <v>0</v>
      </c>
      <c r="N339" s="2">
        <f t="shared" si="388"/>
        <v>200</v>
      </c>
      <c r="O339" s="2">
        <f t="shared" si="388"/>
        <v>0</v>
      </c>
      <c r="P339" s="2">
        <f>P340</f>
        <v>200</v>
      </c>
      <c r="Q339" s="2">
        <f t="shared" si="388"/>
        <v>0</v>
      </c>
      <c r="R339" s="2"/>
      <c r="S339" s="2"/>
      <c r="T339" s="2"/>
      <c r="U339" s="2">
        <f t="shared" si="388"/>
        <v>200</v>
      </c>
      <c r="V339" s="2">
        <f t="shared" si="389"/>
        <v>0</v>
      </c>
      <c r="W339" s="2">
        <f t="shared" si="389"/>
        <v>0</v>
      </c>
      <c r="X339" s="2">
        <f t="shared" si="389"/>
        <v>0</v>
      </c>
      <c r="Y339" s="2">
        <f t="shared" si="389"/>
        <v>0</v>
      </c>
      <c r="Z339" s="2">
        <f t="shared" si="389"/>
        <v>200</v>
      </c>
      <c r="AA339" s="2">
        <f t="shared" si="389"/>
        <v>200</v>
      </c>
      <c r="AB339" s="2">
        <f t="shared" si="389"/>
        <v>0</v>
      </c>
      <c r="AC339" s="2">
        <f t="shared" si="389"/>
        <v>0</v>
      </c>
    </row>
    <row r="340" spans="1:29" hidden="1" x14ac:dyDescent="0.25">
      <c r="A340" s="14"/>
      <c r="B340" s="301" t="s">
        <v>145</v>
      </c>
      <c r="C340" s="300"/>
      <c r="D340" s="300"/>
      <c r="E340" s="27">
        <v>853</v>
      </c>
      <c r="F340" s="1" t="s">
        <v>17</v>
      </c>
      <c r="G340" s="17" t="s">
        <v>44</v>
      </c>
      <c r="H340" s="1" t="s">
        <v>419</v>
      </c>
      <c r="I340" s="1" t="s">
        <v>146</v>
      </c>
      <c r="J340" s="2">
        <v>200</v>
      </c>
      <c r="K340" s="2"/>
      <c r="L340" s="2">
        <f t="shared" si="317"/>
        <v>200</v>
      </c>
      <c r="M340" s="2"/>
      <c r="N340" s="2">
        <f t="shared" ref="N340" si="390">L340+M340</f>
        <v>200</v>
      </c>
      <c r="O340" s="2"/>
      <c r="P340" s="2">
        <f>N340+O340</f>
        <v>200</v>
      </c>
      <c r="Q340" s="2"/>
      <c r="R340" s="2"/>
      <c r="S340" s="2"/>
      <c r="T340" s="2"/>
      <c r="U340" s="2">
        <f>P340+Q340</f>
        <v>200</v>
      </c>
      <c r="V340" s="2"/>
      <c r="W340" s="2"/>
      <c r="X340" s="2"/>
      <c r="Y340" s="2"/>
      <c r="Z340" s="2">
        <f t="shared" ref="Z340" si="391">U340+V340</f>
        <v>200</v>
      </c>
      <c r="AA340" s="2">
        <f>Z340</f>
        <v>200</v>
      </c>
      <c r="AB340" s="14"/>
      <c r="AC340" s="14"/>
    </row>
    <row r="341" spans="1:29" s="9" customFormat="1" x14ac:dyDescent="0.25">
      <c r="A341" s="325" t="s">
        <v>147</v>
      </c>
      <c r="B341" s="325"/>
      <c r="C341" s="292"/>
      <c r="D341" s="28"/>
      <c r="E341" s="27">
        <v>853</v>
      </c>
      <c r="F341" s="6" t="s">
        <v>72</v>
      </c>
      <c r="G341" s="6"/>
      <c r="H341" s="6"/>
      <c r="I341" s="6"/>
      <c r="J341" s="7">
        <f t="shared" ref="J341:Y344" si="392">J342</f>
        <v>800617</v>
      </c>
      <c r="K341" s="7">
        <f t="shared" si="392"/>
        <v>0</v>
      </c>
      <c r="L341" s="7">
        <f t="shared" si="392"/>
        <v>800617</v>
      </c>
      <c r="M341" s="7">
        <f t="shared" si="392"/>
        <v>-74105</v>
      </c>
      <c r="N341" s="7">
        <f t="shared" si="392"/>
        <v>726512</v>
      </c>
      <c r="O341" s="7">
        <f t="shared" si="392"/>
        <v>0</v>
      </c>
      <c r="P341" s="7">
        <f t="shared" si="392"/>
        <v>726512</v>
      </c>
      <c r="Q341" s="7">
        <f t="shared" si="392"/>
        <v>0</v>
      </c>
      <c r="R341" s="7"/>
      <c r="S341" s="7"/>
      <c r="T341" s="7"/>
      <c r="U341" s="7">
        <f t="shared" si="392"/>
        <v>726512</v>
      </c>
      <c r="V341" s="7">
        <f t="shared" si="392"/>
        <v>80719</v>
      </c>
      <c r="W341" s="7">
        <f t="shared" si="392"/>
        <v>80719</v>
      </c>
      <c r="X341" s="7">
        <f t="shared" si="392"/>
        <v>0</v>
      </c>
      <c r="Y341" s="7">
        <f t="shared" si="392"/>
        <v>0</v>
      </c>
      <c r="Z341" s="7">
        <f t="shared" ref="V341:AC344" si="393">Z342</f>
        <v>807231</v>
      </c>
      <c r="AA341" s="7">
        <f t="shared" si="393"/>
        <v>807231</v>
      </c>
      <c r="AB341" s="7">
        <f t="shared" si="393"/>
        <v>0</v>
      </c>
      <c r="AC341" s="7">
        <f t="shared" si="393"/>
        <v>0</v>
      </c>
    </row>
    <row r="342" spans="1:29" s="30" customFormat="1" x14ac:dyDescent="0.25">
      <c r="A342" s="345" t="s">
        <v>148</v>
      </c>
      <c r="B342" s="345"/>
      <c r="C342" s="304"/>
      <c r="D342" s="29"/>
      <c r="E342" s="27">
        <v>853</v>
      </c>
      <c r="F342" s="10" t="s">
        <v>72</v>
      </c>
      <c r="G342" s="10" t="s">
        <v>3</v>
      </c>
      <c r="H342" s="10"/>
      <c r="I342" s="10"/>
      <c r="J342" s="11">
        <f t="shared" si="392"/>
        <v>800617</v>
      </c>
      <c r="K342" s="11">
        <f t="shared" si="392"/>
        <v>0</v>
      </c>
      <c r="L342" s="11">
        <f t="shared" si="392"/>
        <v>800617</v>
      </c>
      <c r="M342" s="11">
        <f t="shared" si="392"/>
        <v>-74105</v>
      </c>
      <c r="N342" s="11">
        <f t="shared" si="392"/>
        <v>726512</v>
      </c>
      <c r="O342" s="11">
        <f t="shared" si="392"/>
        <v>0</v>
      </c>
      <c r="P342" s="11">
        <f t="shared" si="392"/>
        <v>726512</v>
      </c>
      <c r="Q342" s="11">
        <f t="shared" si="392"/>
        <v>0</v>
      </c>
      <c r="R342" s="11"/>
      <c r="S342" s="11"/>
      <c r="T342" s="11"/>
      <c r="U342" s="11">
        <f t="shared" si="392"/>
        <v>726512</v>
      </c>
      <c r="V342" s="11">
        <f t="shared" si="392"/>
        <v>80719</v>
      </c>
      <c r="W342" s="11">
        <f t="shared" si="392"/>
        <v>80719</v>
      </c>
      <c r="X342" s="11">
        <f t="shared" si="392"/>
        <v>0</v>
      </c>
      <c r="Y342" s="11">
        <f t="shared" si="392"/>
        <v>0</v>
      </c>
      <c r="Z342" s="11">
        <f t="shared" si="393"/>
        <v>807231</v>
      </c>
      <c r="AA342" s="11">
        <f t="shared" si="393"/>
        <v>807231</v>
      </c>
      <c r="AB342" s="11">
        <f t="shared" si="393"/>
        <v>0</v>
      </c>
      <c r="AC342" s="11">
        <f t="shared" si="393"/>
        <v>0</v>
      </c>
    </row>
    <row r="343" spans="1:29" s="22" customFormat="1" ht="38.25" customHeight="1" x14ac:dyDescent="0.25">
      <c r="A343" s="323" t="s">
        <v>490</v>
      </c>
      <c r="B343" s="323"/>
      <c r="C343" s="301"/>
      <c r="E343" s="27">
        <v>853</v>
      </c>
      <c r="F343" s="113" t="s">
        <v>72</v>
      </c>
      <c r="G343" s="113" t="s">
        <v>3</v>
      </c>
      <c r="H343" s="113" t="s">
        <v>408</v>
      </c>
      <c r="I343" s="139" t="s">
        <v>149</v>
      </c>
      <c r="J343" s="2">
        <f t="shared" si="392"/>
        <v>800617</v>
      </c>
      <c r="K343" s="2">
        <f t="shared" si="392"/>
        <v>0</v>
      </c>
      <c r="L343" s="2">
        <f t="shared" si="392"/>
        <v>800617</v>
      </c>
      <c r="M343" s="2">
        <f t="shared" si="392"/>
        <v>-74105</v>
      </c>
      <c r="N343" s="2">
        <f t="shared" si="392"/>
        <v>726512</v>
      </c>
      <c r="O343" s="2">
        <f t="shared" si="392"/>
        <v>0</v>
      </c>
      <c r="P343" s="2">
        <f>P344</f>
        <v>726512</v>
      </c>
      <c r="Q343" s="2">
        <f t="shared" si="392"/>
        <v>0</v>
      </c>
      <c r="R343" s="2"/>
      <c r="S343" s="2"/>
      <c r="T343" s="2"/>
      <c r="U343" s="2">
        <f t="shared" si="392"/>
        <v>726512</v>
      </c>
      <c r="V343" s="2">
        <f t="shared" si="393"/>
        <v>80719</v>
      </c>
      <c r="W343" s="2">
        <f t="shared" si="393"/>
        <v>80719</v>
      </c>
      <c r="X343" s="2">
        <f t="shared" si="393"/>
        <v>0</v>
      </c>
      <c r="Y343" s="2">
        <f t="shared" si="393"/>
        <v>0</v>
      </c>
      <c r="Z343" s="2">
        <f t="shared" si="393"/>
        <v>807231</v>
      </c>
      <c r="AA343" s="2">
        <f t="shared" si="393"/>
        <v>807231</v>
      </c>
      <c r="AB343" s="2">
        <f t="shared" si="393"/>
        <v>0</v>
      </c>
      <c r="AC343" s="2">
        <f t="shared" si="393"/>
        <v>0</v>
      </c>
    </row>
    <row r="344" spans="1:29" s="22" customFormat="1" x14ac:dyDescent="0.25">
      <c r="A344" s="301"/>
      <c r="B344" s="291" t="s">
        <v>143</v>
      </c>
      <c r="C344" s="301"/>
      <c r="E344" s="27">
        <v>853</v>
      </c>
      <c r="F344" s="113" t="s">
        <v>72</v>
      </c>
      <c r="G344" s="113" t="s">
        <v>3</v>
      </c>
      <c r="H344" s="113" t="s">
        <v>408</v>
      </c>
      <c r="I344" s="113" t="s">
        <v>144</v>
      </c>
      <c r="J344" s="2">
        <f t="shared" si="392"/>
        <v>800617</v>
      </c>
      <c r="K344" s="2">
        <f t="shared" si="392"/>
        <v>0</v>
      </c>
      <c r="L344" s="2">
        <f t="shared" si="392"/>
        <v>800617</v>
      </c>
      <c r="M344" s="2">
        <f t="shared" si="392"/>
        <v>-74105</v>
      </c>
      <c r="N344" s="2">
        <f t="shared" si="392"/>
        <v>726512</v>
      </c>
      <c r="O344" s="2">
        <f t="shared" si="392"/>
        <v>0</v>
      </c>
      <c r="P344" s="2">
        <f>P345</f>
        <v>726512</v>
      </c>
      <c r="Q344" s="2">
        <f t="shared" si="392"/>
        <v>0</v>
      </c>
      <c r="R344" s="2"/>
      <c r="S344" s="2"/>
      <c r="T344" s="2"/>
      <c r="U344" s="2">
        <f t="shared" si="392"/>
        <v>726512</v>
      </c>
      <c r="V344" s="2">
        <f t="shared" si="393"/>
        <v>80719</v>
      </c>
      <c r="W344" s="2">
        <f t="shared" si="393"/>
        <v>80719</v>
      </c>
      <c r="X344" s="2">
        <f t="shared" si="393"/>
        <v>0</v>
      </c>
      <c r="Y344" s="2">
        <f t="shared" si="393"/>
        <v>0</v>
      </c>
      <c r="Z344" s="2">
        <f t="shared" si="393"/>
        <v>807231</v>
      </c>
      <c r="AA344" s="2">
        <f t="shared" si="393"/>
        <v>807231</v>
      </c>
      <c r="AB344" s="2">
        <f t="shared" si="393"/>
        <v>0</v>
      </c>
      <c r="AC344" s="2">
        <f t="shared" si="393"/>
        <v>0</v>
      </c>
    </row>
    <row r="345" spans="1:29" s="22" customFormat="1" x14ac:dyDescent="0.25">
      <c r="A345" s="301"/>
      <c r="B345" s="291" t="s">
        <v>145</v>
      </c>
      <c r="C345" s="301"/>
      <c r="E345" s="27">
        <v>853</v>
      </c>
      <c r="F345" s="113" t="s">
        <v>72</v>
      </c>
      <c r="G345" s="113" t="s">
        <v>3</v>
      </c>
      <c r="H345" s="113" t="s">
        <v>408</v>
      </c>
      <c r="I345" s="113" t="s">
        <v>146</v>
      </c>
      <c r="J345" s="36">
        <v>800617</v>
      </c>
      <c r="K345" s="36"/>
      <c r="L345" s="2">
        <f t="shared" si="317"/>
        <v>800617</v>
      </c>
      <c r="M345" s="36">
        <v>-74105</v>
      </c>
      <c r="N345" s="2">
        <f t="shared" ref="N345" si="394">L345+M345</f>
        <v>726512</v>
      </c>
      <c r="O345" s="36"/>
      <c r="P345" s="2">
        <f>N345+O345</f>
        <v>726512</v>
      </c>
      <c r="Q345" s="36"/>
      <c r="R345" s="36"/>
      <c r="S345" s="36"/>
      <c r="T345" s="36"/>
      <c r="U345" s="2">
        <f>P345+Q345</f>
        <v>726512</v>
      </c>
      <c r="V345" s="36">
        <v>80719</v>
      </c>
      <c r="W345" s="36">
        <v>80719</v>
      </c>
      <c r="X345" s="36"/>
      <c r="Y345" s="36"/>
      <c r="Z345" s="2">
        <f t="shared" ref="Z345" si="395">U345+V345</f>
        <v>807231</v>
      </c>
      <c r="AA345" s="2">
        <f>Z345</f>
        <v>807231</v>
      </c>
      <c r="AB345" s="301"/>
      <c r="AC345" s="301"/>
    </row>
    <row r="346" spans="1:29" s="9" customFormat="1" hidden="1" x14ac:dyDescent="0.25">
      <c r="A346" s="325" t="s">
        <v>61</v>
      </c>
      <c r="B346" s="325"/>
      <c r="C346" s="292"/>
      <c r="D346" s="292"/>
      <c r="E346" s="27">
        <v>853</v>
      </c>
      <c r="F346" s="6" t="s">
        <v>6</v>
      </c>
      <c r="G346" s="6"/>
      <c r="H346" s="6"/>
      <c r="I346" s="6"/>
      <c r="J346" s="7">
        <f>J347</f>
        <v>0</v>
      </c>
      <c r="K346" s="7">
        <f t="shared" ref="K346:Z349" si="396">K347</f>
        <v>0</v>
      </c>
      <c r="L346" s="7">
        <f t="shared" si="396"/>
        <v>0</v>
      </c>
      <c r="M346" s="7">
        <f t="shared" si="396"/>
        <v>0</v>
      </c>
      <c r="N346" s="7">
        <f t="shared" si="396"/>
        <v>0</v>
      </c>
      <c r="O346" s="7">
        <f t="shared" si="396"/>
        <v>0</v>
      </c>
      <c r="P346" s="7">
        <f t="shared" si="396"/>
        <v>0</v>
      </c>
      <c r="Q346" s="7">
        <f t="shared" si="396"/>
        <v>2478000</v>
      </c>
      <c r="R346" s="7">
        <f>SUM(R347:R350)</f>
        <v>0</v>
      </c>
      <c r="S346" s="7">
        <f t="shared" ref="S346:T346" si="397">SUM(S347:S350)</f>
        <v>2478000</v>
      </c>
      <c r="T346" s="7">
        <f t="shared" si="397"/>
        <v>0</v>
      </c>
      <c r="U346" s="7">
        <f t="shared" si="396"/>
        <v>2478000</v>
      </c>
      <c r="V346" s="7">
        <f t="shared" si="396"/>
        <v>0</v>
      </c>
      <c r="W346" s="7">
        <f t="shared" si="396"/>
        <v>0</v>
      </c>
      <c r="X346" s="7">
        <f t="shared" si="396"/>
        <v>0</v>
      </c>
      <c r="Y346" s="7">
        <f t="shared" si="396"/>
        <v>0</v>
      </c>
      <c r="Z346" s="7">
        <f t="shared" si="396"/>
        <v>2478000</v>
      </c>
      <c r="AA346" s="7">
        <f t="shared" ref="W346:AC349" si="398">AA347</f>
        <v>0</v>
      </c>
      <c r="AB346" s="7">
        <f t="shared" si="398"/>
        <v>2478000</v>
      </c>
      <c r="AC346" s="7">
        <f t="shared" si="398"/>
        <v>0</v>
      </c>
    </row>
    <row r="347" spans="1:29" s="12" customFormat="1" hidden="1" x14ac:dyDescent="0.25">
      <c r="A347" s="328" t="s">
        <v>353</v>
      </c>
      <c r="B347" s="328"/>
      <c r="C347" s="295"/>
      <c r="D347" s="295"/>
      <c r="E347" s="27">
        <v>853</v>
      </c>
      <c r="F347" s="10" t="s">
        <v>6</v>
      </c>
      <c r="G347" s="10" t="s">
        <v>57</v>
      </c>
      <c r="H347" s="10"/>
      <c r="I347" s="10"/>
      <c r="J347" s="11">
        <f>J348</f>
        <v>0</v>
      </c>
      <c r="K347" s="11">
        <f t="shared" si="396"/>
        <v>0</v>
      </c>
      <c r="L347" s="11">
        <f t="shared" si="396"/>
        <v>0</v>
      </c>
      <c r="M347" s="11">
        <f t="shared" si="396"/>
        <v>0</v>
      </c>
      <c r="N347" s="11">
        <f t="shared" si="396"/>
        <v>0</v>
      </c>
      <c r="O347" s="11">
        <f t="shared" si="396"/>
        <v>0</v>
      </c>
      <c r="P347" s="11">
        <f t="shared" si="396"/>
        <v>0</v>
      </c>
      <c r="Q347" s="11">
        <f t="shared" si="396"/>
        <v>2478000</v>
      </c>
      <c r="R347" s="11"/>
      <c r="S347" s="11"/>
      <c r="T347" s="11"/>
      <c r="U347" s="11">
        <f t="shared" si="396"/>
        <v>2478000</v>
      </c>
      <c r="V347" s="11">
        <f t="shared" si="396"/>
        <v>0</v>
      </c>
      <c r="W347" s="11">
        <f t="shared" si="398"/>
        <v>0</v>
      </c>
      <c r="X347" s="11">
        <f t="shared" si="398"/>
        <v>0</v>
      </c>
      <c r="Y347" s="11">
        <f t="shared" si="398"/>
        <v>0</v>
      </c>
      <c r="Z347" s="11">
        <f t="shared" si="398"/>
        <v>2478000</v>
      </c>
      <c r="AA347" s="11">
        <f t="shared" si="398"/>
        <v>0</v>
      </c>
      <c r="AB347" s="11">
        <f t="shared" si="398"/>
        <v>2478000</v>
      </c>
      <c r="AC347" s="11">
        <f t="shared" si="398"/>
        <v>0</v>
      </c>
    </row>
    <row r="348" spans="1:29" ht="119.25" hidden="1" customHeight="1" x14ac:dyDescent="0.25">
      <c r="A348" s="324" t="s">
        <v>672</v>
      </c>
      <c r="B348" s="324"/>
      <c r="C348" s="291"/>
      <c r="D348" s="291"/>
      <c r="E348" s="27">
        <v>853</v>
      </c>
      <c r="F348" s="17" t="s">
        <v>6</v>
      </c>
      <c r="G348" s="17" t="s">
        <v>57</v>
      </c>
      <c r="H348" s="17" t="s">
        <v>669</v>
      </c>
      <c r="I348" s="17"/>
      <c r="J348" s="2">
        <f>J349</f>
        <v>0</v>
      </c>
      <c r="K348" s="2">
        <f t="shared" si="396"/>
        <v>0</v>
      </c>
      <c r="L348" s="2">
        <f t="shared" si="396"/>
        <v>0</v>
      </c>
      <c r="M348" s="2">
        <f t="shared" si="396"/>
        <v>0</v>
      </c>
      <c r="N348" s="2">
        <f t="shared" si="396"/>
        <v>0</v>
      </c>
      <c r="O348" s="2">
        <f t="shared" si="396"/>
        <v>0</v>
      </c>
      <c r="P348" s="2">
        <f t="shared" si="396"/>
        <v>0</v>
      </c>
      <c r="Q348" s="2">
        <f t="shared" si="396"/>
        <v>2478000</v>
      </c>
      <c r="R348" s="2"/>
      <c r="S348" s="2"/>
      <c r="T348" s="2"/>
      <c r="U348" s="2">
        <f t="shared" si="396"/>
        <v>2478000</v>
      </c>
      <c r="V348" s="2">
        <f t="shared" si="396"/>
        <v>0</v>
      </c>
      <c r="W348" s="2">
        <f t="shared" si="398"/>
        <v>0</v>
      </c>
      <c r="X348" s="2">
        <f t="shared" si="398"/>
        <v>0</v>
      </c>
      <c r="Y348" s="2">
        <f t="shared" si="398"/>
        <v>0</v>
      </c>
      <c r="Z348" s="2">
        <f t="shared" si="398"/>
        <v>2478000</v>
      </c>
      <c r="AA348" s="2">
        <f t="shared" si="398"/>
        <v>0</v>
      </c>
      <c r="AB348" s="2">
        <f t="shared" si="398"/>
        <v>2478000</v>
      </c>
      <c r="AC348" s="2">
        <f t="shared" si="398"/>
        <v>0</v>
      </c>
    </row>
    <row r="349" spans="1:29" ht="12.75" hidden="1" customHeight="1" x14ac:dyDescent="0.25">
      <c r="A349" s="291"/>
      <c r="B349" s="301" t="s">
        <v>143</v>
      </c>
      <c r="C349" s="291"/>
      <c r="D349" s="291"/>
      <c r="E349" s="27">
        <v>853</v>
      </c>
      <c r="F349" s="17" t="s">
        <v>6</v>
      </c>
      <c r="G349" s="17" t="s">
        <v>57</v>
      </c>
      <c r="H349" s="17" t="s">
        <v>669</v>
      </c>
      <c r="I349" s="1" t="s">
        <v>144</v>
      </c>
      <c r="J349" s="2">
        <f>J350</f>
        <v>0</v>
      </c>
      <c r="K349" s="2">
        <f t="shared" si="396"/>
        <v>0</v>
      </c>
      <c r="L349" s="2">
        <f t="shared" si="396"/>
        <v>0</v>
      </c>
      <c r="M349" s="2">
        <f t="shared" si="396"/>
        <v>0</v>
      </c>
      <c r="N349" s="2">
        <f t="shared" si="396"/>
        <v>0</v>
      </c>
      <c r="O349" s="2">
        <f t="shared" si="396"/>
        <v>0</v>
      </c>
      <c r="P349" s="2">
        <f t="shared" si="396"/>
        <v>0</v>
      </c>
      <c r="Q349" s="2">
        <f t="shared" si="396"/>
        <v>2478000</v>
      </c>
      <c r="R349" s="2"/>
      <c r="S349" s="2"/>
      <c r="T349" s="2"/>
      <c r="U349" s="2">
        <f t="shared" si="396"/>
        <v>2478000</v>
      </c>
      <c r="V349" s="2">
        <f t="shared" si="396"/>
        <v>0</v>
      </c>
      <c r="W349" s="2">
        <f t="shared" si="398"/>
        <v>0</v>
      </c>
      <c r="X349" s="2">
        <f t="shared" si="398"/>
        <v>0</v>
      </c>
      <c r="Y349" s="2">
        <f t="shared" si="398"/>
        <v>0</v>
      </c>
      <c r="Z349" s="2">
        <f t="shared" si="398"/>
        <v>2478000</v>
      </c>
      <c r="AA349" s="2">
        <f t="shared" si="398"/>
        <v>0</v>
      </c>
      <c r="AB349" s="2">
        <f t="shared" si="398"/>
        <v>2478000</v>
      </c>
      <c r="AC349" s="2">
        <f t="shared" si="398"/>
        <v>0</v>
      </c>
    </row>
    <row r="350" spans="1:29" ht="12.75" hidden="1" customHeight="1" x14ac:dyDescent="0.25">
      <c r="A350" s="291"/>
      <c r="B350" s="291" t="s">
        <v>155</v>
      </c>
      <c r="C350" s="291"/>
      <c r="D350" s="291"/>
      <c r="E350" s="27">
        <v>853</v>
      </c>
      <c r="F350" s="17" t="s">
        <v>6</v>
      </c>
      <c r="G350" s="17" t="s">
        <v>57</v>
      </c>
      <c r="H350" s="17" t="s">
        <v>669</v>
      </c>
      <c r="I350" s="1" t="s">
        <v>156</v>
      </c>
      <c r="J350" s="2"/>
      <c r="K350" s="278">
        <v>0</v>
      </c>
      <c r="L350" s="2">
        <f>J350+K350</f>
        <v>0</v>
      </c>
      <c r="M350" s="278">
        <v>0</v>
      </c>
      <c r="N350" s="2">
        <f>L350+M350</f>
        <v>0</v>
      </c>
      <c r="O350" s="278">
        <v>0</v>
      </c>
      <c r="P350" s="2">
        <f>N350+O350</f>
        <v>0</v>
      </c>
      <c r="Q350" s="278">
        <v>2478000</v>
      </c>
      <c r="R350" s="278"/>
      <c r="S350" s="278">
        <v>2478000</v>
      </c>
      <c r="T350" s="278"/>
      <c r="U350" s="2">
        <f>P350+Q350</f>
        <v>2478000</v>
      </c>
      <c r="V350" s="278"/>
      <c r="W350" s="278"/>
      <c r="X350" s="278"/>
      <c r="Y350" s="278"/>
      <c r="Z350" s="2">
        <f>U350+V350</f>
        <v>2478000</v>
      </c>
      <c r="AA350" s="14"/>
      <c r="AB350" s="2">
        <f>Z350</f>
        <v>2478000</v>
      </c>
      <c r="AC350" s="14"/>
    </row>
    <row r="351" spans="1:29" s="9" customFormat="1" ht="13.5" customHeight="1" x14ac:dyDescent="0.25">
      <c r="A351" s="160" t="s">
        <v>70</v>
      </c>
      <c r="B351" s="292"/>
      <c r="C351" s="292"/>
      <c r="E351" s="27">
        <v>853</v>
      </c>
      <c r="F351" s="33" t="s">
        <v>63</v>
      </c>
      <c r="G351" s="33"/>
      <c r="H351" s="33"/>
      <c r="I351" s="6"/>
      <c r="J351" s="7">
        <f>J352+J359</f>
        <v>0</v>
      </c>
      <c r="K351" s="7">
        <f>K352+K359</f>
        <v>0</v>
      </c>
      <c r="L351" s="7">
        <f t="shared" ref="L351:AC351" si="399">L352+L356</f>
        <v>0</v>
      </c>
      <c r="M351" s="7">
        <f t="shared" si="399"/>
        <v>68404</v>
      </c>
      <c r="N351" s="7">
        <f t="shared" si="399"/>
        <v>68404</v>
      </c>
      <c r="O351" s="7">
        <f t="shared" si="399"/>
        <v>0</v>
      </c>
      <c r="P351" s="7">
        <f t="shared" si="399"/>
        <v>68404</v>
      </c>
      <c r="Q351" s="7">
        <f t="shared" si="399"/>
        <v>274363.59999999998</v>
      </c>
      <c r="R351" s="7">
        <f>SUM(R352:R359)</f>
        <v>0</v>
      </c>
      <c r="S351" s="7">
        <f t="shared" ref="S351:T351" si="400">SUM(S352:S359)</f>
        <v>274363.59999999998</v>
      </c>
      <c r="T351" s="7">
        <f t="shared" si="400"/>
        <v>0</v>
      </c>
      <c r="U351" s="7">
        <f t="shared" si="399"/>
        <v>342767.6</v>
      </c>
      <c r="V351" s="7">
        <f t="shared" si="399"/>
        <v>-12391.35</v>
      </c>
      <c r="W351" s="7">
        <f t="shared" si="399"/>
        <v>0</v>
      </c>
      <c r="X351" s="7">
        <f t="shared" si="399"/>
        <v>-12391.35</v>
      </c>
      <c r="Y351" s="7">
        <f t="shared" si="399"/>
        <v>0</v>
      </c>
      <c r="Z351" s="7">
        <f t="shared" si="399"/>
        <v>330376.25</v>
      </c>
      <c r="AA351" s="7">
        <f t="shared" si="399"/>
        <v>0</v>
      </c>
      <c r="AB351" s="7">
        <f t="shared" si="399"/>
        <v>330376.25</v>
      </c>
      <c r="AC351" s="7">
        <f t="shared" si="399"/>
        <v>0</v>
      </c>
    </row>
    <row r="352" spans="1:29" s="12" customFormat="1" ht="13.5" customHeight="1" x14ac:dyDescent="0.25">
      <c r="A352" s="335" t="s">
        <v>352</v>
      </c>
      <c r="B352" s="335"/>
      <c r="C352" s="295"/>
      <c r="E352" s="27">
        <v>853</v>
      </c>
      <c r="F352" s="19" t="s">
        <v>63</v>
      </c>
      <c r="G352" s="102" t="s">
        <v>17</v>
      </c>
      <c r="H352" s="19"/>
      <c r="I352" s="10"/>
      <c r="J352" s="11">
        <f>J353</f>
        <v>0</v>
      </c>
      <c r="K352" s="11">
        <f t="shared" ref="K352" si="401">K353</f>
        <v>0</v>
      </c>
      <c r="L352" s="11">
        <f>L353</f>
        <v>0</v>
      </c>
      <c r="M352" s="11">
        <f t="shared" ref="M352:AB354" si="402">M353</f>
        <v>68104</v>
      </c>
      <c r="N352" s="11">
        <f t="shared" si="402"/>
        <v>68104</v>
      </c>
      <c r="O352" s="11">
        <f t="shared" si="402"/>
        <v>0</v>
      </c>
      <c r="P352" s="11">
        <f t="shared" si="402"/>
        <v>68104</v>
      </c>
      <c r="Q352" s="11">
        <f t="shared" si="402"/>
        <v>68100.600000000006</v>
      </c>
      <c r="R352" s="11"/>
      <c r="S352" s="11"/>
      <c r="T352" s="11"/>
      <c r="U352" s="11">
        <f t="shared" si="402"/>
        <v>136204.6</v>
      </c>
      <c r="V352" s="11">
        <f t="shared" si="402"/>
        <v>-12391.35</v>
      </c>
      <c r="W352" s="11">
        <f t="shared" si="402"/>
        <v>0</v>
      </c>
      <c r="X352" s="11">
        <f t="shared" si="402"/>
        <v>-12391.35</v>
      </c>
      <c r="Y352" s="11">
        <f t="shared" si="402"/>
        <v>0</v>
      </c>
      <c r="Z352" s="11">
        <f t="shared" si="402"/>
        <v>123813.25</v>
      </c>
      <c r="AA352" s="11">
        <f t="shared" si="402"/>
        <v>0</v>
      </c>
      <c r="AB352" s="11">
        <f t="shared" si="402"/>
        <v>123813.25</v>
      </c>
      <c r="AC352" s="11">
        <f t="shared" ref="W352:AC354" si="403">AC353</f>
        <v>0</v>
      </c>
    </row>
    <row r="353" spans="1:29" s="12" customFormat="1" ht="57" customHeight="1" x14ac:dyDescent="0.25">
      <c r="A353" s="330" t="s">
        <v>628</v>
      </c>
      <c r="B353" s="331"/>
      <c r="C353" s="291"/>
      <c r="D353" s="94"/>
      <c r="E353" s="27">
        <v>853</v>
      </c>
      <c r="F353" s="17" t="s">
        <v>63</v>
      </c>
      <c r="G353" s="101" t="s">
        <v>17</v>
      </c>
      <c r="H353" s="17" t="s">
        <v>670</v>
      </c>
      <c r="I353" s="1"/>
      <c r="J353" s="2"/>
      <c r="K353" s="2"/>
      <c r="L353" s="2">
        <f t="shared" ref="L353" si="404">L354</f>
        <v>0</v>
      </c>
      <c r="M353" s="2">
        <f t="shared" si="402"/>
        <v>68104</v>
      </c>
      <c r="N353" s="2">
        <f t="shared" si="402"/>
        <v>68104</v>
      </c>
      <c r="O353" s="2">
        <f t="shared" si="402"/>
        <v>0</v>
      </c>
      <c r="P353" s="2">
        <f>P354</f>
        <v>68104</v>
      </c>
      <c r="Q353" s="2">
        <f t="shared" si="402"/>
        <v>68100.600000000006</v>
      </c>
      <c r="R353" s="2"/>
      <c r="S353" s="2"/>
      <c r="T353" s="2"/>
      <c r="U353" s="2">
        <f t="shared" si="402"/>
        <v>136204.6</v>
      </c>
      <c r="V353" s="2">
        <f t="shared" si="402"/>
        <v>-12391.35</v>
      </c>
      <c r="W353" s="2">
        <f t="shared" si="403"/>
        <v>0</v>
      </c>
      <c r="X353" s="2">
        <f t="shared" si="403"/>
        <v>-12391.35</v>
      </c>
      <c r="Y353" s="2">
        <f t="shared" si="403"/>
        <v>0</v>
      </c>
      <c r="Z353" s="2">
        <f t="shared" si="403"/>
        <v>123813.25</v>
      </c>
      <c r="AA353" s="2">
        <f t="shared" si="403"/>
        <v>0</v>
      </c>
      <c r="AB353" s="2">
        <f t="shared" si="403"/>
        <v>123813.25</v>
      </c>
      <c r="AC353" s="2">
        <f t="shared" si="403"/>
        <v>0</v>
      </c>
    </row>
    <row r="354" spans="1:29" s="12" customFormat="1" ht="14.25" customHeight="1" x14ac:dyDescent="0.25">
      <c r="A354" s="291"/>
      <c r="B354" s="301" t="s">
        <v>143</v>
      </c>
      <c r="C354" s="291"/>
      <c r="D354" s="94"/>
      <c r="E354" s="27">
        <v>853</v>
      </c>
      <c r="F354" s="17" t="s">
        <v>63</v>
      </c>
      <c r="G354" s="101" t="s">
        <v>17</v>
      </c>
      <c r="H354" s="17" t="s">
        <v>670</v>
      </c>
      <c r="I354" s="1" t="s">
        <v>144</v>
      </c>
      <c r="J354" s="2">
        <f t="shared" ref="J354:L354" si="405">J355</f>
        <v>0</v>
      </c>
      <c r="K354" s="2">
        <f t="shared" si="405"/>
        <v>0</v>
      </c>
      <c r="L354" s="2">
        <f t="shared" si="405"/>
        <v>0</v>
      </c>
      <c r="M354" s="2">
        <f t="shared" si="402"/>
        <v>68104</v>
      </c>
      <c r="N354" s="2">
        <f t="shared" si="402"/>
        <v>68104</v>
      </c>
      <c r="O354" s="2">
        <f t="shared" si="402"/>
        <v>0</v>
      </c>
      <c r="P354" s="2">
        <f>P355</f>
        <v>68104</v>
      </c>
      <c r="Q354" s="2">
        <f t="shared" si="402"/>
        <v>68100.600000000006</v>
      </c>
      <c r="R354" s="2"/>
      <c r="S354" s="2"/>
      <c r="T354" s="2"/>
      <c r="U354" s="2">
        <f t="shared" si="402"/>
        <v>136204.6</v>
      </c>
      <c r="V354" s="2">
        <f t="shared" si="402"/>
        <v>-12391.35</v>
      </c>
      <c r="W354" s="2">
        <f t="shared" si="402"/>
        <v>0</v>
      </c>
      <c r="X354" s="2">
        <f t="shared" si="402"/>
        <v>-12391.35</v>
      </c>
      <c r="Y354" s="2">
        <f t="shared" si="402"/>
        <v>0</v>
      </c>
      <c r="Z354" s="2">
        <f t="shared" si="402"/>
        <v>123813.25</v>
      </c>
      <c r="AA354" s="2">
        <f t="shared" si="402"/>
        <v>0</v>
      </c>
      <c r="AB354" s="2">
        <f t="shared" si="402"/>
        <v>123813.25</v>
      </c>
      <c r="AC354" s="2">
        <f t="shared" si="403"/>
        <v>0</v>
      </c>
    </row>
    <row r="355" spans="1:29" s="12" customFormat="1" ht="14.25" customHeight="1" x14ac:dyDescent="0.25">
      <c r="A355" s="291"/>
      <c r="B355" s="291" t="s">
        <v>155</v>
      </c>
      <c r="C355" s="291"/>
      <c r="D355" s="94"/>
      <c r="E355" s="27">
        <v>853</v>
      </c>
      <c r="F355" s="17" t="s">
        <v>63</v>
      </c>
      <c r="G355" s="101" t="s">
        <v>17</v>
      </c>
      <c r="H355" s="17" t="s">
        <v>670</v>
      </c>
      <c r="I355" s="1" t="s">
        <v>156</v>
      </c>
      <c r="J355" s="2"/>
      <c r="K355" s="2"/>
      <c r="L355" s="2"/>
      <c r="M355" s="2">
        <v>68104</v>
      </c>
      <c r="N355" s="2">
        <f>L355+M355</f>
        <v>68104</v>
      </c>
      <c r="O355" s="2"/>
      <c r="P355" s="2">
        <f>N355+O355</f>
        <v>68104</v>
      </c>
      <c r="Q355" s="2">
        <v>68100.600000000006</v>
      </c>
      <c r="R355" s="2"/>
      <c r="S355" s="2">
        <v>68100.600000000006</v>
      </c>
      <c r="T355" s="2"/>
      <c r="U355" s="2">
        <f>P355+Q355</f>
        <v>136204.6</v>
      </c>
      <c r="V355" s="2">
        <f>-12391.35</f>
        <v>-12391.35</v>
      </c>
      <c r="W355" s="2"/>
      <c r="X355" s="2">
        <f>V355</f>
        <v>-12391.35</v>
      </c>
      <c r="Y355" s="2"/>
      <c r="Z355" s="2">
        <f t="shared" ref="Z355" si="406">U355+V355</f>
        <v>123813.25</v>
      </c>
      <c r="AA355" s="305"/>
      <c r="AB355" s="2">
        <f>Z355</f>
        <v>123813.25</v>
      </c>
      <c r="AC355" s="305"/>
    </row>
    <row r="356" spans="1:29" s="12" customFormat="1" hidden="1" x14ac:dyDescent="0.25">
      <c r="A356" s="305" t="s">
        <v>71</v>
      </c>
      <c r="B356" s="295"/>
      <c r="C356" s="295"/>
      <c r="E356" s="27">
        <v>853</v>
      </c>
      <c r="F356" s="19" t="s">
        <v>63</v>
      </c>
      <c r="G356" s="19" t="s">
        <v>72</v>
      </c>
      <c r="H356" s="19"/>
      <c r="I356" s="10"/>
      <c r="J356" s="11">
        <f>J357+J360+J363+J366</f>
        <v>190800</v>
      </c>
      <c r="K356" s="11">
        <f t="shared" ref="K356" si="407">K357+K360+K363+K366</f>
        <v>0</v>
      </c>
      <c r="L356" s="11">
        <f>L357</f>
        <v>0</v>
      </c>
      <c r="M356" s="11">
        <f t="shared" ref="M356:AC358" si="408">M357</f>
        <v>300</v>
      </c>
      <c r="N356" s="11">
        <f t="shared" si="408"/>
        <v>300</v>
      </c>
      <c r="O356" s="11">
        <f t="shared" si="408"/>
        <v>0</v>
      </c>
      <c r="P356" s="11">
        <f t="shared" si="408"/>
        <v>300</v>
      </c>
      <c r="Q356" s="11">
        <f t="shared" si="408"/>
        <v>206263</v>
      </c>
      <c r="R356" s="11"/>
      <c r="S356" s="11"/>
      <c r="T356" s="11"/>
      <c r="U356" s="11">
        <f t="shared" si="408"/>
        <v>206563</v>
      </c>
      <c r="V356" s="11">
        <f t="shared" si="408"/>
        <v>0</v>
      </c>
      <c r="W356" s="11">
        <f t="shared" si="408"/>
        <v>0</v>
      </c>
      <c r="X356" s="11">
        <f t="shared" si="408"/>
        <v>0</v>
      </c>
      <c r="Y356" s="11">
        <f t="shared" si="408"/>
        <v>0</v>
      </c>
      <c r="Z356" s="11">
        <f t="shared" si="408"/>
        <v>206563</v>
      </c>
      <c r="AA356" s="11">
        <f t="shared" si="408"/>
        <v>0</v>
      </c>
      <c r="AB356" s="11">
        <f t="shared" si="408"/>
        <v>206563</v>
      </c>
      <c r="AC356" s="11">
        <f t="shared" si="408"/>
        <v>0</v>
      </c>
    </row>
    <row r="357" spans="1:29" s="12" customFormat="1" ht="50.25" hidden="1" customHeight="1" x14ac:dyDescent="0.25">
      <c r="A357" s="330" t="s">
        <v>631</v>
      </c>
      <c r="B357" s="331"/>
      <c r="C357" s="291"/>
      <c r="D357" s="291"/>
      <c r="E357" s="27">
        <v>853</v>
      </c>
      <c r="F357" s="17" t="s">
        <v>63</v>
      </c>
      <c r="G357" s="17" t="s">
        <v>72</v>
      </c>
      <c r="H357" s="17" t="s">
        <v>671</v>
      </c>
      <c r="I357" s="1"/>
      <c r="J357" s="2"/>
      <c r="K357" s="2"/>
      <c r="L357" s="2">
        <f t="shared" ref="L357:AA358" si="409">L358</f>
        <v>0</v>
      </c>
      <c r="M357" s="2">
        <f t="shared" si="409"/>
        <v>300</v>
      </c>
      <c r="N357" s="2">
        <f t="shared" si="409"/>
        <v>300</v>
      </c>
      <c r="O357" s="2">
        <f t="shared" si="409"/>
        <v>0</v>
      </c>
      <c r="P357" s="2">
        <f t="shared" si="409"/>
        <v>300</v>
      </c>
      <c r="Q357" s="2">
        <f t="shared" si="409"/>
        <v>206263</v>
      </c>
      <c r="R357" s="2"/>
      <c r="S357" s="2"/>
      <c r="T357" s="2"/>
      <c r="U357" s="2">
        <f t="shared" si="409"/>
        <v>206563</v>
      </c>
      <c r="V357" s="2">
        <f t="shared" si="409"/>
        <v>0</v>
      </c>
      <c r="W357" s="2">
        <f t="shared" si="409"/>
        <v>0</v>
      </c>
      <c r="X357" s="2">
        <f t="shared" si="409"/>
        <v>0</v>
      </c>
      <c r="Y357" s="2">
        <f t="shared" si="409"/>
        <v>0</v>
      </c>
      <c r="Z357" s="2">
        <f t="shared" si="409"/>
        <v>206563</v>
      </c>
      <c r="AA357" s="2">
        <f t="shared" si="409"/>
        <v>0</v>
      </c>
      <c r="AB357" s="2">
        <f t="shared" si="408"/>
        <v>206563</v>
      </c>
      <c r="AC357" s="2">
        <f t="shared" si="408"/>
        <v>0</v>
      </c>
    </row>
    <row r="358" spans="1:29" s="12" customFormat="1" ht="14.25" hidden="1" customHeight="1" x14ac:dyDescent="0.25">
      <c r="A358" s="291"/>
      <c r="B358" s="301" t="s">
        <v>143</v>
      </c>
      <c r="C358" s="291"/>
      <c r="D358" s="291"/>
      <c r="E358" s="27">
        <v>853</v>
      </c>
      <c r="F358" s="17" t="s">
        <v>63</v>
      </c>
      <c r="G358" s="101" t="s">
        <v>72</v>
      </c>
      <c r="H358" s="17" t="s">
        <v>671</v>
      </c>
      <c r="I358" s="1" t="s">
        <v>144</v>
      </c>
      <c r="J358" s="2"/>
      <c r="K358" s="2"/>
      <c r="L358" s="2">
        <f t="shared" si="409"/>
        <v>0</v>
      </c>
      <c r="M358" s="2">
        <f t="shared" si="409"/>
        <v>300</v>
      </c>
      <c r="N358" s="2">
        <f t="shared" si="409"/>
        <v>300</v>
      </c>
      <c r="O358" s="2">
        <f t="shared" si="409"/>
        <v>0</v>
      </c>
      <c r="P358" s="2">
        <f>P359</f>
        <v>300</v>
      </c>
      <c r="Q358" s="2">
        <f t="shared" si="409"/>
        <v>206263</v>
      </c>
      <c r="R358" s="2"/>
      <c r="S358" s="2"/>
      <c r="T358" s="2"/>
      <c r="U358" s="2">
        <f t="shared" si="409"/>
        <v>206563</v>
      </c>
      <c r="V358" s="2">
        <f t="shared" si="409"/>
        <v>0</v>
      </c>
      <c r="W358" s="2">
        <f t="shared" si="408"/>
        <v>0</v>
      </c>
      <c r="X358" s="2">
        <f t="shared" si="408"/>
        <v>0</v>
      </c>
      <c r="Y358" s="2">
        <f t="shared" si="408"/>
        <v>0</v>
      </c>
      <c r="Z358" s="2">
        <f t="shared" si="408"/>
        <v>206563</v>
      </c>
      <c r="AA358" s="2">
        <f t="shared" si="408"/>
        <v>0</v>
      </c>
      <c r="AB358" s="2">
        <f t="shared" si="408"/>
        <v>206563</v>
      </c>
      <c r="AC358" s="2">
        <f t="shared" si="408"/>
        <v>0</v>
      </c>
    </row>
    <row r="359" spans="1:29" s="12" customFormat="1" ht="14.25" hidden="1" customHeight="1" x14ac:dyDescent="0.25">
      <c r="A359" s="291"/>
      <c r="B359" s="291" t="s">
        <v>155</v>
      </c>
      <c r="C359" s="291"/>
      <c r="D359" s="291"/>
      <c r="E359" s="27">
        <v>853</v>
      </c>
      <c r="F359" s="17" t="s">
        <v>63</v>
      </c>
      <c r="G359" s="101" t="s">
        <v>72</v>
      </c>
      <c r="H359" s="17" t="s">
        <v>671</v>
      </c>
      <c r="I359" s="1" t="s">
        <v>156</v>
      </c>
      <c r="J359" s="2"/>
      <c r="K359" s="2"/>
      <c r="L359" s="2"/>
      <c r="M359" s="2">
        <v>300</v>
      </c>
      <c r="N359" s="2">
        <f t="shared" ref="N359" si="410">L359+M359</f>
        <v>300</v>
      </c>
      <c r="O359" s="2"/>
      <c r="P359" s="2">
        <f>N359+O359</f>
        <v>300</v>
      </c>
      <c r="Q359" s="2">
        <f>206263</f>
        <v>206263</v>
      </c>
      <c r="R359" s="2"/>
      <c r="S359" s="2">
        <f>Q359</f>
        <v>206263</v>
      </c>
      <c r="T359" s="2"/>
      <c r="U359" s="2">
        <f>P359+Q359</f>
        <v>206563</v>
      </c>
      <c r="V359" s="2"/>
      <c r="W359" s="2"/>
      <c r="X359" s="2">
        <f>V359</f>
        <v>0</v>
      </c>
      <c r="Y359" s="2"/>
      <c r="Z359" s="2">
        <f t="shared" ref="Z359" si="411">U359+V359</f>
        <v>206563</v>
      </c>
      <c r="AA359" s="305"/>
      <c r="AB359" s="2">
        <f>Z359</f>
        <v>206563</v>
      </c>
      <c r="AC359" s="305"/>
    </row>
    <row r="360" spans="1:29" x14ac:dyDescent="0.25">
      <c r="A360" s="325" t="s">
        <v>82</v>
      </c>
      <c r="B360" s="325"/>
      <c r="C360" s="245"/>
      <c r="D360" s="245"/>
      <c r="E360" s="27">
        <v>853</v>
      </c>
      <c r="F360" s="6" t="s">
        <v>83</v>
      </c>
      <c r="G360" s="6"/>
      <c r="H360" s="6"/>
      <c r="I360" s="6"/>
      <c r="J360" s="7">
        <f>J361+J365</f>
        <v>95400</v>
      </c>
      <c r="K360" s="7">
        <f t="shared" ref="K360:AC360" si="412">K361+K365</f>
        <v>0</v>
      </c>
      <c r="L360" s="7">
        <f t="shared" si="412"/>
        <v>95400</v>
      </c>
      <c r="M360" s="7">
        <f t="shared" si="412"/>
        <v>0</v>
      </c>
      <c r="N360" s="7">
        <f t="shared" si="412"/>
        <v>95400</v>
      </c>
      <c r="O360" s="7">
        <f t="shared" si="412"/>
        <v>-7950</v>
      </c>
      <c r="P360" s="7">
        <f t="shared" si="412"/>
        <v>87450</v>
      </c>
      <c r="Q360" s="7">
        <f t="shared" si="412"/>
        <v>0</v>
      </c>
      <c r="R360" s="7"/>
      <c r="S360" s="7"/>
      <c r="T360" s="7"/>
      <c r="U360" s="7">
        <f t="shared" si="412"/>
        <v>87450</v>
      </c>
      <c r="V360" s="7">
        <f t="shared" si="412"/>
        <v>-15900</v>
      </c>
      <c r="W360" s="7">
        <f t="shared" si="412"/>
        <v>-15900</v>
      </c>
      <c r="X360" s="7">
        <f t="shared" si="412"/>
        <v>0</v>
      </c>
      <c r="Y360" s="7">
        <f t="shared" si="412"/>
        <v>0</v>
      </c>
      <c r="Z360" s="7">
        <f t="shared" si="412"/>
        <v>71550</v>
      </c>
      <c r="AA360" s="7">
        <f t="shared" si="412"/>
        <v>71550</v>
      </c>
      <c r="AB360" s="7">
        <f t="shared" si="412"/>
        <v>0</v>
      </c>
      <c r="AC360" s="7">
        <f t="shared" si="412"/>
        <v>0</v>
      </c>
    </row>
    <row r="361" spans="1:29" hidden="1" x14ac:dyDescent="0.25">
      <c r="A361" s="348" t="s">
        <v>84</v>
      </c>
      <c r="B361" s="349"/>
      <c r="C361" s="308"/>
      <c r="D361" s="308"/>
      <c r="E361" s="27">
        <v>853</v>
      </c>
      <c r="F361" s="10" t="s">
        <v>83</v>
      </c>
      <c r="G361" s="10" t="s">
        <v>17</v>
      </c>
      <c r="H361" s="10"/>
      <c r="I361" s="10"/>
      <c r="J361" s="21">
        <f t="shared" ref="J361:Y363" si="413">J362</f>
        <v>0</v>
      </c>
      <c r="K361" s="21">
        <f t="shared" si="413"/>
        <v>0</v>
      </c>
      <c r="L361" s="21">
        <f t="shared" si="413"/>
        <v>0</v>
      </c>
      <c r="M361" s="21">
        <f t="shared" si="413"/>
        <v>0</v>
      </c>
      <c r="N361" s="21">
        <f t="shared" si="413"/>
        <v>0</v>
      </c>
      <c r="O361" s="21">
        <f t="shared" si="413"/>
        <v>0</v>
      </c>
      <c r="P361" s="21">
        <f t="shared" si="413"/>
        <v>0</v>
      </c>
      <c r="Q361" s="21">
        <f t="shared" si="413"/>
        <v>0</v>
      </c>
      <c r="R361" s="21"/>
      <c r="S361" s="21"/>
      <c r="T361" s="21"/>
      <c r="U361" s="21">
        <f t="shared" si="413"/>
        <v>0</v>
      </c>
      <c r="V361" s="21">
        <f t="shared" si="413"/>
        <v>0</v>
      </c>
      <c r="W361" s="21">
        <f t="shared" si="413"/>
        <v>0</v>
      </c>
      <c r="X361" s="21">
        <f t="shared" si="413"/>
        <v>0</v>
      </c>
      <c r="Y361" s="21">
        <f t="shared" si="413"/>
        <v>0</v>
      </c>
      <c r="Z361" s="21">
        <f t="shared" ref="V361:AC363" si="414">Z362</f>
        <v>0</v>
      </c>
      <c r="AA361" s="21">
        <f t="shared" si="414"/>
        <v>0</v>
      </c>
      <c r="AB361" s="21">
        <f t="shared" si="414"/>
        <v>0</v>
      </c>
      <c r="AC361" s="21">
        <f t="shared" si="414"/>
        <v>0</v>
      </c>
    </row>
    <row r="362" spans="1:29" ht="24.75" hidden="1" customHeight="1" x14ac:dyDescent="0.25">
      <c r="A362" s="324" t="s">
        <v>586</v>
      </c>
      <c r="B362" s="324"/>
      <c r="C362" s="296"/>
      <c r="D362" s="296"/>
      <c r="E362" s="27">
        <v>853</v>
      </c>
      <c r="F362" s="1" t="s">
        <v>83</v>
      </c>
      <c r="G362" s="1" t="s">
        <v>17</v>
      </c>
      <c r="H362" s="1" t="s">
        <v>587</v>
      </c>
      <c r="I362" s="1"/>
      <c r="J362" s="2">
        <f t="shared" si="413"/>
        <v>0</v>
      </c>
      <c r="K362" s="2">
        <f t="shared" si="413"/>
        <v>0</v>
      </c>
      <c r="L362" s="2">
        <f t="shared" ref="L362:L364" si="415">J362+K362</f>
        <v>0</v>
      </c>
      <c r="M362" s="2">
        <f t="shared" si="413"/>
        <v>0</v>
      </c>
      <c r="N362" s="2">
        <f t="shared" ref="N362:N364" si="416">L362+M362</f>
        <v>0</v>
      </c>
      <c r="O362" s="2">
        <f t="shared" si="413"/>
        <v>0</v>
      </c>
      <c r="P362" s="2">
        <f>N362+O362</f>
        <v>0</v>
      </c>
      <c r="Q362" s="2">
        <f t="shared" si="413"/>
        <v>0</v>
      </c>
      <c r="R362" s="2"/>
      <c r="S362" s="2"/>
      <c r="T362" s="2"/>
      <c r="U362" s="2">
        <f>P362+Q362</f>
        <v>0</v>
      </c>
      <c r="V362" s="2">
        <f t="shared" si="413"/>
        <v>0</v>
      </c>
      <c r="W362" s="2">
        <f t="shared" si="413"/>
        <v>0</v>
      </c>
      <c r="X362" s="2">
        <f t="shared" si="413"/>
        <v>0</v>
      </c>
      <c r="Y362" s="2">
        <f t="shared" si="413"/>
        <v>0</v>
      </c>
      <c r="Z362" s="2">
        <f t="shared" si="414"/>
        <v>0</v>
      </c>
      <c r="AA362" s="2">
        <f t="shared" si="414"/>
        <v>0</v>
      </c>
      <c r="AB362" s="2">
        <f t="shared" si="414"/>
        <v>0</v>
      </c>
      <c r="AC362" s="2">
        <f t="shared" si="414"/>
        <v>0</v>
      </c>
    </row>
    <row r="363" spans="1:29" hidden="1" x14ac:dyDescent="0.25">
      <c r="A363" s="292"/>
      <c r="B363" s="324" t="s">
        <v>143</v>
      </c>
      <c r="C363" s="324"/>
      <c r="D363" s="245"/>
      <c r="E363" s="27">
        <v>853</v>
      </c>
      <c r="F363" s="1" t="s">
        <v>83</v>
      </c>
      <c r="G363" s="1" t="s">
        <v>17</v>
      </c>
      <c r="H363" s="1" t="s">
        <v>587</v>
      </c>
      <c r="I363" s="1" t="s">
        <v>144</v>
      </c>
      <c r="J363" s="2">
        <f t="shared" si="413"/>
        <v>0</v>
      </c>
      <c r="K363" s="2">
        <f t="shared" si="413"/>
        <v>0</v>
      </c>
      <c r="L363" s="2">
        <f t="shared" si="415"/>
        <v>0</v>
      </c>
      <c r="M363" s="2">
        <f t="shared" si="413"/>
        <v>0</v>
      </c>
      <c r="N363" s="2">
        <f t="shared" si="416"/>
        <v>0</v>
      </c>
      <c r="O363" s="2">
        <f t="shared" si="413"/>
        <v>0</v>
      </c>
      <c r="P363" s="2">
        <f>N363+O363</f>
        <v>0</v>
      </c>
      <c r="Q363" s="2">
        <f t="shared" si="413"/>
        <v>0</v>
      </c>
      <c r="R363" s="2"/>
      <c r="S363" s="2"/>
      <c r="T363" s="2"/>
      <c r="U363" s="2">
        <f>P363+Q363</f>
        <v>0</v>
      </c>
      <c r="V363" s="2">
        <f t="shared" si="414"/>
        <v>0</v>
      </c>
      <c r="W363" s="2">
        <f t="shared" si="414"/>
        <v>0</v>
      </c>
      <c r="X363" s="2">
        <f t="shared" si="414"/>
        <v>0</v>
      </c>
      <c r="Y363" s="2">
        <f t="shared" si="414"/>
        <v>0</v>
      </c>
      <c r="Z363" s="2">
        <f t="shared" si="414"/>
        <v>0</v>
      </c>
      <c r="AA363" s="2">
        <f t="shared" si="414"/>
        <v>0</v>
      </c>
      <c r="AB363" s="2">
        <f t="shared" si="414"/>
        <v>0</v>
      </c>
      <c r="AC363" s="2">
        <f t="shared" si="414"/>
        <v>0</v>
      </c>
    </row>
    <row r="364" spans="1:29" hidden="1" x14ac:dyDescent="0.25">
      <c r="A364" s="292"/>
      <c r="B364" s="291" t="s">
        <v>155</v>
      </c>
      <c r="C364" s="245"/>
      <c r="D364" s="245"/>
      <c r="E364" s="27">
        <v>853</v>
      </c>
      <c r="F364" s="1" t="s">
        <v>83</v>
      </c>
      <c r="G364" s="1" t="s">
        <v>17</v>
      </c>
      <c r="H364" s="1" t="s">
        <v>587</v>
      </c>
      <c r="I364" s="1" t="s">
        <v>156</v>
      </c>
      <c r="J364" s="2">
        <v>0</v>
      </c>
      <c r="K364" s="278"/>
      <c r="L364" s="2">
        <f t="shared" si="415"/>
        <v>0</v>
      </c>
      <c r="M364" s="278"/>
      <c r="N364" s="2">
        <f t="shared" si="416"/>
        <v>0</v>
      </c>
      <c r="O364" s="278"/>
      <c r="P364" s="2">
        <f>N364+O364</f>
        <v>0</v>
      </c>
      <c r="Q364" s="278"/>
      <c r="R364" s="278"/>
      <c r="S364" s="278"/>
      <c r="T364" s="278"/>
      <c r="U364" s="2">
        <f>P364+Q364</f>
        <v>0</v>
      </c>
      <c r="V364" s="278"/>
      <c r="W364" s="278"/>
      <c r="X364" s="278"/>
      <c r="Y364" s="278"/>
      <c r="Z364" s="2">
        <f t="shared" ref="Z364" si="417">U364+V364</f>
        <v>0</v>
      </c>
      <c r="AA364" s="14"/>
      <c r="AB364" s="14"/>
      <c r="AC364" s="14"/>
    </row>
    <row r="365" spans="1:29" x14ac:dyDescent="0.25">
      <c r="A365" s="328" t="s">
        <v>93</v>
      </c>
      <c r="B365" s="328"/>
      <c r="C365" s="308"/>
      <c r="D365" s="308"/>
      <c r="E365" s="27">
        <v>853</v>
      </c>
      <c r="F365" s="10" t="s">
        <v>83</v>
      </c>
      <c r="G365" s="10" t="s">
        <v>6</v>
      </c>
      <c r="H365" s="10"/>
      <c r="I365" s="10"/>
      <c r="J365" s="21">
        <f t="shared" ref="J365:Y367" si="418">J366</f>
        <v>95400</v>
      </c>
      <c r="K365" s="21">
        <f t="shared" si="418"/>
        <v>0</v>
      </c>
      <c r="L365" s="21">
        <f t="shared" si="418"/>
        <v>95400</v>
      </c>
      <c r="M365" s="21">
        <f t="shared" si="418"/>
        <v>0</v>
      </c>
      <c r="N365" s="21">
        <f t="shared" si="418"/>
        <v>95400</v>
      </c>
      <c r="O365" s="21">
        <f t="shared" si="418"/>
        <v>-7950</v>
      </c>
      <c r="P365" s="21">
        <f t="shared" si="418"/>
        <v>87450</v>
      </c>
      <c r="Q365" s="21">
        <f t="shared" si="418"/>
        <v>0</v>
      </c>
      <c r="R365" s="21"/>
      <c r="S365" s="21"/>
      <c r="T365" s="21"/>
      <c r="U365" s="21">
        <f t="shared" si="418"/>
        <v>87450</v>
      </c>
      <c r="V365" s="21">
        <f t="shared" si="418"/>
        <v>-15900</v>
      </c>
      <c r="W365" s="21">
        <f t="shared" si="418"/>
        <v>-15900</v>
      </c>
      <c r="X365" s="21">
        <f t="shared" si="418"/>
        <v>0</v>
      </c>
      <c r="Y365" s="21">
        <f t="shared" si="418"/>
        <v>0</v>
      </c>
      <c r="Z365" s="21">
        <f t="shared" ref="V365:AC367" si="419">Z366</f>
        <v>71550</v>
      </c>
      <c r="AA365" s="21">
        <f t="shared" si="419"/>
        <v>71550</v>
      </c>
      <c r="AB365" s="21">
        <f t="shared" si="419"/>
        <v>0</v>
      </c>
      <c r="AC365" s="21">
        <f t="shared" si="419"/>
        <v>0</v>
      </c>
    </row>
    <row r="366" spans="1:29" ht="34.5" customHeight="1" x14ac:dyDescent="0.25">
      <c r="A366" s="324" t="s">
        <v>85</v>
      </c>
      <c r="B366" s="324"/>
      <c r="C366" s="291"/>
      <c r="D366" s="291"/>
      <c r="E366" s="173">
        <v>853</v>
      </c>
      <c r="F366" s="1" t="s">
        <v>83</v>
      </c>
      <c r="G366" s="1" t="s">
        <v>6</v>
      </c>
      <c r="H366" s="1" t="s">
        <v>150</v>
      </c>
      <c r="I366" s="1"/>
      <c r="J366" s="2">
        <f t="shared" si="418"/>
        <v>95400</v>
      </c>
      <c r="K366" s="2">
        <f t="shared" si="418"/>
        <v>0</v>
      </c>
      <c r="L366" s="2">
        <f t="shared" si="418"/>
        <v>95400</v>
      </c>
      <c r="M366" s="2">
        <f t="shared" si="418"/>
        <v>0</v>
      </c>
      <c r="N366" s="2">
        <f t="shared" si="418"/>
        <v>95400</v>
      </c>
      <c r="O366" s="2">
        <f t="shared" si="418"/>
        <v>-7950</v>
      </c>
      <c r="P366" s="2">
        <f>P367</f>
        <v>87450</v>
      </c>
      <c r="Q366" s="2">
        <f t="shared" si="418"/>
        <v>0</v>
      </c>
      <c r="R366" s="2"/>
      <c r="S366" s="2"/>
      <c r="T366" s="2"/>
      <c r="U366" s="2">
        <f t="shared" si="418"/>
        <v>87450</v>
      </c>
      <c r="V366" s="2">
        <f t="shared" si="418"/>
        <v>-15900</v>
      </c>
      <c r="W366" s="2">
        <f t="shared" si="418"/>
        <v>-15900</v>
      </c>
      <c r="X366" s="2">
        <f t="shared" si="418"/>
        <v>0</v>
      </c>
      <c r="Y366" s="2">
        <f t="shared" si="418"/>
        <v>0</v>
      </c>
      <c r="Z366" s="2">
        <f t="shared" si="419"/>
        <v>71550</v>
      </c>
      <c r="AA366" s="2">
        <f t="shared" si="419"/>
        <v>71550</v>
      </c>
      <c r="AB366" s="2">
        <f t="shared" si="419"/>
        <v>0</v>
      </c>
      <c r="AC366" s="2">
        <f t="shared" si="419"/>
        <v>0</v>
      </c>
    </row>
    <row r="367" spans="1:29" x14ac:dyDescent="0.25">
      <c r="A367" s="14"/>
      <c r="B367" s="291" t="s">
        <v>143</v>
      </c>
      <c r="C367" s="301"/>
      <c r="D367" s="301"/>
      <c r="E367" s="27">
        <v>853</v>
      </c>
      <c r="F367" s="1" t="s">
        <v>83</v>
      </c>
      <c r="G367" s="1" t="s">
        <v>6</v>
      </c>
      <c r="H367" s="1" t="s">
        <v>150</v>
      </c>
      <c r="I367" s="1" t="s">
        <v>144</v>
      </c>
      <c r="J367" s="2">
        <f t="shared" si="418"/>
        <v>95400</v>
      </c>
      <c r="K367" s="2">
        <f t="shared" si="418"/>
        <v>0</v>
      </c>
      <c r="L367" s="2">
        <f t="shared" si="418"/>
        <v>95400</v>
      </c>
      <c r="M367" s="2">
        <f t="shared" si="418"/>
        <v>0</v>
      </c>
      <c r="N367" s="2">
        <f t="shared" si="418"/>
        <v>95400</v>
      </c>
      <c r="O367" s="2">
        <f t="shared" si="418"/>
        <v>-7950</v>
      </c>
      <c r="P367" s="2">
        <f>P368</f>
        <v>87450</v>
      </c>
      <c r="Q367" s="2">
        <f t="shared" si="418"/>
        <v>0</v>
      </c>
      <c r="R367" s="2"/>
      <c r="S367" s="2"/>
      <c r="T367" s="2"/>
      <c r="U367" s="2">
        <f t="shared" si="418"/>
        <v>87450</v>
      </c>
      <c r="V367" s="2">
        <f t="shared" si="419"/>
        <v>-15900</v>
      </c>
      <c r="W367" s="2">
        <f t="shared" si="419"/>
        <v>-15900</v>
      </c>
      <c r="X367" s="2">
        <f t="shared" si="419"/>
        <v>0</v>
      </c>
      <c r="Y367" s="2">
        <f t="shared" si="419"/>
        <v>0</v>
      </c>
      <c r="Z367" s="2">
        <f t="shared" si="419"/>
        <v>71550</v>
      </c>
      <c r="AA367" s="2">
        <f t="shared" si="419"/>
        <v>71550</v>
      </c>
      <c r="AB367" s="2">
        <f t="shared" si="419"/>
        <v>0</v>
      </c>
      <c r="AC367" s="2">
        <f t="shared" si="419"/>
        <v>0</v>
      </c>
    </row>
    <row r="368" spans="1:29" x14ac:dyDescent="0.25">
      <c r="A368" s="291"/>
      <c r="B368" s="291" t="s">
        <v>145</v>
      </c>
      <c r="C368" s="291"/>
      <c r="D368" s="291"/>
      <c r="E368" s="27">
        <v>853</v>
      </c>
      <c r="F368" s="1" t="s">
        <v>83</v>
      </c>
      <c r="G368" s="1" t="s">
        <v>6</v>
      </c>
      <c r="H368" s="1" t="s">
        <v>150</v>
      </c>
      <c r="I368" s="1" t="s">
        <v>146</v>
      </c>
      <c r="J368" s="2">
        <v>95400</v>
      </c>
      <c r="K368" s="2"/>
      <c r="L368" s="2">
        <f t="shared" ref="L368:L411" si="420">J368+K368</f>
        <v>95400</v>
      </c>
      <c r="M368" s="2"/>
      <c r="N368" s="2">
        <f t="shared" ref="N368" si="421">L368+M368</f>
        <v>95400</v>
      </c>
      <c r="O368" s="2">
        <v>-7950</v>
      </c>
      <c r="P368" s="2">
        <f>N368+O368</f>
        <v>87450</v>
      </c>
      <c r="Q368" s="2"/>
      <c r="R368" s="2"/>
      <c r="S368" s="2"/>
      <c r="T368" s="2"/>
      <c r="U368" s="2">
        <f>P368+Q368</f>
        <v>87450</v>
      </c>
      <c r="V368" s="2">
        <v>-15900</v>
      </c>
      <c r="W368" s="2">
        <f>V368</f>
        <v>-15900</v>
      </c>
      <c r="X368" s="2"/>
      <c r="Y368" s="2"/>
      <c r="Z368" s="2">
        <f t="shared" ref="Z368" si="422">U368+V368</f>
        <v>71550</v>
      </c>
      <c r="AA368" s="2">
        <f>Z368</f>
        <v>71550</v>
      </c>
      <c r="AB368" s="14"/>
      <c r="AC368" s="14"/>
    </row>
    <row r="369" spans="1:29" ht="28.5" customHeight="1" x14ac:dyDescent="0.25">
      <c r="A369" s="325" t="s">
        <v>660</v>
      </c>
      <c r="B369" s="325"/>
      <c r="C369" s="245"/>
      <c r="D369" s="245"/>
      <c r="E369" s="27">
        <v>853</v>
      </c>
      <c r="F369" s="33" t="s">
        <v>151</v>
      </c>
      <c r="G369" s="33"/>
      <c r="H369" s="33"/>
      <c r="I369" s="33"/>
      <c r="J369" s="34">
        <f t="shared" ref="J369:Q369" si="423">J370+J376</f>
        <v>14489000</v>
      </c>
      <c r="K369" s="34">
        <f t="shared" si="423"/>
        <v>0</v>
      </c>
      <c r="L369" s="34">
        <f t="shared" si="423"/>
        <v>14489000</v>
      </c>
      <c r="M369" s="34">
        <f t="shared" si="423"/>
        <v>-660700</v>
      </c>
      <c r="N369" s="34">
        <f t="shared" si="423"/>
        <v>13828300</v>
      </c>
      <c r="O369" s="34">
        <f t="shared" si="423"/>
        <v>0</v>
      </c>
      <c r="P369" s="34">
        <f t="shared" si="423"/>
        <v>13828300</v>
      </c>
      <c r="Q369" s="34">
        <f t="shared" si="423"/>
        <v>0</v>
      </c>
      <c r="R369" s="34"/>
      <c r="S369" s="34"/>
      <c r="T369" s="34"/>
      <c r="U369" s="34">
        <f t="shared" ref="U369:AC369" si="424">U370+U376</f>
        <v>13828300</v>
      </c>
      <c r="V369" s="34">
        <f t="shared" si="424"/>
        <v>100000</v>
      </c>
      <c r="W369" s="34">
        <f t="shared" si="424"/>
        <v>100000</v>
      </c>
      <c r="X369" s="34">
        <f t="shared" si="424"/>
        <v>0</v>
      </c>
      <c r="Y369" s="34">
        <f t="shared" si="424"/>
        <v>0</v>
      </c>
      <c r="Z369" s="34">
        <f t="shared" si="424"/>
        <v>13928300</v>
      </c>
      <c r="AA369" s="34">
        <f t="shared" si="424"/>
        <v>13728300</v>
      </c>
      <c r="AB369" s="34">
        <f t="shared" si="424"/>
        <v>200000</v>
      </c>
      <c r="AC369" s="34">
        <f t="shared" si="424"/>
        <v>0</v>
      </c>
    </row>
    <row r="370" spans="1:29" ht="24" hidden="1" customHeight="1" x14ac:dyDescent="0.25">
      <c r="A370" s="328" t="s">
        <v>152</v>
      </c>
      <c r="B370" s="328"/>
      <c r="C370" s="308"/>
      <c r="D370" s="308"/>
      <c r="E370" s="27">
        <v>853</v>
      </c>
      <c r="F370" s="19" t="s">
        <v>151</v>
      </c>
      <c r="G370" s="19" t="s">
        <v>17</v>
      </c>
      <c r="H370" s="138"/>
      <c r="I370" s="19"/>
      <c r="J370" s="35">
        <f t="shared" ref="J370:Y371" si="425">J371</f>
        <v>5882000</v>
      </c>
      <c r="K370" s="35">
        <f t="shared" si="425"/>
        <v>0</v>
      </c>
      <c r="L370" s="35">
        <f t="shared" si="425"/>
        <v>5882000</v>
      </c>
      <c r="M370" s="35">
        <f t="shared" si="425"/>
        <v>0</v>
      </c>
      <c r="N370" s="35">
        <f t="shared" si="425"/>
        <v>5882000</v>
      </c>
      <c r="O370" s="35">
        <f t="shared" si="425"/>
        <v>0</v>
      </c>
      <c r="P370" s="35">
        <f t="shared" si="425"/>
        <v>5882000</v>
      </c>
      <c r="Q370" s="35">
        <f t="shared" si="425"/>
        <v>0</v>
      </c>
      <c r="R370" s="35"/>
      <c r="S370" s="35"/>
      <c r="T370" s="35"/>
      <c r="U370" s="35">
        <f t="shared" si="425"/>
        <v>5882000</v>
      </c>
      <c r="V370" s="35">
        <f t="shared" si="425"/>
        <v>0</v>
      </c>
      <c r="W370" s="35">
        <f t="shared" si="425"/>
        <v>0</v>
      </c>
      <c r="X370" s="35">
        <f t="shared" si="425"/>
        <v>0</v>
      </c>
      <c r="Y370" s="35">
        <f t="shared" si="425"/>
        <v>0</v>
      </c>
      <c r="Z370" s="35">
        <f t="shared" ref="Z370:AC371" si="426">Z371</f>
        <v>5882000</v>
      </c>
      <c r="AA370" s="35">
        <f t="shared" si="426"/>
        <v>5882000</v>
      </c>
      <c r="AB370" s="35">
        <f t="shared" si="426"/>
        <v>0</v>
      </c>
      <c r="AC370" s="35">
        <f t="shared" si="426"/>
        <v>0</v>
      </c>
    </row>
    <row r="371" spans="1:29" hidden="1" x14ac:dyDescent="0.25">
      <c r="A371" s="324" t="s">
        <v>153</v>
      </c>
      <c r="B371" s="324"/>
      <c r="C371" s="308"/>
      <c r="D371" s="308"/>
      <c r="E371" s="27">
        <v>853</v>
      </c>
      <c r="F371" s="19" t="s">
        <v>151</v>
      </c>
      <c r="G371" s="19" t="s">
        <v>17</v>
      </c>
      <c r="H371" s="17" t="s">
        <v>154</v>
      </c>
      <c r="I371" s="19"/>
      <c r="J371" s="2">
        <f t="shared" si="425"/>
        <v>5882000</v>
      </c>
      <c r="K371" s="2">
        <f t="shared" si="425"/>
        <v>0</v>
      </c>
      <c r="L371" s="2">
        <f t="shared" si="425"/>
        <v>5882000</v>
      </c>
      <c r="M371" s="2">
        <f t="shared" si="425"/>
        <v>0</v>
      </c>
      <c r="N371" s="2">
        <f t="shared" si="425"/>
        <v>5882000</v>
      </c>
      <c r="O371" s="2">
        <f t="shared" si="425"/>
        <v>0</v>
      </c>
      <c r="P371" s="2">
        <f>P372</f>
        <v>5882000</v>
      </c>
      <c r="Q371" s="2">
        <f t="shared" si="425"/>
        <v>0</v>
      </c>
      <c r="R371" s="2"/>
      <c r="S371" s="2"/>
      <c r="T371" s="2"/>
      <c r="U371" s="2">
        <f t="shared" si="425"/>
        <v>5882000</v>
      </c>
      <c r="V371" s="2">
        <f t="shared" si="425"/>
        <v>0</v>
      </c>
      <c r="W371" s="2">
        <f t="shared" si="425"/>
        <v>0</v>
      </c>
      <c r="X371" s="2">
        <f t="shared" si="425"/>
        <v>0</v>
      </c>
      <c r="Y371" s="2">
        <f t="shared" si="425"/>
        <v>0</v>
      </c>
      <c r="Z371" s="2">
        <f t="shared" si="426"/>
        <v>5882000</v>
      </c>
      <c r="AA371" s="2">
        <f t="shared" si="426"/>
        <v>5882000</v>
      </c>
      <c r="AB371" s="2">
        <f t="shared" si="426"/>
        <v>0</v>
      </c>
      <c r="AC371" s="2">
        <f t="shared" si="426"/>
        <v>0</v>
      </c>
    </row>
    <row r="372" spans="1:29" hidden="1" x14ac:dyDescent="0.25">
      <c r="A372" s="14"/>
      <c r="B372" s="301" t="s">
        <v>143</v>
      </c>
      <c r="C372" s="300"/>
      <c r="D372" s="300"/>
      <c r="E372" s="27">
        <v>853</v>
      </c>
      <c r="F372" s="1" t="s">
        <v>151</v>
      </c>
      <c r="G372" s="1" t="s">
        <v>17</v>
      </c>
      <c r="H372" s="17" t="s">
        <v>154</v>
      </c>
      <c r="I372" s="1" t="s">
        <v>144</v>
      </c>
      <c r="J372" s="2">
        <f>J373+J375</f>
        <v>5882000</v>
      </c>
      <c r="K372" s="2">
        <f t="shared" ref="K372:AC372" si="427">K373+K375</f>
        <v>0</v>
      </c>
      <c r="L372" s="2">
        <f t="shared" si="427"/>
        <v>5882000</v>
      </c>
      <c r="M372" s="2">
        <f t="shared" si="427"/>
        <v>0</v>
      </c>
      <c r="N372" s="2">
        <f t="shared" si="427"/>
        <v>5882000</v>
      </c>
      <c r="O372" s="2">
        <f t="shared" si="427"/>
        <v>0</v>
      </c>
      <c r="P372" s="2">
        <f t="shared" si="427"/>
        <v>5882000</v>
      </c>
      <c r="Q372" s="2">
        <f t="shared" si="427"/>
        <v>0</v>
      </c>
      <c r="R372" s="2"/>
      <c r="S372" s="2"/>
      <c r="T372" s="2"/>
      <c r="U372" s="2">
        <f t="shared" si="427"/>
        <v>5882000</v>
      </c>
      <c r="V372" s="2">
        <f t="shared" si="427"/>
        <v>0</v>
      </c>
      <c r="W372" s="2">
        <f t="shared" si="427"/>
        <v>0</v>
      </c>
      <c r="X372" s="2">
        <f t="shared" si="427"/>
        <v>0</v>
      </c>
      <c r="Y372" s="2">
        <f t="shared" si="427"/>
        <v>0</v>
      </c>
      <c r="Z372" s="2">
        <f t="shared" si="427"/>
        <v>5882000</v>
      </c>
      <c r="AA372" s="2">
        <f t="shared" si="427"/>
        <v>5882000</v>
      </c>
      <c r="AB372" s="2">
        <f t="shared" si="427"/>
        <v>0</v>
      </c>
      <c r="AC372" s="2">
        <f t="shared" si="427"/>
        <v>0</v>
      </c>
    </row>
    <row r="373" spans="1:29" hidden="1" x14ac:dyDescent="0.25">
      <c r="A373" s="14"/>
      <c r="B373" s="301" t="s">
        <v>559</v>
      </c>
      <c r="C373" s="300"/>
      <c r="D373" s="300"/>
      <c r="E373" s="27">
        <v>853</v>
      </c>
      <c r="F373" s="1" t="s">
        <v>151</v>
      </c>
      <c r="G373" s="100" t="s">
        <v>17</v>
      </c>
      <c r="H373" s="17" t="s">
        <v>154</v>
      </c>
      <c r="I373" s="1" t="s">
        <v>560</v>
      </c>
      <c r="J373" s="2">
        <f>J374</f>
        <v>0</v>
      </c>
      <c r="K373" s="2">
        <f t="shared" ref="K373:AC373" si="428">K374</f>
        <v>5882000</v>
      </c>
      <c r="L373" s="2">
        <f t="shared" si="428"/>
        <v>5882000</v>
      </c>
      <c r="M373" s="2">
        <f t="shared" si="428"/>
        <v>0</v>
      </c>
      <c r="N373" s="2">
        <f t="shared" si="428"/>
        <v>5882000</v>
      </c>
      <c r="O373" s="2">
        <f t="shared" si="428"/>
        <v>0</v>
      </c>
      <c r="P373" s="2">
        <f t="shared" si="428"/>
        <v>5882000</v>
      </c>
      <c r="Q373" s="2">
        <f t="shared" si="428"/>
        <v>0</v>
      </c>
      <c r="R373" s="2"/>
      <c r="S373" s="2"/>
      <c r="T373" s="2"/>
      <c r="U373" s="2">
        <f t="shared" si="428"/>
        <v>5882000</v>
      </c>
      <c r="V373" s="2">
        <f t="shared" si="428"/>
        <v>0</v>
      </c>
      <c r="W373" s="2">
        <f t="shared" si="428"/>
        <v>0</v>
      </c>
      <c r="X373" s="2">
        <f t="shared" si="428"/>
        <v>0</v>
      </c>
      <c r="Y373" s="2">
        <f t="shared" si="428"/>
        <v>0</v>
      </c>
      <c r="Z373" s="2">
        <f t="shared" si="428"/>
        <v>5882000</v>
      </c>
      <c r="AA373" s="2">
        <f t="shared" si="428"/>
        <v>5882000</v>
      </c>
      <c r="AB373" s="2">
        <f t="shared" si="428"/>
        <v>0</v>
      </c>
      <c r="AC373" s="2">
        <f t="shared" si="428"/>
        <v>0</v>
      </c>
    </row>
    <row r="374" spans="1:29" hidden="1" x14ac:dyDescent="0.25">
      <c r="A374" s="14"/>
      <c r="B374" s="301" t="s">
        <v>265</v>
      </c>
      <c r="C374" s="300"/>
      <c r="D374" s="300"/>
      <c r="E374" s="27">
        <v>853</v>
      </c>
      <c r="F374" s="1" t="s">
        <v>151</v>
      </c>
      <c r="G374" s="100" t="s">
        <v>17</v>
      </c>
      <c r="H374" s="17" t="s">
        <v>154</v>
      </c>
      <c r="I374" s="1" t="s">
        <v>558</v>
      </c>
      <c r="J374" s="2"/>
      <c r="K374" s="2">
        <v>5882000</v>
      </c>
      <c r="L374" s="2">
        <f t="shared" si="420"/>
        <v>5882000</v>
      </c>
      <c r="M374" s="2"/>
      <c r="N374" s="2">
        <f t="shared" ref="N374:N375" si="429">L374+M374</f>
        <v>5882000</v>
      </c>
      <c r="O374" s="2"/>
      <c r="P374" s="2">
        <f>N374+O374</f>
        <v>5882000</v>
      </c>
      <c r="Q374" s="2"/>
      <c r="R374" s="2"/>
      <c r="S374" s="2"/>
      <c r="T374" s="2"/>
      <c r="U374" s="2">
        <f>P374+Q374</f>
        <v>5882000</v>
      </c>
      <c r="V374" s="2"/>
      <c r="W374" s="2"/>
      <c r="X374" s="2"/>
      <c r="Y374" s="2"/>
      <c r="Z374" s="2">
        <f t="shared" ref="Z374:Z375" si="430">U374+V374</f>
        <v>5882000</v>
      </c>
      <c r="AA374" s="2">
        <f>Z374</f>
        <v>5882000</v>
      </c>
      <c r="AB374" s="14"/>
      <c r="AC374" s="14"/>
    </row>
    <row r="375" spans="1:29" hidden="1" x14ac:dyDescent="0.25">
      <c r="A375" s="14"/>
      <c r="B375" s="291" t="s">
        <v>155</v>
      </c>
      <c r="C375" s="296"/>
      <c r="D375" s="296"/>
      <c r="E375" s="27">
        <v>853</v>
      </c>
      <c r="F375" s="1" t="s">
        <v>151</v>
      </c>
      <c r="G375" s="1" t="s">
        <v>17</v>
      </c>
      <c r="H375" s="17" t="s">
        <v>154</v>
      </c>
      <c r="I375" s="1" t="s">
        <v>156</v>
      </c>
      <c r="J375" s="2">
        <v>5882000</v>
      </c>
      <c r="K375" s="2">
        <v>-5882000</v>
      </c>
      <c r="L375" s="2">
        <f t="shared" si="420"/>
        <v>0</v>
      </c>
      <c r="M375" s="2"/>
      <c r="N375" s="2">
        <f t="shared" si="429"/>
        <v>0</v>
      </c>
      <c r="O375" s="2"/>
      <c r="P375" s="2">
        <f>N375+O375</f>
        <v>0</v>
      </c>
      <c r="Q375" s="2"/>
      <c r="R375" s="2"/>
      <c r="S375" s="2"/>
      <c r="T375" s="2"/>
      <c r="U375" s="2">
        <f>P375+Q375</f>
        <v>0</v>
      </c>
      <c r="V375" s="2"/>
      <c r="W375" s="2"/>
      <c r="X375" s="2"/>
      <c r="Y375" s="2"/>
      <c r="Z375" s="2">
        <f t="shared" si="430"/>
        <v>0</v>
      </c>
      <c r="AA375" s="14"/>
      <c r="AB375" s="14"/>
      <c r="AC375" s="14"/>
    </row>
    <row r="376" spans="1:29" x14ac:dyDescent="0.25">
      <c r="A376" s="335" t="s">
        <v>157</v>
      </c>
      <c r="B376" s="335"/>
      <c r="C376" s="310"/>
      <c r="D376" s="310"/>
      <c r="E376" s="27">
        <v>853</v>
      </c>
      <c r="F376" s="10" t="s">
        <v>151</v>
      </c>
      <c r="G376" s="10" t="s">
        <v>72</v>
      </c>
      <c r="H376" s="10"/>
      <c r="I376" s="10"/>
      <c r="J376" s="11">
        <f>J377</f>
        <v>8607000</v>
      </c>
      <c r="K376" s="11">
        <f t="shared" ref="K376:Z378" si="431">K377</f>
        <v>0</v>
      </c>
      <c r="L376" s="11">
        <f>L377+L382</f>
        <v>8607000</v>
      </c>
      <c r="M376" s="11">
        <f t="shared" ref="M376:AC376" si="432">M377+M382</f>
        <v>-660700</v>
      </c>
      <c r="N376" s="11">
        <f t="shared" si="432"/>
        <v>7946300</v>
      </c>
      <c r="O376" s="11">
        <f t="shared" si="432"/>
        <v>0</v>
      </c>
      <c r="P376" s="11">
        <f t="shared" si="432"/>
        <v>7946300</v>
      </c>
      <c r="Q376" s="11">
        <f t="shared" si="432"/>
        <v>0</v>
      </c>
      <c r="R376" s="11"/>
      <c r="S376" s="11"/>
      <c r="T376" s="11"/>
      <c r="U376" s="11">
        <f t="shared" si="432"/>
        <v>7946300</v>
      </c>
      <c r="V376" s="11">
        <f t="shared" si="432"/>
        <v>100000</v>
      </c>
      <c r="W376" s="11">
        <f t="shared" si="432"/>
        <v>100000</v>
      </c>
      <c r="X376" s="11">
        <f t="shared" si="432"/>
        <v>0</v>
      </c>
      <c r="Y376" s="11">
        <f t="shared" si="432"/>
        <v>0</v>
      </c>
      <c r="Z376" s="11">
        <f t="shared" si="432"/>
        <v>8046300</v>
      </c>
      <c r="AA376" s="11">
        <f t="shared" si="432"/>
        <v>7846300</v>
      </c>
      <c r="AB376" s="11">
        <f t="shared" si="432"/>
        <v>200000</v>
      </c>
      <c r="AC376" s="11">
        <f t="shared" si="432"/>
        <v>0</v>
      </c>
    </row>
    <row r="377" spans="1:29" ht="14.25" customHeight="1" x14ac:dyDescent="0.25">
      <c r="A377" s="347" t="s">
        <v>158</v>
      </c>
      <c r="B377" s="347"/>
      <c r="C377" s="300"/>
      <c r="D377" s="300"/>
      <c r="E377" s="27">
        <v>853</v>
      </c>
      <c r="F377" s="1" t="s">
        <v>151</v>
      </c>
      <c r="G377" s="1" t="s">
        <v>72</v>
      </c>
      <c r="H377" s="1" t="s">
        <v>159</v>
      </c>
      <c r="I377" s="1"/>
      <c r="J377" s="2">
        <f t="shared" ref="J377" si="433">J378</f>
        <v>8607000</v>
      </c>
      <c r="K377" s="2">
        <f t="shared" si="431"/>
        <v>0</v>
      </c>
      <c r="L377" s="2">
        <f t="shared" si="431"/>
        <v>8607000</v>
      </c>
      <c r="M377" s="2">
        <f t="shared" si="431"/>
        <v>-860700</v>
      </c>
      <c r="N377" s="2">
        <f t="shared" si="431"/>
        <v>7746300</v>
      </c>
      <c r="O377" s="2">
        <f t="shared" si="431"/>
        <v>0</v>
      </c>
      <c r="P377" s="2">
        <f>P378</f>
        <v>7746300</v>
      </c>
      <c r="Q377" s="2">
        <f t="shared" ref="Q377:AC378" si="434">Q378</f>
        <v>0</v>
      </c>
      <c r="R377" s="2"/>
      <c r="S377" s="2"/>
      <c r="T377" s="2"/>
      <c r="U377" s="2">
        <f t="shared" si="434"/>
        <v>7746300</v>
      </c>
      <c r="V377" s="2">
        <f t="shared" si="434"/>
        <v>100000</v>
      </c>
      <c r="W377" s="2">
        <f t="shared" si="434"/>
        <v>100000</v>
      </c>
      <c r="X377" s="2">
        <f t="shared" si="434"/>
        <v>0</v>
      </c>
      <c r="Y377" s="2">
        <f t="shared" si="434"/>
        <v>0</v>
      </c>
      <c r="Z377" s="2">
        <f t="shared" si="434"/>
        <v>7846300</v>
      </c>
      <c r="AA377" s="2">
        <f t="shared" si="434"/>
        <v>7846300</v>
      </c>
      <c r="AB377" s="2">
        <f t="shared" si="434"/>
        <v>0</v>
      </c>
      <c r="AC377" s="2">
        <f t="shared" si="434"/>
        <v>0</v>
      </c>
    </row>
    <row r="378" spans="1:29" x14ac:dyDescent="0.25">
      <c r="A378" s="14"/>
      <c r="B378" s="301" t="s">
        <v>143</v>
      </c>
      <c r="C378" s="40"/>
      <c r="D378" s="300"/>
      <c r="E378" s="27">
        <v>853</v>
      </c>
      <c r="F378" s="1" t="s">
        <v>151</v>
      </c>
      <c r="G378" s="1" t="s">
        <v>72</v>
      </c>
      <c r="H378" s="1" t="s">
        <v>159</v>
      </c>
      <c r="I378" s="1" t="s">
        <v>144</v>
      </c>
      <c r="J378" s="2">
        <f>J379</f>
        <v>8607000</v>
      </c>
      <c r="K378" s="2">
        <f t="shared" si="431"/>
        <v>0</v>
      </c>
      <c r="L378" s="2">
        <f t="shared" si="431"/>
        <v>8607000</v>
      </c>
      <c r="M378" s="2">
        <f t="shared" si="431"/>
        <v>-860700</v>
      </c>
      <c r="N378" s="2">
        <f t="shared" si="431"/>
        <v>7746300</v>
      </c>
      <c r="O378" s="2">
        <f t="shared" si="431"/>
        <v>0</v>
      </c>
      <c r="P378" s="2">
        <f t="shared" si="431"/>
        <v>7746300</v>
      </c>
      <c r="Q378" s="2">
        <f t="shared" si="431"/>
        <v>0</v>
      </c>
      <c r="R378" s="2"/>
      <c r="S378" s="2"/>
      <c r="T378" s="2"/>
      <c r="U378" s="2">
        <f t="shared" si="431"/>
        <v>7746300</v>
      </c>
      <c r="V378" s="2">
        <f t="shared" si="431"/>
        <v>100000</v>
      </c>
      <c r="W378" s="2">
        <f t="shared" si="431"/>
        <v>100000</v>
      </c>
      <c r="X378" s="2">
        <f t="shared" si="431"/>
        <v>0</v>
      </c>
      <c r="Y378" s="2">
        <f t="shared" si="431"/>
        <v>0</v>
      </c>
      <c r="Z378" s="2">
        <f t="shared" si="431"/>
        <v>7846300</v>
      </c>
      <c r="AA378" s="2">
        <f t="shared" si="434"/>
        <v>7846300</v>
      </c>
      <c r="AB378" s="2">
        <f t="shared" si="434"/>
        <v>0</v>
      </c>
      <c r="AC378" s="2">
        <f t="shared" si="434"/>
        <v>0</v>
      </c>
    </row>
    <row r="379" spans="1:29" x14ac:dyDescent="0.25">
      <c r="A379" s="14"/>
      <c r="B379" s="301" t="s">
        <v>594</v>
      </c>
      <c r="C379" s="40"/>
      <c r="D379" s="300"/>
      <c r="E379" s="27">
        <v>853</v>
      </c>
      <c r="F379" s="1" t="s">
        <v>151</v>
      </c>
      <c r="G379" s="1" t="s">
        <v>72</v>
      </c>
      <c r="H379" s="1" t="s">
        <v>159</v>
      </c>
      <c r="I379" s="1" t="s">
        <v>560</v>
      </c>
      <c r="J379" s="2">
        <f>J380+J381</f>
        <v>8607000</v>
      </c>
      <c r="K379" s="2">
        <f t="shared" ref="K379:AC379" si="435">K380+K381</f>
        <v>0</v>
      </c>
      <c r="L379" s="2">
        <f t="shared" si="435"/>
        <v>8607000</v>
      </c>
      <c r="M379" s="2">
        <f t="shared" si="435"/>
        <v>-860700</v>
      </c>
      <c r="N379" s="2">
        <f t="shared" si="435"/>
        <v>7746300</v>
      </c>
      <c r="O379" s="2">
        <f t="shared" si="435"/>
        <v>0</v>
      </c>
      <c r="P379" s="2">
        <f t="shared" si="435"/>
        <v>7746300</v>
      </c>
      <c r="Q379" s="2">
        <f t="shared" si="435"/>
        <v>0</v>
      </c>
      <c r="R379" s="2"/>
      <c r="S379" s="2"/>
      <c r="T379" s="2"/>
      <c r="U379" s="2">
        <f t="shared" si="435"/>
        <v>7746300</v>
      </c>
      <c r="V379" s="2">
        <f t="shared" si="435"/>
        <v>100000</v>
      </c>
      <c r="W379" s="2">
        <f t="shared" si="435"/>
        <v>100000</v>
      </c>
      <c r="X379" s="2">
        <f t="shared" si="435"/>
        <v>0</v>
      </c>
      <c r="Y379" s="2">
        <f t="shared" si="435"/>
        <v>0</v>
      </c>
      <c r="Z379" s="2">
        <f t="shared" si="435"/>
        <v>7846300</v>
      </c>
      <c r="AA379" s="2">
        <f t="shared" si="435"/>
        <v>7846300</v>
      </c>
      <c r="AB379" s="2">
        <f t="shared" si="435"/>
        <v>0</v>
      </c>
      <c r="AC379" s="2">
        <f t="shared" si="435"/>
        <v>0</v>
      </c>
    </row>
    <row r="380" spans="1:29" x14ac:dyDescent="0.25">
      <c r="A380" s="14"/>
      <c r="B380" s="301" t="s">
        <v>157</v>
      </c>
      <c r="C380" s="40"/>
      <c r="D380" s="300"/>
      <c r="E380" s="27">
        <v>853</v>
      </c>
      <c r="F380" s="1" t="s">
        <v>151</v>
      </c>
      <c r="G380" s="1" t="s">
        <v>72</v>
      </c>
      <c r="H380" s="1" t="s">
        <v>159</v>
      </c>
      <c r="I380" s="1" t="s">
        <v>593</v>
      </c>
      <c r="J380" s="2"/>
      <c r="K380" s="2">
        <v>8607000</v>
      </c>
      <c r="L380" s="2">
        <f t="shared" si="420"/>
        <v>8607000</v>
      </c>
      <c r="M380" s="2">
        <v>-860700</v>
      </c>
      <c r="N380" s="2">
        <f t="shared" ref="N380:N389" si="436">L380+M380</f>
        <v>7746300</v>
      </c>
      <c r="O380" s="2"/>
      <c r="P380" s="2">
        <f>N380+O380</f>
        <v>7746300</v>
      </c>
      <c r="Q380" s="2"/>
      <c r="R380" s="2"/>
      <c r="S380" s="2"/>
      <c r="T380" s="2"/>
      <c r="U380" s="2">
        <f>P380+Q380</f>
        <v>7746300</v>
      </c>
      <c r="V380" s="2">
        <v>100000</v>
      </c>
      <c r="W380" s="2">
        <v>100000</v>
      </c>
      <c r="X380" s="2"/>
      <c r="Y380" s="2"/>
      <c r="Z380" s="2">
        <f t="shared" ref="Z380:Z381" si="437">U380+V380</f>
        <v>7846300</v>
      </c>
      <c r="AA380" s="2">
        <f>Z380</f>
        <v>7846300</v>
      </c>
      <c r="AB380" s="14"/>
      <c r="AC380" s="14"/>
    </row>
    <row r="381" spans="1:29" x14ac:dyDescent="0.25">
      <c r="A381" s="14"/>
      <c r="B381" s="291" t="s">
        <v>155</v>
      </c>
      <c r="C381" s="39"/>
      <c r="D381" s="296"/>
      <c r="E381" s="27">
        <v>853</v>
      </c>
      <c r="F381" s="1" t="s">
        <v>151</v>
      </c>
      <c r="G381" s="1" t="s">
        <v>72</v>
      </c>
      <c r="H381" s="1" t="s">
        <v>159</v>
      </c>
      <c r="I381" s="1" t="s">
        <v>156</v>
      </c>
      <c r="J381" s="2">
        <v>8607000</v>
      </c>
      <c r="K381" s="2">
        <v>-8607000</v>
      </c>
      <c r="L381" s="2">
        <f t="shared" si="420"/>
        <v>0</v>
      </c>
      <c r="M381" s="2"/>
      <c r="N381" s="2">
        <f t="shared" si="436"/>
        <v>0</v>
      </c>
      <c r="O381" s="2"/>
      <c r="P381" s="2">
        <f>N381+O381</f>
        <v>0</v>
      </c>
      <c r="Q381" s="2"/>
      <c r="R381" s="2"/>
      <c r="S381" s="2"/>
      <c r="T381" s="2"/>
      <c r="U381" s="2">
        <f>P381+Q381</f>
        <v>0</v>
      </c>
      <c r="V381" s="2"/>
      <c r="W381" s="2"/>
      <c r="X381" s="2"/>
      <c r="Y381" s="2"/>
      <c r="Z381" s="2">
        <f t="shared" si="437"/>
        <v>0</v>
      </c>
      <c r="AA381" s="14"/>
      <c r="AB381" s="14"/>
      <c r="AC381" s="14"/>
    </row>
    <row r="382" spans="1:29" ht="12.75" hidden="1" x14ac:dyDescent="0.25">
      <c r="A382" s="352" t="s">
        <v>632</v>
      </c>
      <c r="B382" s="353"/>
      <c r="C382" s="94"/>
      <c r="D382" s="94"/>
      <c r="E382" s="27">
        <v>853</v>
      </c>
      <c r="F382" s="213" t="s">
        <v>151</v>
      </c>
      <c r="G382" s="213" t="s">
        <v>72</v>
      </c>
      <c r="H382" s="1" t="s">
        <v>633</v>
      </c>
      <c r="I382" s="213"/>
      <c r="J382" s="2"/>
      <c r="K382" s="2"/>
      <c r="L382" s="2">
        <f t="shared" ref="L382:AC382" si="438">L383+L386</f>
        <v>0</v>
      </c>
      <c r="M382" s="2">
        <f t="shared" si="438"/>
        <v>200000</v>
      </c>
      <c r="N382" s="2">
        <f t="shared" si="438"/>
        <v>200000</v>
      </c>
      <c r="O382" s="2">
        <f t="shared" si="438"/>
        <v>0</v>
      </c>
      <c r="P382" s="2">
        <f t="shared" si="438"/>
        <v>200000</v>
      </c>
      <c r="Q382" s="2">
        <f t="shared" si="438"/>
        <v>0</v>
      </c>
      <c r="R382" s="2"/>
      <c r="S382" s="2"/>
      <c r="T382" s="2"/>
      <c r="U382" s="2">
        <f t="shared" si="438"/>
        <v>200000</v>
      </c>
      <c r="V382" s="2">
        <f t="shared" si="438"/>
        <v>0</v>
      </c>
      <c r="W382" s="2">
        <f t="shared" si="438"/>
        <v>0</v>
      </c>
      <c r="X382" s="2">
        <f t="shared" si="438"/>
        <v>0</v>
      </c>
      <c r="Y382" s="2">
        <f t="shared" si="438"/>
        <v>0</v>
      </c>
      <c r="Z382" s="2">
        <f t="shared" si="438"/>
        <v>200000</v>
      </c>
      <c r="AA382" s="2">
        <f t="shared" si="438"/>
        <v>0</v>
      </c>
      <c r="AB382" s="2">
        <f t="shared" si="438"/>
        <v>200000</v>
      </c>
      <c r="AC382" s="2">
        <f t="shared" si="438"/>
        <v>0</v>
      </c>
    </row>
    <row r="383" spans="1:29" ht="12.75" hidden="1" x14ac:dyDescent="0.25">
      <c r="A383" s="298"/>
      <c r="B383" s="311" t="s">
        <v>143</v>
      </c>
      <c r="C383" s="94"/>
      <c r="D383" s="94"/>
      <c r="E383" s="27">
        <v>853</v>
      </c>
      <c r="F383" s="213" t="s">
        <v>151</v>
      </c>
      <c r="G383" s="213" t="s">
        <v>72</v>
      </c>
      <c r="H383" s="1" t="s">
        <v>633</v>
      </c>
      <c r="I383" s="213" t="s">
        <v>144</v>
      </c>
      <c r="J383" s="2"/>
      <c r="K383" s="2"/>
      <c r="L383" s="2">
        <f t="shared" ref="L383:AC383" si="439">L385</f>
        <v>0</v>
      </c>
      <c r="M383" s="2">
        <f t="shared" si="439"/>
        <v>200000</v>
      </c>
      <c r="N383" s="2">
        <f t="shared" si="439"/>
        <v>200000</v>
      </c>
      <c r="O383" s="2">
        <f t="shared" si="439"/>
        <v>0</v>
      </c>
      <c r="P383" s="2">
        <f t="shared" si="439"/>
        <v>200000</v>
      </c>
      <c r="Q383" s="2">
        <f t="shared" si="439"/>
        <v>0</v>
      </c>
      <c r="R383" s="2"/>
      <c r="S383" s="2"/>
      <c r="T383" s="2"/>
      <c r="U383" s="2">
        <f t="shared" si="439"/>
        <v>200000</v>
      </c>
      <c r="V383" s="2">
        <f t="shared" si="439"/>
        <v>0</v>
      </c>
      <c r="W383" s="2">
        <f t="shared" si="439"/>
        <v>0</v>
      </c>
      <c r="X383" s="2">
        <f t="shared" si="439"/>
        <v>0</v>
      </c>
      <c r="Y383" s="2">
        <f t="shared" si="439"/>
        <v>0</v>
      </c>
      <c r="Z383" s="2">
        <f t="shared" si="439"/>
        <v>200000</v>
      </c>
      <c r="AA383" s="2">
        <f t="shared" si="439"/>
        <v>0</v>
      </c>
      <c r="AB383" s="2">
        <f t="shared" si="439"/>
        <v>200000</v>
      </c>
      <c r="AC383" s="2">
        <f t="shared" si="439"/>
        <v>0</v>
      </c>
    </row>
    <row r="384" spans="1:29" ht="12.75" hidden="1" x14ac:dyDescent="0.25">
      <c r="A384" s="298"/>
      <c r="B384" s="311" t="s">
        <v>594</v>
      </c>
      <c r="C384" s="94"/>
      <c r="D384" s="94"/>
      <c r="E384" s="27">
        <v>853</v>
      </c>
      <c r="F384" s="213" t="s">
        <v>151</v>
      </c>
      <c r="G384" s="213" t="s">
        <v>72</v>
      </c>
      <c r="H384" s="1" t="s">
        <v>633</v>
      </c>
      <c r="I384" s="213" t="s">
        <v>560</v>
      </c>
      <c r="J384" s="2"/>
      <c r="K384" s="2"/>
      <c r="L384" s="2">
        <f>L385</f>
        <v>0</v>
      </c>
      <c r="M384" s="2">
        <f t="shared" ref="M384:AC384" si="440">M385</f>
        <v>200000</v>
      </c>
      <c r="N384" s="2">
        <f t="shared" si="440"/>
        <v>200000</v>
      </c>
      <c r="O384" s="2">
        <f t="shared" si="440"/>
        <v>0</v>
      </c>
      <c r="P384" s="2">
        <f t="shared" si="440"/>
        <v>200000</v>
      </c>
      <c r="Q384" s="2">
        <f t="shared" si="440"/>
        <v>0</v>
      </c>
      <c r="R384" s="2"/>
      <c r="S384" s="2"/>
      <c r="T384" s="2"/>
      <c r="U384" s="2">
        <f t="shared" si="440"/>
        <v>200000</v>
      </c>
      <c r="V384" s="2">
        <f t="shared" si="440"/>
        <v>0</v>
      </c>
      <c r="W384" s="2">
        <f t="shared" si="440"/>
        <v>0</v>
      </c>
      <c r="X384" s="2">
        <f t="shared" si="440"/>
        <v>0</v>
      </c>
      <c r="Y384" s="2">
        <f t="shared" si="440"/>
        <v>0</v>
      </c>
      <c r="Z384" s="2">
        <f t="shared" si="440"/>
        <v>200000</v>
      </c>
      <c r="AA384" s="2">
        <f t="shared" si="440"/>
        <v>0</v>
      </c>
      <c r="AB384" s="2">
        <f t="shared" si="440"/>
        <v>200000</v>
      </c>
      <c r="AC384" s="2">
        <f t="shared" si="440"/>
        <v>0</v>
      </c>
    </row>
    <row r="385" spans="1:29" ht="12.75" hidden="1" x14ac:dyDescent="0.25">
      <c r="A385" s="298"/>
      <c r="B385" s="301" t="s">
        <v>157</v>
      </c>
      <c r="C385" s="94"/>
      <c r="D385" s="94"/>
      <c r="E385" s="27">
        <v>853</v>
      </c>
      <c r="F385" s="213" t="s">
        <v>151</v>
      </c>
      <c r="G385" s="213" t="s">
        <v>72</v>
      </c>
      <c r="H385" s="1" t="s">
        <v>633</v>
      </c>
      <c r="I385" s="213" t="s">
        <v>593</v>
      </c>
      <c r="J385" s="2"/>
      <c r="K385" s="2"/>
      <c r="L385" s="2">
        <v>0</v>
      </c>
      <c r="M385" s="2">
        <v>200000</v>
      </c>
      <c r="N385" s="2">
        <f t="shared" ref="N385" si="441">L385+M385</f>
        <v>200000</v>
      </c>
      <c r="O385" s="2"/>
      <c r="P385" s="2">
        <f>N385+O385</f>
        <v>200000</v>
      </c>
      <c r="Q385" s="2"/>
      <c r="R385" s="2"/>
      <c r="S385" s="2"/>
      <c r="T385" s="2"/>
      <c r="U385" s="2">
        <f>P385+Q385</f>
        <v>200000</v>
      </c>
      <c r="V385" s="2"/>
      <c r="W385" s="2"/>
      <c r="X385" s="2"/>
      <c r="Y385" s="2"/>
      <c r="Z385" s="2">
        <f t="shared" ref="Z385:Z389" si="442">U385+V385</f>
        <v>200000</v>
      </c>
      <c r="AA385" s="2"/>
      <c r="AB385" s="2">
        <f>Z385</f>
        <v>200000</v>
      </c>
      <c r="AC385" s="14"/>
    </row>
    <row r="386" spans="1:29" ht="15" hidden="1" customHeight="1" x14ac:dyDescent="0.25">
      <c r="A386" s="328" t="s">
        <v>165</v>
      </c>
      <c r="B386" s="328"/>
      <c r="E386" s="140">
        <v>853</v>
      </c>
      <c r="F386" s="211" t="s">
        <v>166</v>
      </c>
      <c r="G386" s="212" t="s">
        <v>149</v>
      </c>
      <c r="H386" s="304" t="s">
        <v>149</v>
      </c>
      <c r="I386" s="304" t="s">
        <v>149</v>
      </c>
      <c r="J386" s="11">
        <f t="shared" ref="J386:Q388" si="443">J387</f>
        <v>0</v>
      </c>
      <c r="K386" s="11">
        <f t="shared" si="443"/>
        <v>0</v>
      </c>
      <c r="L386" s="2">
        <f t="shared" si="420"/>
        <v>0</v>
      </c>
      <c r="M386" s="11">
        <f t="shared" si="443"/>
        <v>0</v>
      </c>
      <c r="N386" s="2">
        <f t="shared" si="436"/>
        <v>0</v>
      </c>
      <c r="O386" s="11">
        <f t="shared" si="443"/>
        <v>0</v>
      </c>
      <c r="P386" s="2">
        <f>N386+O386</f>
        <v>0</v>
      </c>
      <c r="Q386" s="11">
        <f t="shared" si="443"/>
        <v>0</v>
      </c>
      <c r="R386" s="11"/>
      <c r="S386" s="11"/>
      <c r="T386" s="11"/>
      <c r="U386" s="2">
        <f>P386+Q386</f>
        <v>0</v>
      </c>
      <c r="V386" s="11">
        <f t="shared" ref="V386:V388" si="444">V387</f>
        <v>0</v>
      </c>
      <c r="W386" s="11"/>
      <c r="X386" s="11"/>
      <c r="Y386" s="11"/>
      <c r="Z386" s="2">
        <f t="shared" si="442"/>
        <v>0</v>
      </c>
      <c r="AA386" s="14"/>
      <c r="AB386" s="14"/>
      <c r="AC386" s="14"/>
    </row>
    <row r="387" spans="1:29" ht="15" hidden="1" customHeight="1" x14ac:dyDescent="0.25">
      <c r="A387" s="328" t="s">
        <v>165</v>
      </c>
      <c r="B387" s="328"/>
      <c r="E387" s="27">
        <v>853</v>
      </c>
      <c r="F387" s="112" t="s">
        <v>166</v>
      </c>
      <c r="G387" s="164" t="s">
        <v>166</v>
      </c>
      <c r="H387" s="304" t="s">
        <v>149</v>
      </c>
      <c r="I387" s="304" t="s">
        <v>149</v>
      </c>
      <c r="J387" s="11">
        <f t="shared" si="443"/>
        <v>0</v>
      </c>
      <c r="K387" s="11">
        <f t="shared" si="443"/>
        <v>0</v>
      </c>
      <c r="L387" s="2">
        <f t="shared" si="420"/>
        <v>0</v>
      </c>
      <c r="M387" s="11">
        <f t="shared" si="443"/>
        <v>0</v>
      </c>
      <c r="N387" s="2">
        <f t="shared" si="436"/>
        <v>0</v>
      </c>
      <c r="O387" s="11">
        <f t="shared" si="443"/>
        <v>0</v>
      </c>
      <c r="P387" s="2">
        <f>N387+O387</f>
        <v>0</v>
      </c>
      <c r="Q387" s="11">
        <f t="shared" si="443"/>
        <v>0</v>
      </c>
      <c r="R387" s="11"/>
      <c r="S387" s="11"/>
      <c r="T387" s="11"/>
      <c r="U387" s="2">
        <f>P387+Q387</f>
        <v>0</v>
      </c>
      <c r="V387" s="11">
        <f t="shared" si="444"/>
        <v>0</v>
      </c>
      <c r="W387" s="11"/>
      <c r="X387" s="11"/>
      <c r="Y387" s="11"/>
      <c r="Z387" s="2">
        <f t="shared" si="442"/>
        <v>0</v>
      </c>
      <c r="AA387" s="14"/>
      <c r="AB387" s="14"/>
      <c r="AC387" s="14"/>
    </row>
    <row r="388" spans="1:29" hidden="1" x14ac:dyDescent="0.25">
      <c r="A388" s="14"/>
      <c r="B388" s="291" t="s">
        <v>165</v>
      </c>
      <c r="E388" s="27">
        <v>853</v>
      </c>
      <c r="F388" s="113" t="s">
        <v>166</v>
      </c>
      <c r="G388" s="114" t="s">
        <v>166</v>
      </c>
      <c r="H388" s="173" t="s">
        <v>167</v>
      </c>
      <c r="I388" s="301" t="s">
        <v>149</v>
      </c>
      <c r="J388" s="2">
        <f t="shared" si="443"/>
        <v>0</v>
      </c>
      <c r="K388" s="2">
        <f t="shared" si="443"/>
        <v>0</v>
      </c>
      <c r="L388" s="2">
        <f t="shared" si="420"/>
        <v>0</v>
      </c>
      <c r="M388" s="2">
        <f t="shared" si="443"/>
        <v>0</v>
      </c>
      <c r="N388" s="2">
        <f t="shared" si="436"/>
        <v>0</v>
      </c>
      <c r="O388" s="2">
        <f t="shared" si="443"/>
        <v>0</v>
      </c>
      <c r="P388" s="2">
        <f>N388+O388</f>
        <v>0</v>
      </c>
      <c r="Q388" s="2">
        <f t="shared" si="443"/>
        <v>0</v>
      </c>
      <c r="R388" s="2"/>
      <c r="S388" s="2"/>
      <c r="T388" s="2"/>
      <c r="U388" s="2">
        <f>P388+Q388</f>
        <v>0</v>
      </c>
      <c r="V388" s="2">
        <f t="shared" si="444"/>
        <v>0</v>
      </c>
      <c r="W388" s="2"/>
      <c r="X388" s="2"/>
      <c r="Y388" s="2"/>
      <c r="Z388" s="2">
        <f t="shared" si="442"/>
        <v>0</v>
      </c>
      <c r="AA388" s="14"/>
      <c r="AB388" s="14"/>
      <c r="AC388" s="14"/>
    </row>
    <row r="389" spans="1:29" hidden="1" x14ac:dyDescent="0.25">
      <c r="A389" s="14"/>
      <c r="B389" s="291" t="s">
        <v>165</v>
      </c>
      <c r="E389" s="27">
        <v>853</v>
      </c>
      <c r="F389" s="113" t="s">
        <v>166</v>
      </c>
      <c r="G389" s="114" t="s">
        <v>166</v>
      </c>
      <c r="H389" s="173" t="s">
        <v>167</v>
      </c>
      <c r="I389" s="173" t="s">
        <v>168</v>
      </c>
      <c r="J389" s="2"/>
      <c r="K389" s="2"/>
      <c r="L389" s="2">
        <f t="shared" si="420"/>
        <v>0</v>
      </c>
      <c r="M389" s="2"/>
      <c r="N389" s="2">
        <f t="shared" si="436"/>
        <v>0</v>
      </c>
      <c r="O389" s="2"/>
      <c r="P389" s="2">
        <f>N389+O389</f>
        <v>0</v>
      </c>
      <c r="Q389" s="2"/>
      <c r="R389" s="2"/>
      <c r="S389" s="2"/>
      <c r="T389" s="2"/>
      <c r="U389" s="2">
        <f>P389+Q389</f>
        <v>0</v>
      </c>
      <c r="V389" s="2"/>
      <c r="W389" s="2"/>
      <c r="X389" s="2"/>
      <c r="Y389" s="2"/>
      <c r="Z389" s="2">
        <f t="shared" si="442"/>
        <v>0</v>
      </c>
      <c r="AA389" s="14"/>
      <c r="AB389" s="14"/>
      <c r="AC389" s="14"/>
    </row>
    <row r="390" spans="1:29" s="9" customFormat="1" ht="17.25" customHeight="1" x14ac:dyDescent="0.25">
      <c r="A390" s="329" t="s">
        <v>160</v>
      </c>
      <c r="B390" s="329"/>
      <c r="C390" s="38"/>
      <c r="D390" s="38"/>
      <c r="E390" s="294">
        <v>854</v>
      </c>
      <c r="F390" s="302"/>
      <c r="G390" s="6"/>
      <c r="H390" s="6"/>
      <c r="I390" s="6"/>
      <c r="J390" s="7">
        <f t="shared" ref="J390:AC390" si="445">J391</f>
        <v>1416920</v>
      </c>
      <c r="K390" s="7">
        <f t="shared" si="445"/>
        <v>0</v>
      </c>
      <c r="L390" s="7">
        <f t="shared" si="445"/>
        <v>1416920</v>
      </c>
      <c r="M390" s="7">
        <f t="shared" si="445"/>
        <v>0</v>
      </c>
      <c r="N390" s="7">
        <f t="shared" si="445"/>
        <v>1416920</v>
      </c>
      <c r="O390" s="7">
        <f t="shared" si="445"/>
        <v>0</v>
      </c>
      <c r="P390" s="7">
        <f t="shared" si="445"/>
        <v>1416920</v>
      </c>
      <c r="Q390" s="7">
        <f t="shared" si="445"/>
        <v>0</v>
      </c>
      <c r="R390" s="7"/>
      <c r="S390" s="7"/>
      <c r="T390" s="7"/>
      <c r="U390" s="7">
        <f t="shared" si="445"/>
        <v>1416920</v>
      </c>
      <c r="V390" s="7">
        <f t="shared" si="445"/>
        <v>2999.7400000000016</v>
      </c>
      <c r="W390" s="7">
        <f t="shared" si="445"/>
        <v>0</v>
      </c>
      <c r="X390" s="7">
        <f t="shared" si="445"/>
        <v>2999.7400000000016</v>
      </c>
      <c r="Y390" s="7">
        <f t="shared" si="445"/>
        <v>0</v>
      </c>
      <c r="Z390" s="7">
        <f t="shared" si="445"/>
        <v>1419919.7400000002</v>
      </c>
      <c r="AA390" s="7">
        <f t="shared" si="445"/>
        <v>0</v>
      </c>
      <c r="AB390" s="7">
        <f t="shared" si="445"/>
        <v>1419919.7400000002</v>
      </c>
      <c r="AC390" s="7">
        <f t="shared" si="445"/>
        <v>0</v>
      </c>
    </row>
    <row r="391" spans="1:29" s="9" customFormat="1" x14ac:dyDescent="0.25">
      <c r="A391" s="325" t="s">
        <v>16</v>
      </c>
      <c r="B391" s="325"/>
      <c r="C391" s="292"/>
      <c r="D391" s="292"/>
      <c r="E391" s="180">
        <v>854</v>
      </c>
      <c r="F391" s="6" t="s">
        <v>17</v>
      </c>
      <c r="G391" s="6"/>
      <c r="H391" s="6"/>
      <c r="I391" s="6"/>
      <c r="J391" s="7">
        <f>J392+J396</f>
        <v>1416920</v>
      </c>
      <c r="K391" s="7">
        <f t="shared" ref="K391:AC391" si="446">K392+K396</f>
        <v>0</v>
      </c>
      <c r="L391" s="7">
        <f t="shared" si="446"/>
        <v>1416920</v>
      </c>
      <c r="M391" s="7">
        <f t="shared" si="446"/>
        <v>0</v>
      </c>
      <c r="N391" s="7">
        <f t="shared" si="446"/>
        <v>1416920</v>
      </c>
      <c r="O391" s="7">
        <f t="shared" si="446"/>
        <v>0</v>
      </c>
      <c r="P391" s="7">
        <f t="shared" si="446"/>
        <v>1416920</v>
      </c>
      <c r="Q391" s="7">
        <f t="shared" si="446"/>
        <v>0</v>
      </c>
      <c r="R391" s="7"/>
      <c r="S391" s="7"/>
      <c r="T391" s="7"/>
      <c r="U391" s="7">
        <f t="shared" si="446"/>
        <v>1416920</v>
      </c>
      <c r="V391" s="7">
        <f t="shared" si="446"/>
        <v>2999.7400000000016</v>
      </c>
      <c r="W391" s="7">
        <f t="shared" si="446"/>
        <v>0</v>
      </c>
      <c r="X391" s="7">
        <f t="shared" si="446"/>
        <v>2999.7400000000016</v>
      </c>
      <c r="Y391" s="7">
        <f t="shared" si="446"/>
        <v>0</v>
      </c>
      <c r="Z391" s="7">
        <f t="shared" si="446"/>
        <v>1419919.7400000002</v>
      </c>
      <c r="AA391" s="7">
        <f t="shared" si="446"/>
        <v>0</v>
      </c>
      <c r="AB391" s="7">
        <f t="shared" si="446"/>
        <v>1419919.7400000002</v>
      </c>
      <c r="AC391" s="7">
        <f t="shared" si="446"/>
        <v>0</v>
      </c>
    </row>
    <row r="392" spans="1:29" s="9" customFormat="1" ht="24" customHeight="1" x14ac:dyDescent="0.25">
      <c r="A392" s="354" t="s">
        <v>421</v>
      </c>
      <c r="B392" s="355"/>
      <c r="C392" s="292"/>
      <c r="D392" s="292"/>
      <c r="E392" s="173">
        <v>854</v>
      </c>
      <c r="F392" s="10" t="s">
        <v>17</v>
      </c>
      <c r="G392" s="10" t="s">
        <v>72</v>
      </c>
      <c r="H392" s="10"/>
      <c r="I392" s="10"/>
      <c r="J392" s="11">
        <f t="shared" ref="J392:Y394" si="447">J393</f>
        <v>789500</v>
      </c>
      <c r="K392" s="11">
        <f t="shared" si="447"/>
        <v>0</v>
      </c>
      <c r="L392" s="11">
        <f t="shared" si="447"/>
        <v>789500</v>
      </c>
      <c r="M392" s="11">
        <f t="shared" si="447"/>
        <v>0</v>
      </c>
      <c r="N392" s="11">
        <f t="shared" si="447"/>
        <v>789500</v>
      </c>
      <c r="O392" s="11">
        <f t="shared" si="447"/>
        <v>0</v>
      </c>
      <c r="P392" s="11">
        <f t="shared" si="447"/>
        <v>789500</v>
      </c>
      <c r="Q392" s="11">
        <f t="shared" si="447"/>
        <v>0</v>
      </c>
      <c r="R392" s="11"/>
      <c r="S392" s="11"/>
      <c r="T392" s="11"/>
      <c r="U392" s="11">
        <f t="shared" si="447"/>
        <v>789500</v>
      </c>
      <c r="V392" s="11">
        <f t="shared" si="447"/>
        <v>31015.68</v>
      </c>
      <c r="W392" s="11">
        <f t="shared" si="447"/>
        <v>0</v>
      </c>
      <c r="X392" s="11">
        <f t="shared" si="447"/>
        <v>31015.68</v>
      </c>
      <c r="Y392" s="11">
        <f t="shared" si="447"/>
        <v>0</v>
      </c>
      <c r="Z392" s="11">
        <f t="shared" ref="V392:AC394" si="448">Z393</f>
        <v>820515.68</v>
      </c>
      <c r="AA392" s="11">
        <f t="shared" si="448"/>
        <v>0</v>
      </c>
      <c r="AB392" s="11">
        <f t="shared" si="448"/>
        <v>820515.68</v>
      </c>
      <c r="AC392" s="11">
        <f t="shared" si="448"/>
        <v>0</v>
      </c>
    </row>
    <row r="393" spans="1:29" x14ac:dyDescent="0.25">
      <c r="A393" s="330" t="s">
        <v>422</v>
      </c>
      <c r="B393" s="331"/>
      <c r="C393" s="291"/>
      <c r="D393" s="291"/>
      <c r="E393" s="173">
        <v>854</v>
      </c>
      <c r="F393" s="1" t="s">
        <v>22</v>
      </c>
      <c r="G393" s="1" t="s">
        <v>72</v>
      </c>
      <c r="H393" s="1" t="s">
        <v>423</v>
      </c>
      <c r="I393" s="1"/>
      <c r="J393" s="2">
        <f t="shared" si="447"/>
        <v>789500</v>
      </c>
      <c r="K393" s="2">
        <f t="shared" si="447"/>
        <v>0</v>
      </c>
      <c r="L393" s="2">
        <f t="shared" si="447"/>
        <v>789500</v>
      </c>
      <c r="M393" s="2">
        <f t="shared" si="447"/>
        <v>0</v>
      </c>
      <c r="N393" s="2">
        <f t="shared" si="447"/>
        <v>789500</v>
      </c>
      <c r="O393" s="2">
        <f t="shared" si="447"/>
        <v>0</v>
      </c>
      <c r="P393" s="2">
        <f>P394</f>
        <v>789500</v>
      </c>
      <c r="Q393" s="2">
        <f t="shared" si="447"/>
        <v>0</v>
      </c>
      <c r="R393" s="2"/>
      <c r="S393" s="2"/>
      <c r="T393" s="2"/>
      <c r="U393" s="2">
        <f t="shared" si="447"/>
        <v>789500</v>
      </c>
      <c r="V393" s="2">
        <f t="shared" si="447"/>
        <v>31015.68</v>
      </c>
      <c r="W393" s="2">
        <f t="shared" si="447"/>
        <v>0</v>
      </c>
      <c r="X393" s="2">
        <f t="shared" si="447"/>
        <v>31015.68</v>
      </c>
      <c r="Y393" s="2">
        <f t="shared" si="447"/>
        <v>0</v>
      </c>
      <c r="Z393" s="2">
        <f t="shared" si="448"/>
        <v>820515.68</v>
      </c>
      <c r="AA393" s="2">
        <f t="shared" si="448"/>
        <v>0</v>
      </c>
      <c r="AB393" s="2">
        <f t="shared" si="448"/>
        <v>820515.68</v>
      </c>
      <c r="AC393" s="2">
        <f t="shared" si="448"/>
        <v>0</v>
      </c>
    </row>
    <row r="394" spans="1:29" s="9" customFormat="1" ht="38.25" customHeight="1" x14ac:dyDescent="0.25">
      <c r="A394" s="292"/>
      <c r="B394" s="301" t="s">
        <v>21</v>
      </c>
      <c r="C394" s="292"/>
      <c r="D394" s="292"/>
      <c r="E394" s="173">
        <v>854</v>
      </c>
      <c r="F394" s="1" t="s">
        <v>17</v>
      </c>
      <c r="G394" s="1" t="s">
        <v>72</v>
      </c>
      <c r="H394" s="1" t="s">
        <v>423</v>
      </c>
      <c r="I394" s="1" t="s">
        <v>23</v>
      </c>
      <c r="J394" s="2">
        <f t="shared" si="447"/>
        <v>789500</v>
      </c>
      <c r="K394" s="2">
        <f t="shared" si="447"/>
        <v>0</v>
      </c>
      <c r="L394" s="2">
        <f t="shared" si="447"/>
        <v>789500</v>
      </c>
      <c r="M394" s="2">
        <f t="shared" si="447"/>
        <v>0</v>
      </c>
      <c r="N394" s="2">
        <f t="shared" si="447"/>
        <v>789500</v>
      </c>
      <c r="O394" s="2">
        <f t="shared" si="447"/>
        <v>0</v>
      </c>
      <c r="P394" s="2">
        <f>P395</f>
        <v>789500</v>
      </c>
      <c r="Q394" s="2">
        <f t="shared" si="447"/>
        <v>0</v>
      </c>
      <c r="R394" s="2"/>
      <c r="S394" s="2"/>
      <c r="T394" s="2"/>
      <c r="U394" s="2">
        <f t="shared" si="447"/>
        <v>789500</v>
      </c>
      <c r="V394" s="2">
        <f t="shared" si="448"/>
        <v>31015.68</v>
      </c>
      <c r="W394" s="2">
        <f t="shared" si="448"/>
        <v>0</v>
      </c>
      <c r="X394" s="2">
        <f t="shared" si="448"/>
        <v>31015.68</v>
      </c>
      <c r="Y394" s="2">
        <f t="shared" si="448"/>
        <v>0</v>
      </c>
      <c r="Z394" s="2">
        <f t="shared" si="448"/>
        <v>820515.68</v>
      </c>
      <c r="AA394" s="2">
        <f t="shared" si="448"/>
        <v>0</v>
      </c>
      <c r="AB394" s="2">
        <f t="shared" si="448"/>
        <v>820515.68</v>
      </c>
      <c r="AC394" s="2">
        <f t="shared" si="448"/>
        <v>0</v>
      </c>
    </row>
    <row r="395" spans="1:29" s="9" customFormat="1" ht="14.25" customHeight="1" x14ac:dyDescent="0.25">
      <c r="A395" s="292"/>
      <c r="B395" s="301" t="s">
        <v>24</v>
      </c>
      <c r="C395" s="292"/>
      <c r="D395" s="292"/>
      <c r="E395" s="173">
        <v>854</v>
      </c>
      <c r="F395" s="1" t="s">
        <v>17</v>
      </c>
      <c r="G395" s="1" t="s">
        <v>72</v>
      </c>
      <c r="H395" s="1" t="s">
        <v>423</v>
      </c>
      <c r="I395" s="1" t="s">
        <v>25</v>
      </c>
      <c r="J395" s="2">
        <f>759700+29800</f>
        <v>789500</v>
      </c>
      <c r="K395" s="2"/>
      <c r="L395" s="2">
        <f t="shared" si="420"/>
        <v>789500</v>
      </c>
      <c r="M395" s="2"/>
      <c r="N395" s="2">
        <f t="shared" ref="N395" si="449">L395+M395</f>
        <v>789500</v>
      </c>
      <c r="O395" s="2"/>
      <c r="P395" s="2">
        <f>N395+O395</f>
        <v>789500</v>
      </c>
      <c r="Q395" s="2"/>
      <c r="R395" s="2"/>
      <c r="S395" s="2"/>
      <c r="T395" s="2"/>
      <c r="U395" s="2">
        <f>P395+Q395</f>
        <v>789500</v>
      </c>
      <c r="V395" s="2">
        <v>31015.68</v>
      </c>
      <c r="W395" s="2"/>
      <c r="X395" s="2">
        <f>V395</f>
        <v>31015.68</v>
      </c>
      <c r="Y395" s="2"/>
      <c r="Z395" s="2">
        <f t="shared" ref="Z395" si="450">U395+V395</f>
        <v>820515.68</v>
      </c>
      <c r="AA395" s="160"/>
      <c r="AB395" s="2">
        <f>Z395</f>
        <v>820515.68</v>
      </c>
      <c r="AC395" s="160"/>
    </row>
    <row r="396" spans="1:29" s="12" customFormat="1" ht="24" customHeight="1" x14ac:dyDescent="0.25">
      <c r="A396" s="328" t="s">
        <v>161</v>
      </c>
      <c r="B396" s="328"/>
      <c r="C396" s="295"/>
      <c r="D396" s="295"/>
      <c r="E396" s="173">
        <v>854</v>
      </c>
      <c r="F396" s="10" t="s">
        <v>17</v>
      </c>
      <c r="G396" s="10" t="s">
        <v>3</v>
      </c>
      <c r="H396" s="10"/>
      <c r="I396" s="10"/>
      <c r="J396" s="11">
        <f t="shared" ref="J396:AC396" si="451">J397</f>
        <v>627420</v>
      </c>
      <c r="K396" s="11">
        <f t="shared" si="451"/>
        <v>0</v>
      </c>
      <c r="L396" s="11">
        <f t="shared" si="451"/>
        <v>627420</v>
      </c>
      <c r="M396" s="11">
        <f t="shared" si="451"/>
        <v>0</v>
      </c>
      <c r="N396" s="11">
        <f t="shared" si="451"/>
        <v>627420</v>
      </c>
      <c r="O396" s="11">
        <f t="shared" si="451"/>
        <v>0</v>
      </c>
      <c r="P396" s="11">
        <f t="shared" si="451"/>
        <v>627420</v>
      </c>
      <c r="Q396" s="11">
        <f t="shared" si="451"/>
        <v>0</v>
      </c>
      <c r="R396" s="11"/>
      <c r="S396" s="11"/>
      <c r="T396" s="11"/>
      <c r="U396" s="11">
        <f t="shared" si="451"/>
        <v>627420</v>
      </c>
      <c r="V396" s="11">
        <f t="shared" si="451"/>
        <v>-28015.94</v>
      </c>
      <c r="W396" s="11">
        <f t="shared" si="451"/>
        <v>0</v>
      </c>
      <c r="X396" s="11">
        <f t="shared" si="451"/>
        <v>-28015.94</v>
      </c>
      <c r="Y396" s="11">
        <f t="shared" si="451"/>
        <v>0</v>
      </c>
      <c r="Z396" s="11">
        <f t="shared" si="451"/>
        <v>599404.06000000006</v>
      </c>
      <c r="AA396" s="11">
        <f t="shared" si="451"/>
        <v>0</v>
      </c>
      <c r="AB396" s="11">
        <f t="shared" si="451"/>
        <v>599404.06000000006</v>
      </c>
      <c r="AC396" s="11">
        <f t="shared" si="451"/>
        <v>0</v>
      </c>
    </row>
    <row r="397" spans="1:29" ht="24.75" customHeight="1" x14ac:dyDescent="0.25">
      <c r="A397" s="324" t="s">
        <v>26</v>
      </c>
      <c r="B397" s="324"/>
      <c r="C397" s="173"/>
      <c r="D397" s="173"/>
      <c r="E397" s="173">
        <v>854</v>
      </c>
      <c r="F397" s="1" t="s">
        <v>22</v>
      </c>
      <c r="G397" s="1" t="s">
        <v>3</v>
      </c>
      <c r="H397" s="1" t="s">
        <v>403</v>
      </c>
      <c r="I397" s="1"/>
      <c r="J397" s="2">
        <f>J398+J400+J402</f>
        <v>627420</v>
      </c>
      <c r="K397" s="2">
        <f t="shared" ref="K397:AC397" si="452">K398+K400+K402</f>
        <v>0</v>
      </c>
      <c r="L397" s="2">
        <f t="shared" si="452"/>
        <v>627420</v>
      </c>
      <c r="M397" s="2">
        <f t="shared" si="452"/>
        <v>0</v>
      </c>
      <c r="N397" s="2">
        <f t="shared" si="452"/>
        <v>627420</v>
      </c>
      <c r="O397" s="2">
        <f t="shared" si="452"/>
        <v>0</v>
      </c>
      <c r="P397" s="2">
        <f t="shared" si="452"/>
        <v>627420</v>
      </c>
      <c r="Q397" s="2">
        <f t="shared" si="452"/>
        <v>0</v>
      </c>
      <c r="R397" s="2"/>
      <c r="S397" s="2"/>
      <c r="T397" s="2"/>
      <c r="U397" s="2">
        <f t="shared" si="452"/>
        <v>627420</v>
      </c>
      <c r="V397" s="2">
        <f t="shared" si="452"/>
        <v>-28015.94</v>
      </c>
      <c r="W397" s="2">
        <f t="shared" si="452"/>
        <v>0</v>
      </c>
      <c r="X397" s="2">
        <f t="shared" si="452"/>
        <v>-28015.94</v>
      </c>
      <c r="Y397" s="2">
        <f t="shared" si="452"/>
        <v>0</v>
      </c>
      <c r="Z397" s="2">
        <f t="shared" si="452"/>
        <v>599404.06000000006</v>
      </c>
      <c r="AA397" s="2">
        <f t="shared" si="452"/>
        <v>0</v>
      </c>
      <c r="AB397" s="2">
        <f t="shared" si="452"/>
        <v>599404.06000000006</v>
      </c>
      <c r="AC397" s="2">
        <f t="shared" si="452"/>
        <v>0</v>
      </c>
    </row>
    <row r="398" spans="1:29" ht="38.25" customHeight="1" x14ac:dyDescent="0.25">
      <c r="A398" s="14"/>
      <c r="B398" s="301" t="s">
        <v>21</v>
      </c>
      <c r="C398" s="173"/>
      <c r="D398" s="173"/>
      <c r="E398" s="173">
        <v>854</v>
      </c>
      <c r="F398" s="1" t="s">
        <v>17</v>
      </c>
      <c r="G398" s="1" t="s">
        <v>3</v>
      </c>
      <c r="H398" s="1" t="s">
        <v>403</v>
      </c>
      <c r="I398" s="1" t="s">
        <v>23</v>
      </c>
      <c r="J398" s="2">
        <f t="shared" ref="J398:O398" si="453">J399</f>
        <v>418200</v>
      </c>
      <c r="K398" s="2">
        <f t="shared" si="453"/>
        <v>0</v>
      </c>
      <c r="L398" s="2">
        <f t="shared" si="453"/>
        <v>418200</v>
      </c>
      <c r="M398" s="2">
        <f t="shared" si="453"/>
        <v>0</v>
      </c>
      <c r="N398" s="2">
        <f t="shared" si="453"/>
        <v>418200</v>
      </c>
      <c r="O398" s="2">
        <f t="shared" si="453"/>
        <v>0</v>
      </c>
      <c r="P398" s="2">
        <f>P399</f>
        <v>418200</v>
      </c>
      <c r="Q398" s="2">
        <f t="shared" ref="Q398:AC398" si="454">Q399</f>
        <v>0</v>
      </c>
      <c r="R398" s="2"/>
      <c r="S398" s="2"/>
      <c r="T398" s="2"/>
      <c r="U398" s="2">
        <f t="shared" si="454"/>
        <v>418200</v>
      </c>
      <c r="V398" s="2">
        <f t="shared" si="454"/>
        <v>-28015.94</v>
      </c>
      <c r="W398" s="2">
        <f t="shared" si="454"/>
        <v>0</v>
      </c>
      <c r="X398" s="2">
        <f t="shared" si="454"/>
        <v>-28015.94</v>
      </c>
      <c r="Y398" s="2">
        <f t="shared" si="454"/>
        <v>0</v>
      </c>
      <c r="Z398" s="2">
        <f t="shared" si="454"/>
        <v>390184.06</v>
      </c>
      <c r="AA398" s="2">
        <f t="shared" si="454"/>
        <v>0</v>
      </c>
      <c r="AB398" s="2">
        <f t="shared" si="454"/>
        <v>390184.06</v>
      </c>
      <c r="AC398" s="2">
        <f t="shared" si="454"/>
        <v>0</v>
      </c>
    </row>
    <row r="399" spans="1:29" ht="15" customHeight="1" x14ac:dyDescent="0.25">
      <c r="A399" s="14"/>
      <c r="B399" s="301" t="s">
        <v>24</v>
      </c>
      <c r="C399" s="173"/>
      <c r="D399" s="173"/>
      <c r="E399" s="173">
        <v>854</v>
      </c>
      <c r="F399" s="1" t="s">
        <v>17</v>
      </c>
      <c r="G399" s="1" t="s">
        <v>3</v>
      </c>
      <c r="H399" s="1" t="s">
        <v>403</v>
      </c>
      <c r="I399" s="1" t="s">
        <v>25</v>
      </c>
      <c r="J399" s="2">
        <f>230300+187900</f>
        <v>418200</v>
      </c>
      <c r="K399" s="2"/>
      <c r="L399" s="2">
        <f t="shared" si="420"/>
        <v>418200</v>
      </c>
      <c r="M399" s="2"/>
      <c r="N399" s="2">
        <f t="shared" ref="N399:N403" si="455">L399+M399</f>
        <v>418200</v>
      </c>
      <c r="O399" s="2"/>
      <c r="P399" s="2">
        <f>N399+O399</f>
        <v>418200</v>
      </c>
      <c r="Q399" s="2"/>
      <c r="R399" s="2"/>
      <c r="S399" s="2"/>
      <c r="T399" s="2"/>
      <c r="U399" s="2">
        <f>P399+Q399</f>
        <v>418200</v>
      </c>
      <c r="V399" s="2">
        <v>-28015.94</v>
      </c>
      <c r="W399" s="2"/>
      <c r="X399" s="2">
        <f>V399</f>
        <v>-28015.94</v>
      </c>
      <c r="Y399" s="2"/>
      <c r="Z399" s="2">
        <f t="shared" ref="Z399" si="456">U399+V399</f>
        <v>390184.06</v>
      </c>
      <c r="AA399" s="14"/>
      <c r="AB399" s="2">
        <f>Z399</f>
        <v>390184.06</v>
      </c>
      <c r="AC399" s="14"/>
    </row>
    <row r="400" spans="1:29" ht="15" hidden="1" customHeight="1" x14ac:dyDescent="0.25">
      <c r="A400" s="14"/>
      <c r="B400" s="291" t="s">
        <v>27</v>
      </c>
      <c r="C400" s="173"/>
      <c r="D400" s="173"/>
      <c r="E400" s="173">
        <v>854</v>
      </c>
      <c r="F400" s="1" t="s">
        <v>17</v>
      </c>
      <c r="G400" s="1" t="s">
        <v>3</v>
      </c>
      <c r="H400" s="1" t="s">
        <v>403</v>
      </c>
      <c r="I400" s="1" t="s">
        <v>28</v>
      </c>
      <c r="J400" s="2">
        <f t="shared" ref="J400:O400" si="457">J401</f>
        <v>208700</v>
      </c>
      <c r="K400" s="2">
        <f t="shared" si="457"/>
        <v>0</v>
      </c>
      <c r="L400" s="2">
        <f t="shared" si="457"/>
        <v>208700</v>
      </c>
      <c r="M400" s="2">
        <f t="shared" si="457"/>
        <v>0</v>
      </c>
      <c r="N400" s="2">
        <f t="shared" si="457"/>
        <v>208700</v>
      </c>
      <c r="O400" s="2">
        <f t="shared" si="457"/>
        <v>0</v>
      </c>
      <c r="P400" s="2">
        <f>P401</f>
        <v>208700</v>
      </c>
      <c r="Q400" s="2">
        <f t="shared" ref="Q400:AC400" si="458">Q401</f>
        <v>0</v>
      </c>
      <c r="R400" s="2"/>
      <c r="S400" s="2"/>
      <c r="T400" s="2"/>
      <c r="U400" s="2">
        <f t="shared" si="458"/>
        <v>208700</v>
      </c>
      <c r="V400" s="2">
        <f t="shared" si="458"/>
        <v>0</v>
      </c>
      <c r="W400" s="2">
        <f t="shared" si="458"/>
        <v>0</v>
      </c>
      <c r="X400" s="2">
        <f t="shared" si="458"/>
        <v>0</v>
      </c>
      <c r="Y400" s="2">
        <f t="shared" si="458"/>
        <v>0</v>
      </c>
      <c r="Z400" s="2">
        <f t="shared" si="458"/>
        <v>208700</v>
      </c>
      <c r="AA400" s="2">
        <f t="shared" si="458"/>
        <v>0</v>
      </c>
      <c r="AB400" s="2">
        <f t="shared" si="458"/>
        <v>208700</v>
      </c>
      <c r="AC400" s="2">
        <f t="shared" si="458"/>
        <v>0</v>
      </c>
    </row>
    <row r="401" spans="1:29" ht="24.75" hidden="1" customHeight="1" x14ac:dyDescent="0.25">
      <c r="A401" s="14"/>
      <c r="B401" s="291" t="s">
        <v>29</v>
      </c>
      <c r="C401" s="173"/>
      <c r="D401" s="173"/>
      <c r="E401" s="173">
        <v>854</v>
      </c>
      <c r="F401" s="1" t="s">
        <v>17</v>
      </c>
      <c r="G401" s="1" t="s">
        <v>3</v>
      </c>
      <c r="H401" s="1" t="s">
        <v>403</v>
      </c>
      <c r="I401" s="1" t="s">
        <v>30</v>
      </c>
      <c r="J401" s="2">
        <f>54800+150720+3500-320</f>
        <v>208700</v>
      </c>
      <c r="K401" s="2"/>
      <c r="L401" s="2">
        <f t="shared" si="420"/>
        <v>208700</v>
      </c>
      <c r="M401" s="2"/>
      <c r="N401" s="2">
        <f t="shared" si="455"/>
        <v>208700</v>
      </c>
      <c r="O401" s="2"/>
      <c r="P401" s="2">
        <f>N401+O401</f>
        <v>208700</v>
      </c>
      <c r="Q401" s="2"/>
      <c r="R401" s="2"/>
      <c r="S401" s="2"/>
      <c r="T401" s="2"/>
      <c r="U401" s="2">
        <f>P401+Q401</f>
        <v>208700</v>
      </c>
      <c r="V401" s="2"/>
      <c r="W401" s="2"/>
      <c r="X401" s="2"/>
      <c r="Y401" s="2"/>
      <c r="Z401" s="2">
        <f t="shared" ref="Z401" si="459">U401+V401</f>
        <v>208700</v>
      </c>
      <c r="AA401" s="14"/>
      <c r="AB401" s="2">
        <f>Z401</f>
        <v>208700</v>
      </c>
      <c r="AC401" s="14"/>
    </row>
    <row r="402" spans="1:29" hidden="1" x14ac:dyDescent="0.25">
      <c r="A402" s="14"/>
      <c r="B402" s="291" t="s">
        <v>31</v>
      </c>
      <c r="C402" s="173"/>
      <c r="D402" s="173"/>
      <c r="E402" s="173">
        <v>854</v>
      </c>
      <c r="F402" s="1" t="s">
        <v>17</v>
      </c>
      <c r="G402" s="1" t="s">
        <v>3</v>
      </c>
      <c r="H402" s="1" t="s">
        <v>403</v>
      </c>
      <c r="I402" s="1" t="s">
        <v>32</v>
      </c>
      <c r="J402" s="2">
        <f t="shared" ref="J402:O402" si="460">J403</f>
        <v>520</v>
      </c>
      <c r="K402" s="2">
        <f t="shared" si="460"/>
        <v>0</v>
      </c>
      <c r="L402" s="2">
        <f t="shared" si="460"/>
        <v>520</v>
      </c>
      <c r="M402" s="2">
        <f t="shared" si="460"/>
        <v>0</v>
      </c>
      <c r="N402" s="2">
        <f t="shared" si="460"/>
        <v>520</v>
      </c>
      <c r="O402" s="2">
        <f t="shared" si="460"/>
        <v>0</v>
      </c>
      <c r="P402" s="2">
        <f>P403</f>
        <v>520</v>
      </c>
      <c r="Q402" s="2">
        <f t="shared" ref="Q402:AC402" si="461">Q403</f>
        <v>0</v>
      </c>
      <c r="R402" s="2"/>
      <c r="S402" s="2"/>
      <c r="T402" s="2"/>
      <c r="U402" s="2">
        <f t="shared" si="461"/>
        <v>520</v>
      </c>
      <c r="V402" s="2">
        <f t="shared" si="461"/>
        <v>0</v>
      </c>
      <c r="W402" s="2">
        <f t="shared" si="461"/>
        <v>0</v>
      </c>
      <c r="X402" s="2">
        <f t="shared" si="461"/>
        <v>0</v>
      </c>
      <c r="Y402" s="2">
        <f t="shared" si="461"/>
        <v>0</v>
      </c>
      <c r="Z402" s="2">
        <f t="shared" si="461"/>
        <v>520</v>
      </c>
      <c r="AA402" s="2">
        <f t="shared" si="461"/>
        <v>0</v>
      </c>
      <c r="AB402" s="2">
        <f t="shared" si="461"/>
        <v>520</v>
      </c>
      <c r="AC402" s="2">
        <f t="shared" si="461"/>
        <v>0</v>
      </c>
    </row>
    <row r="403" spans="1:29" hidden="1" x14ac:dyDescent="0.25">
      <c r="A403" s="14"/>
      <c r="B403" s="301" t="s">
        <v>435</v>
      </c>
      <c r="C403" s="291"/>
      <c r="D403" s="291"/>
      <c r="E403" s="173">
        <v>854</v>
      </c>
      <c r="F403" s="1" t="s">
        <v>17</v>
      </c>
      <c r="G403" s="1" t="s">
        <v>3</v>
      </c>
      <c r="H403" s="1" t="s">
        <v>403</v>
      </c>
      <c r="I403" s="1" t="s">
        <v>35</v>
      </c>
      <c r="J403" s="2">
        <f>200+320</f>
        <v>520</v>
      </c>
      <c r="K403" s="2"/>
      <c r="L403" s="2">
        <f t="shared" si="420"/>
        <v>520</v>
      </c>
      <c r="M403" s="2"/>
      <c r="N403" s="2">
        <f t="shared" si="455"/>
        <v>520</v>
      </c>
      <c r="O403" s="2"/>
      <c r="P403" s="2">
        <f>N403+O403</f>
        <v>520</v>
      </c>
      <c r="Q403" s="2"/>
      <c r="R403" s="2"/>
      <c r="S403" s="2"/>
      <c r="T403" s="2"/>
      <c r="U403" s="2">
        <f>P403+Q403</f>
        <v>520</v>
      </c>
      <c r="V403" s="2"/>
      <c r="W403" s="2"/>
      <c r="X403" s="2"/>
      <c r="Y403" s="2"/>
      <c r="Z403" s="2">
        <f t="shared" ref="Z403" si="462">U403+V403</f>
        <v>520</v>
      </c>
      <c r="AA403" s="14"/>
      <c r="AB403" s="2">
        <f>Z403</f>
        <v>520</v>
      </c>
      <c r="AC403" s="14"/>
    </row>
    <row r="404" spans="1:29" s="9" customFormat="1" ht="17.25" customHeight="1" x14ac:dyDescent="0.25">
      <c r="A404" s="350" t="s">
        <v>544</v>
      </c>
      <c r="B404" s="351"/>
      <c r="C404" s="38"/>
      <c r="D404" s="38"/>
      <c r="E404" s="306">
        <v>857</v>
      </c>
      <c r="F404" s="302"/>
      <c r="G404" s="6"/>
      <c r="H404" s="6"/>
      <c r="I404" s="6"/>
      <c r="J404" s="7">
        <f t="shared" ref="J404:Y405" si="463">J405</f>
        <v>506700</v>
      </c>
      <c r="K404" s="7">
        <f t="shared" si="463"/>
        <v>0</v>
      </c>
      <c r="L404" s="7">
        <f t="shared" si="463"/>
        <v>506700</v>
      </c>
      <c r="M404" s="7">
        <f t="shared" si="463"/>
        <v>0</v>
      </c>
      <c r="N404" s="7">
        <f t="shared" si="463"/>
        <v>506700</v>
      </c>
      <c r="O404" s="7">
        <f t="shared" si="463"/>
        <v>0</v>
      </c>
      <c r="P404" s="7">
        <f t="shared" si="463"/>
        <v>506700</v>
      </c>
      <c r="Q404" s="7">
        <f t="shared" si="463"/>
        <v>0</v>
      </c>
      <c r="R404" s="7"/>
      <c r="S404" s="7"/>
      <c r="T404" s="7"/>
      <c r="U404" s="7">
        <f t="shared" si="463"/>
        <v>506700</v>
      </c>
      <c r="V404" s="7">
        <f t="shared" si="463"/>
        <v>4475</v>
      </c>
      <c r="W404" s="7">
        <f t="shared" si="463"/>
        <v>0</v>
      </c>
      <c r="X404" s="7">
        <f t="shared" si="463"/>
        <v>4475</v>
      </c>
      <c r="Y404" s="7">
        <f t="shared" si="463"/>
        <v>0</v>
      </c>
      <c r="Z404" s="7">
        <f t="shared" ref="Z404:AC405" si="464">Z405</f>
        <v>511175</v>
      </c>
      <c r="AA404" s="7">
        <f t="shared" si="464"/>
        <v>0</v>
      </c>
      <c r="AB404" s="7">
        <f t="shared" si="464"/>
        <v>493175</v>
      </c>
      <c r="AC404" s="7">
        <f t="shared" si="464"/>
        <v>18000</v>
      </c>
    </row>
    <row r="405" spans="1:29" s="9" customFormat="1" x14ac:dyDescent="0.25">
      <c r="A405" s="325" t="s">
        <v>16</v>
      </c>
      <c r="B405" s="325"/>
      <c r="C405" s="292"/>
      <c r="D405" s="292"/>
      <c r="E405" s="306">
        <v>857</v>
      </c>
      <c r="F405" s="6" t="s">
        <v>17</v>
      </c>
      <c r="G405" s="6"/>
      <c r="H405" s="6"/>
      <c r="I405" s="6"/>
      <c r="J405" s="7">
        <f>J406</f>
        <v>506700</v>
      </c>
      <c r="K405" s="7">
        <f t="shared" si="463"/>
        <v>0</v>
      </c>
      <c r="L405" s="7">
        <f t="shared" si="463"/>
        <v>506700</v>
      </c>
      <c r="M405" s="7">
        <f t="shared" si="463"/>
        <v>0</v>
      </c>
      <c r="N405" s="7">
        <f t="shared" si="463"/>
        <v>506700</v>
      </c>
      <c r="O405" s="7">
        <f t="shared" si="463"/>
        <v>0</v>
      </c>
      <c r="P405" s="7">
        <f t="shared" si="463"/>
        <v>506700</v>
      </c>
      <c r="Q405" s="7">
        <f t="shared" si="463"/>
        <v>0</v>
      </c>
      <c r="R405" s="7"/>
      <c r="S405" s="7"/>
      <c r="T405" s="7"/>
      <c r="U405" s="7">
        <f t="shared" si="463"/>
        <v>506700</v>
      </c>
      <c r="V405" s="7">
        <f t="shared" si="463"/>
        <v>4475</v>
      </c>
      <c r="W405" s="7">
        <f t="shared" si="463"/>
        <v>0</v>
      </c>
      <c r="X405" s="7">
        <f t="shared" si="463"/>
        <v>4475</v>
      </c>
      <c r="Y405" s="7">
        <f t="shared" si="463"/>
        <v>0</v>
      </c>
      <c r="Z405" s="7">
        <f t="shared" si="464"/>
        <v>511175</v>
      </c>
      <c r="AA405" s="7">
        <f t="shared" si="464"/>
        <v>0</v>
      </c>
      <c r="AB405" s="7">
        <f t="shared" si="464"/>
        <v>493175</v>
      </c>
      <c r="AC405" s="7">
        <f t="shared" si="464"/>
        <v>18000</v>
      </c>
    </row>
    <row r="406" spans="1:29" s="12" customFormat="1" ht="24.75" customHeight="1" x14ac:dyDescent="0.25">
      <c r="A406" s="328" t="s">
        <v>142</v>
      </c>
      <c r="B406" s="328"/>
      <c r="C406" s="295"/>
      <c r="D406" s="295"/>
      <c r="E406" s="173">
        <v>857</v>
      </c>
      <c r="F406" s="10" t="s">
        <v>17</v>
      </c>
      <c r="G406" s="10" t="s">
        <v>1</v>
      </c>
      <c r="H406" s="10"/>
      <c r="I406" s="10"/>
      <c r="J406" s="11">
        <f>J407+J413</f>
        <v>506700</v>
      </c>
      <c r="K406" s="11">
        <f t="shared" ref="K406:AC406" si="465">K407+K413</f>
        <v>0</v>
      </c>
      <c r="L406" s="11">
        <f t="shared" si="465"/>
        <v>506700</v>
      </c>
      <c r="M406" s="11">
        <f t="shared" si="465"/>
        <v>0</v>
      </c>
      <c r="N406" s="11">
        <f t="shared" si="465"/>
        <v>506700</v>
      </c>
      <c r="O406" s="11">
        <f t="shared" si="465"/>
        <v>0</v>
      </c>
      <c r="P406" s="11">
        <f t="shared" si="465"/>
        <v>506700</v>
      </c>
      <c r="Q406" s="11">
        <f t="shared" si="465"/>
        <v>0</v>
      </c>
      <c r="R406" s="11"/>
      <c r="S406" s="11"/>
      <c r="T406" s="11"/>
      <c r="U406" s="11">
        <f t="shared" si="465"/>
        <v>506700</v>
      </c>
      <c r="V406" s="11">
        <f t="shared" si="465"/>
        <v>4475</v>
      </c>
      <c r="W406" s="11">
        <f t="shared" si="465"/>
        <v>0</v>
      </c>
      <c r="X406" s="11">
        <f t="shared" si="465"/>
        <v>4475</v>
      </c>
      <c r="Y406" s="11">
        <f t="shared" si="465"/>
        <v>0</v>
      </c>
      <c r="Z406" s="11">
        <f t="shared" si="465"/>
        <v>511175</v>
      </c>
      <c r="AA406" s="11">
        <f t="shared" si="465"/>
        <v>0</v>
      </c>
      <c r="AB406" s="11">
        <f t="shared" si="465"/>
        <v>493175</v>
      </c>
      <c r="AC406" s="11">
        <f t="shared" si="465"/>
        <v>18000</v>
      </c>
    </row>
    <row r="407" spans="1:29" ht="13.5" customHeight="1" x14ac:dyDescent="0.25">
      <c r="A407" s="324" t="s">
        <v>162</v>
      </c>
      <c r="B407" s="324"/>
      <c r="C407" s="291"/>
      <c r="D407" s="291"/>
      <c r="E407" s="173">
        <v>857</v>
      </c>
      <c r="F407" s="1" t="s">
        <v>17</v>
      </c>
      <c r="G407" s="1" t="s">
        <v>1</v>
      </c>
      <c r="H407" s="1" t="s">
        <v>163</v>
      </c>
      <c r="I407" s="1"/>
      <c r="J407" s="2">
        <f t="shared" ref="J407:M407" si="466">J408+J410</f>
        <v>488700</v>
      </c>
      <c r="K407" s="2">
        <f t="shared" si="466"/>
        <v>0</v>
      </c>
      <c r="L407" s="2">
        <f t="shared" si="466"/>
        <v>488700</v>
      </c>
      <c r="M407" s="2">
        <f t="shared" si="466"/>
        <v>0</v>
      </c>
      <c r="N407" s="2">
        <f>N408+N410</f>
        <v>488700</v>
      </c>
      <c r="O407" s="2">
        <f t="shared" ref="O407:AC407" si="467">O408+O410</f>
        <v>0</v>
      </c>
      <c r="P407" s="2">
        <f t="shared" si="467"/>
        <v>488700</v>
      </c>
      <c r="Q407" s="2">
        <f t="shared" si="467"/>
        <v>0</v>
      </c>
      <c r="R407" s="2"/>
      <c r="S407" s="2"/>
      <c r="T407" s="2"/>
      <c r="U407" s="2">
        <f t="shared" si="467"/>
        <v>488700</v>
      </c>
      <c r="V407" s="2">
        <f t="shared" si="467"/>
        <v>4475</v>
      </c>
      <c r="W407" s="2">
        <f t="shared" si="467"/>
        <v>0</v>
      </c>
      <c r="X407" s="2">
        <f t="shared" si="467"/>
        <v>4475</v>
      </c>
      <c r="Y407" s="2">
        <f t="shared" si="467"/>
        <v>0</v>
      </c>
      <c r="Z407" s="2">
        <f t="shared" si="467"/>
        <v>493175</v>
      </c>
      <c r="AA407" s="2">
        <f t="shared" si="467"/>
        <v>0</v>
      </c>
      <c r="AB407" s="2">
        <f t="shared" si="467"/>
        <v>493175</v>
      </c>
      <c r="AC407" s="2">
        <f t="shared" si="467"/>
        <v>0</v>
      </c>
    </row>
    <row r="408" spans="1:29" ht="36" customHeight="1" x14ac:dyDescent="0.25">
      <c r="A408" s="291"/>
      <c r="B408" s="301" t="s">
        <v>21</v>
      </c>
      <c r="C408" s="291"/>
      <c r="D408" s="291"/>
      <c r="E408" s="173">
        <v>857</v>
      </c>
      <c r="F408" s="1" t="s">
        <v>22</v>
      </c>
      <c r="G408" s="1" t="s">
        <v>1</v>
      </c>
      <c r="H408" s="1" t="s">
        <v>163</v>
      </c>
      <c r="I408" s="1" t="s">
        <v>23</v>
      </c>
      <c r="J408" s="2">
        <f t="shared" ref="J408:O408" si="468">J409</f>
        <v>459000</v>
      </c>
      <c r="K408" s="2">
        <f t="shared" si="468"/>
        <v>0</v>
      </c>
      <c r="L408" s="2">
        <f t="shared" si="468"/>
        <v>459000</v>
      </c>
      <c r="M408" s="2">
        <f t="shared" si="468"/>
        <v>0</v>
      </c>
      <c r="N408" s="2">
        <f t="shared" si="468"/>
        <v>459000</v>
      </c>
      <c r="O408" s="2">
        <f t="shared" si="468"/>
        <v>0</v>
      </c>
      <c r="P408" s="2">
        <f>P409</f>
        <v>459000</v>
      </c>
      <c r="Q408" s="2">
        <f t="shared" ref="Q408:AC408" si="469">Q409</f>
        <v>0</v>
      </c>
      <c r="R408" s="2"/>
      <c r="S408" s="2"/>
      <c r="T408" s="2"/>
      <c r="U408" s="2">
        <f t="shared" si="469"/>
        <v>459000</v>
      </c>
      <c r="V408" s="2">
        <f t="shared" si="469"/>
        <v>-1253</v>
      </c>
      <c r="W408" s="2">
        <f t="shared" si="469"/>
        <v>0</v>
      </c>
      <c r="X408" s="2">
        <f t="shared" si="469"/>
        <v>-1253</v>
      </c>
      <c r="Y408" s="2">
        <f t="shared" si="469"/>
        <v>0</v>
      </c>
      <c r="Z408" s="2">
        <f t="shared" si="469"/>
        <v>457747</v>
      </c>
      <c r="AA408" s="2">
        <f t="shared" si="469"/>
        <v>0</v>
      </c>
      <c r="AB408" s="2">
        <f t="shared" si="469"/>
        <v>457747</v>
      </c>
      <c r="AC408" s="2">
        <f t="shared" si="469"/>
        <v>0</v>
      </c>
    </row>
    <row r="409" spans="1:29" ht="12.75" customHeight="1" x14ac:dyDescent="0.25">
      <c r="A409" s="14"/>
      <c r="B409" s="301" t="s">
        <v>24</v>
      </c>
      <c r="C409" s="301"/>
      <c r="D409" s="301"/>
      <c r="E409" s="173">
        <v>857</v>
      </c>
      <c r="F409" s="1" t="s">
        <v>17</v>
      </c>
      <c r="G409" s="1" t="s">
        <v>1</v>
      </c>
      <c r="H409" s="1" t="s">
        <v>163</v>
      </c>
      <c r="I409" s="1" t="s">
        <v>25</v>
      </c>
      <c r="J409" s="2">
        <f>472000-13000</f>
        <v>459000</v>
      </c>
      <c r="K409" s="2"/>
      <c r="L409" s="2">
        <f t="shared" si="420"/>
        <v>459000</v>
      </c>
      <c r="M409" s="2"/>
      <c r="N409" s="2">
        <f t="shared" ref="N409:N411" si="470">L409+M409</f>
        <v>459000</v>
      </c>
      <c r="O409" s="2"/>
      <c r="P409" s="2">
        <f>N409+O409</f>
        <v>459000</v>
      </c>
      <c r="Q409" s="2"/>
      <c r="R409" s="2"/>
      <c r="S409" s="2"/>
      <c r="T409" s="2"/>
      <c r="U409" s="2">
        <f>P409+Q409</f>
        <v>459000</v>
      </c>
      <c r="V409" s="2">
        <v>-1253</v>
      </c>
      <c r="W409" s="2"/>
      <c r="X409" s="2">
        <f>V409</f>
        <v>-1253</v>
      </c>
      <c r="Y409" s="2"/>
      <c r="Z409" s="2">
        <f t="shared" ref="Z409" si="471">U409+V409</f>
        <v>457747</v>
      </c>
      <c r="AA409" s="14"/>
      <c r="AB409" s="2">
        <f>Z409</f>
        <v>457747</v>
      </c>
      <c r="AC409" s="14"/>
    </row>
    <row r="410" spans="1:29" ht="12" customHeight="1" x14ac:dyDescent="0.25">
      <c r="A410" s="14"/>
      <c r="B410" s="291" t="s">
        <v>27</v>
      </c>
      <c r="C410" s="301"/>
      <c r="D410" s="1" t="s">
        <v>17</v>
      </c>
      <c r="E410" s="173">
        <v>857</v>
      </c>
      <c r="F410" s="1" t="s">
        <v>17</v>
      </c>
      <c r="G410" s="1" t="s">
        <v>1</v>
      </c>
      <c r="H410" s="1" t="s">
        <v>163</v>
      </c>
      <c r="I410" s="1" t="s">
        <v>28</v>
      </c>
      <c r="J410" s="2">
        <f t="shared" ref="J410:O410" si="472">J411</f>
        <v>29700</v>
      </c>
      <c r="K410" s="2">
        <f t="shared" si="472"/>
        <v>0</v>
      </c>
      <c r="L410" s="2">
        <f t="shared" si="472"/>
        <v>29700</v>
      </c>
      <c r="M410" s="2">
        <f t="shared" si="472"/>
        <v>0</v>
      </c>
      <c r="N410" s="2">
        <f t="shared" si="472"/>
        <v>29700</v>
      </c>
      <c r="O410" s="2">
        <f t="shared" si="472"/>
        <v>0</v>
      </c>
      <c r="P410" s="2">
        <f>P411</f>
        <v>29700</v>
      </c>
      <c r="Q410" s="2">
        <f t="shared" ref="Q410:AC410" si="473">Q411</f>
        <v>0</v>
      </c>
      <c r="R410" s="2"/>
      <c r="S410" s="2"/>
      <c r="T410" s="2"/>
      <c r="U410" s="2">
        <f t="shared" si="473"/>
        <v>29700</v>
      </c>
      <c r="V410" s="2">
        <f t="shared" si="473"/>
        <v>5728</v>
      </c>
      <c r="W410" s="2">
        <f t="shared" si="473"/>
        <v>0</v>
      </c>
      <c r="X410" s="2">
        <f t="shared" si="473"/>
        <v>5728</v>
      </c>
      <c r="Y410" s="2">
        <f t="shared" si="473"/>
        <v>0</v>
      </c>
      <c r="Z410" s="2">
        <f t="shared" si="473"/>
        <v>35428</v>
      </c>
      <c r="AA410" s="2">
        <f t="shared" si="473"/>
        <v>0</v>
      </c>
      <c r="AB410" s="2">
        <f t="shared" si="473"/>
        <v>35428</v>
      </c>
      <c r="AC410" s="2">
        <f t="shared" si="473"/>
        <v>0</v>
      </c>
    </row>
    <row r="411" spans="1:29" ht="14.25" customHeight="1" x14ac:dyDescent="0.25">
      <c r="A411" s="14"/>
      <c r="B411" s="291" t="s">
        <v>29</v>
      </c>
      <c r="C411" s="291"/>
      <c r="D411" s="1" t="s">
        <v>17</v>
      </c>
      <c r="E411" s="173">
        <v>857</v>
      </c>
      <c r="F411" s="1" t="s">
        <v>17</v>
      </c>
      <c r="G411" s="1" t="s">
        <v>1</v>
      </c>
      <c r="H411" s="1" t="s">
        <v>163</v>
      </c>
      <c r="I411" s="1" t="s">
        <v>30</v>
      </c>
      <c r="J411" s="2">
        <v>29700</v>
      </c>
      <c r="K411" s="2"/>
      <c r="L411" s="2">
        <f t="shared" si="420"/>
        <v>29700</v>
      </c>
      <c r="M411" s="2"/>
      <c r="N411" s="2">
        <f t="shared" si="470"/>
        <v>29700</v>
      </c>
      <c r="O411" s="2"/>
      <c r="P411" s="2">
        <f>N411+O411</f>
        <v>29700</v>
      </c>
      <c r="Q411" s="2"/>
      <c r="R411" s="2"/>
      <c r="S411" s="2"/>
      <c r="T411" s="2"/>
      <c r="U411" s="2">
        <f>P411+Q411</f>
        <v>29700</v>
      </c>
      <c r="V411" s="2">
        <f>1253+4475</f>
        <v>5728</v>
      </c>
      <c r="W411" s="2"/>
      <c r="X411" s="2">
        <f>V411</f>
        <v>5728</v>
      </c>
      <c r="Y411" s="2"/>
      <c r="Z411" s="2">
        <f t="shared" ref="Z411" si="474">U411+V411</f>
        <v>35428</v>
      </c>
      <c r="AA411" s="14"/>
      <c r="AB411" s="2">
        <f>Z411</f>
        <v>35428</v>
      </c>
      <c r="AC411" s="14"/>
    </row>
    <row r="412" spans="1:29" ht="25.5" hidden="1" customHeight="1" x14ac:dyDescent="0.25">
      <c r="A412" s="324" t="s">
        <v>354</v>
      </c>
      <c r="B412" s="324"/>
      <c r="C412" s="291"/>
      <c r="D412" s="1" t="s">
        <v>17</v>
      </c>
      <c r="E412" s="173">
        <v>857</v>
      </c>
      <c r="F412" s="1" t="s">
        <v>22</v>
      </c>
      <c r="G412" s="1" t="s">
        <v>1</v>
      </c>
      <c r="H412" s="1" t="s">
        <v>449</v>
      </c>
      <c r="I412" s="1"/>
      <c r="J412" s="2">
        <f t="shared" ref="J412:Y413" si="475">J413</f>
        <v>18000</v>
      </c>
      <c r="K412" s="2">
        <f t="shared" si="475"/>
        <v>0</v>
      </c>
      <c r="L412" s="2">
        <f t="shared" si="475"/>
        <v>18000</v>
      </c>
      <c r="M412" s="2">
        <f t="shared" si="475"/>
        <v>0</v>
      </c>
      <c r="N412" s="2">
        <f t="shared" si="475"/>
        <v>18000</v>
      </c>
      <c r="O412" s="2">
        <f t="shared" si="475"/>
        <v>0</v>
      </c>
      <c r="P412" s="2">
        <f t="shared" si="475"/>
        <v>18000</v>
      </c>
      <c r="Q412" s="2">
        <f t="shared" si="475"/>
        <v>0</v>
      </c>
      <c r="R412" s="2"/>
      <c r="S412" s="2"/>
      <c r="T412" s="2"/>
      <c r="U412" s="2">
        <f t="shared" si="475"/>
        <v>18000</v>
      </c>
      <c r="V412" s="2">
        <f t="shared" si="475"/>
        <v>0</v>
      </c>
      <c r="W412" s="2">
        <f t="shared" si="475"/>
        <v>0</v>
      </c>
      <c r="X412" s="2">
        <f t="shared" si="475"/>
        <v>0</v>
      </c>
      <c r="Y412" s="2">
        <f t="shared" si="475"/>
        <v>0</v>
      </c>
      <c r="Z412" s="2">
        <f t="shared" ref="Z412:AC413" si="476">Z413</f>
        <v>18000</v>
      </c>
      <c r="AA412" s="2">
        <f t="shared" si="476"/>
        <v>0</v>
      </c>
      <c r="AB412" s="2">
        <f t="shared" si="476"/>
        <v>0</v>
      </c>
      <c r="AC412" s="2">
        <f t="shared" si="476"/>
        <v>18000</v>
      </c>
    </row>
    <row r="413" spans="1:29" ht="12" hidden="1" customHeight="1" x14ac:dyDescent="0.25">
      <c r="A413" s="14"/>
      <c r="B413" s="291" t="s">
        <v>27</v>
      </c>
      <c r="C413" s="301"/>
      <c r="D413" s="1" t="s">
        <v>17</v>
      </c>
      <c r="E413" s="173">
        <v>857</v>
      </c>
      <c r="F413" s="1" t="s">
        <v>17</v>
      </c>
      <c r="G413" s="1" t="s">
        <v>1</v>
      </c>
      <c r="H413" s="1" t="s">
        <v>449</v>
      </c>
      <c r="I413" s="1" t="s">
        <v>28</v>
      </c>
      <c r="J413" s="2">
        <f t="shared" si="475"/>
        <v>18000</v>
      </c>
      <c r="K413" s="2">
        <f t="shared" si="475"/>
        <v>0</v>
      </c>
      <c r="L413" s="2">
        <f t="shared" si="475"/>
        <v>18000</v>
      </c>
      <c r="M413" s="2">
        <f t="shared" si="475"/>
        <v>0</v>
      </c>
      <c r="N413" s="2">
        <f t="shared" si="475"/>
        <v>18000</v>
      </c>
      <c r="O413" s="2">
        <f t="shared" si="475"/>
        <v>0</v>
      </c>
      <c r="P413" s="2">
        <f t="shared" si="475"/>
        <v>18000</v>
      </c>
      <c r="Q413" s="2">
        <f t="shared" si="475"/>
        <v>0</v>
      </c>
      <c r="R413" s="2"/>
      <c r="S413" s="2"/>
      <c r="T413" s="2"/>
      <c r="U413" s="2">
        <f t="shared" si="475"/>
        <v>18000</v>
      </c>
      <c r="V413" s="2">
        <f t="shared" si="475"/>
        <v>0</v>
      </c>
      <c r="W413" s="2">
        <f t="shared" si="475"/>
        <v>0</v>
      </c>
      <c r="X413" s="2">
        <f t="shared" si="475"/>
        <v>0</v>
      </c>
      <c r="Y413" s="2">
        <f t="shared" si="475"/>
        <v>0</v>
      </c>
      <c r="Z413" s="2">
        <f t="shared" si="476"/>
        <v>18000</v>
      </c>
      <c r="AA413" s="2">
        <f t="shared" si="476"/>
        <v>0</v>
      </c>
      <c r="AB413" s="2">
        <f t="shared" si="476"/>
        <v>0</v>
      </c>
      <c r="AC413" s="2">
        <f t="shared" si="476"/>
        <v>18000</v>
      </c>
    </row>
    <row r="414" spans="1:29" ht="24.75" hidden="1" customHeight="1" x14ac:dyDescent="0.25">
      <c r="A414" s="14"/>
      <c r="B414" s="291" t="s">
        <v>29</v>
      </c>
      <c r="C414" s="291"/>
      <c r="D414" s="1" t="s">
        <v>17</v>
      </c>
      <c r="E414" s="173">
        <v>857</v>
      </c>
      <c r="F414" s="1" t="s">
        <v>17</v>
      </c>
      <c r="G414" s="1" t="s">
        <v>1</v>
      </c>
      <c r="H414" s="1" t="s">
        <v>449</v>
      </c>
      <c r="I414" s="1" t="s">
        <v>30</v>
      </c>
      <c r="J414" s="2">
        <v>18000</v>
      </c>
      <c r="K414" s="2"/>
      <c r="L414" s="2">
        <f>J414+K414</f>
        <v>18000</v>
      </c>
      <c r="M414" s="2"/>
      <c r="N414" s="2">
        <f>L414+M414</f>
        <v>18000</v>
      </c>
      <c r="O414" s="2"/>
      <c r="P414" s="2">
        <f>N414+O414</f>
        <v>18000</v>
      </c>
      <c r="Q414" s="2"/>
      <c r="R414" s="2"/>
      <c r="S414" s="2"/>
      <c r="T414" s="2"/>
      <c r="U414" s="2">
        <f>P414+Q414</f>
        <v>18000</v>
      </c>
      <c r="V414" s="2"/>
      <c r="W414" s="2"/>
      <c r="X414" s="2"/>
      <c r="Y414" s="2"/>
      <c r="Z414" s="2">
        <f>U414+V414</f>
        <v>18000</v>
      </c>
      <c r="AA414" s="14"/>
      <c r="AB414" s="2"/>
      <c r="AC414" s="2">
        <f>Z414</f>
        <v>18000</v>
      </c>
    </row>
    <row r="415" spans="1:29" s="111" customFormat="1" ht="18.75" customHeight="1" x14ac:dyDescent="0.25">
      <c r="A415" s="305"/>
      <c r="B415" s="304" t="s">
        <v>164</v>
      </c>
      <c r="C415" s="107"/>
      <c r="D415" s="107"/>
      <c r="E415" s="108"/>
      <c r="F415" s="109"/>
      <c r="G415" s="109"/>
      <c r="H415" s="109"/>
      <c r="I415" s="109"/>
      <c r="J415" s="110">
        <f t="shared" ref="J415:Y415" si="477">J8+J222+J326+J390+J404</f>
        <v>234246433</v>
      </c>
      <c r="K415" s="110">
        <f t="shared" si="477"/>
        <v>8505006</v>
      </c>
      <c r="L415" s="110">
        <f t="shared" si="477"/>
        <v>242751439</v>
      </c>
      <c r="M415" s="110">
        <f t="shared" si="477"/>
        <v>165681</v>
      </c>
      <c r="N415" s="110">
        <f t="shared" si="477"/>
        <v>242917120</v>
      </c>
      <c r="O415" s="110">
        <f t="shared" si="477"/>
        <v>-2522350</v>
      </c>
      <c r="P415" s="110">
        <f t="shared" si="477"/>
        <v>240394770</v>
      </c>
      <c r="Q415" s="110">
        <f t="shared" si="477"/>
        <v>16540201.76</v>
      </c>
      <c r="R415" s="110">
        <f t="shared" si="477"/>
        <v>3411819.16</v>
      </c>
      <c r="S415" s="110">
        <f t="shared" si="477"/>
        <v>1628382.6</v>
      </c>
      <c r="T415" s="110">
        <f t="shared" si="477"/>
        <v>0</v>
      </c>
      <c r="U415" s="110">
        <f t="shared" si="477"/>
        <v>256934971.75999999</v>
      </c>
      <c r="V415" s="110">
        <f t="shared" si="477"/>
        <v>2957421.6499999994</v>
      </c>
      <c r="W415" s="110">
        <f t="shared" si="477"/>
        <v>11256009.5</v>
      </c>
      <c r="X415" s="110">
        <f t="shared" si="477"/>
        <v>-8095929.8499999978</v>
      </c>
      <c r="Y415" s="110">
        <f t="shared" si="477"/>
        <v>-202658</v>
      </c>
      <c r="Z415" s="110">
        <f>Z8+Z222+Z326+Z390+Z404</f>
        <v>259892393.41</v>
      </c>
      <c r="AA415" s="110">
        <f t="shared" ref="AA415:AC415" si="478">AA8+AA222+AA326+AA390+AA404</f>
        <v>146632839.66</v>
      </c>
      <c r="AB415" s="110">
        <f t="shared" si="478"/>
        <v>99048158.749999985</v>
      </c>
      <c r="AC415" s="110">
        <f t="shared" si="478"/>
        <v>12311395</v>
      </c>
    </row>
    <row r="416" spans="1:29" ht="12" hidden="1" customHeight="1" x14ac:dyDescent="0.25">
      <c r="E416" s="5"/>
      <c r="F416" s="5"/>
      <c r="G416" s="5"/>
      <c r="H416" s="63"/>
      <c r="V416" s="92"/>
    </row>
    <row r="417" spans="2:22" ht="12" hidden="1" customHeight="1" x14ac:dyDescent="0.25">
      <c r="E417" s="5"/>
      <c r="F417" s="5"/>
      <c r="G417" s="5"/>
      <c r="H417" s="63"/>
      <c r="J417" s="8"/>
      <c r="K417" s="8"/>
      <c r="L417" s="8"/>
      <c r="M417" s="8"/>
      <c r="N417" s="8"/>
      <c r="O417" s="8"/>
      <c r="P417" s="8"/>
      <c r="Q417" s="8"/>
      <c r="R417" s="8"/>
      <c r="S417" s="8"/>
      <c r="T417" s="8"/>
      <c r="U417" s="8"/>
      <c r="V417" s="92"/>
    </row>
    <row r="418" spans="2:22" s="12" customFormat="1" ht="12" hidden="1" customHeight="1" x14ac:dyDescent="0.25">
      <c r="B418" s="12" t="s">
        <v>513</v>
      </c>
      <c r="H418" s="169"/>
      <c r="J418" s="13" t="e">
        <f>J419+J420+J421</f>
        <v>#REF!</v>
      </c>
      <c r="K418" s="13" t="e">
        <f t="shared" ref="K418:L418" si="479">K419+K420+K421</f>
        <v>#REF!</v>
      </c>
      <c r="L418" s="13" t="e">
        <f t="shared" si="479"/>
        <v>#REF!</v>
      </c>
      <c r="M418" s="13" t="e">
        <f t="shared" ref="M418:N418" si="480">M419+M420+M421</f>
        <v>#REF!</v>
      </c>
      <c r="N418" s="13" t="e">
        <f t="shared" si="480"/>
        <v>#REF!</v>
      </c>
      <c r="O418" s="13" t="e">
        <f t="shared" ref="O418:P418" si="481">O419+O420+O421</f>
        <v>#REF!</v>
      </c>
      <c r="P418" s="13" t="e">
        <f t="shared" si="481"/>
        <v>#REF!</v>
      </c>
      <c r="Q418" s="13" t="e">
        <f t="shared" ref="Q418:U418" si="482">Q419+Q420+Q421</f>
        <v>#REF!</v>
      </c>
      <c r="R418" s="13"/>
      <c r="S418" s="13"/>
      <c r="T418" s="13"/>
      <c r="U418" s="13" t="e">
        <f t="shared" si="482"/>
        <v>#REF!</v>
      </c>
      <c r="V418" s="30"/>
    </row>
    <row r="419" spans="2:22" ht="12" hidden="1" customHeight="1" x14ac:dyDescent="0.25">
      <c r="B419" s="5" t="s">
        <v>483</v>
      </c>
      <c r="E419" s="5"/>
      <c r="F419" s="5"/>
      <c r="G419" s="5"/>
      <c r="H419" s="63"/>
      <c r="J419" s="8">
        <f t="shared" ref="J419:Q419" si="483">J29+J39+J87+J105+J164+J194+J217+J220+J236+J242+J272+J280+J284+J287+J292+J296+J301+J318+J323+J346+J355+J361</f>
        <v>28053970</v>
      </c>
      <c r="K419" s="8">
        <f t="shared" si="483"/>
        <v>0</v>
      </c>
      <c r="L419" s="8">
        <f t="shared" si="483"/>
        <v>28053970</v>
      </c>
      <c r="M419" s="8">
        <f t="shared" si="483"/>
        <v>754138</v>
      </c>
      <c r="N419" s="8">
        <f t="shared" si="483"/>
        <v>28808108</v>
      </c>
      <c r="O419" s="8">
        <f t="shared" si="483"/>
        <v>59000</v>
      </c>
      <c r="P419" s="8">
        <f t="shared" si="483"/>
        <v>28867108</v>
      </c>
      <c r="Q419" s="8">
        <f t="shared" si="483"/>
        <v>5324211.5999999996</v>
      </c>
      <c r="R419" s="8"/>
      <c r="S419" s="8"/>
      <c r="T419" s="8"/>
      <c r="U419" s="8">
        <f>U29+U39+U87+U105+U164+U194+U217+U220+U236+U242+U272+U280+U284+U287+U292+U296+U301+U318+U323+U346+U355+U361</f>
        <v>34191319.600000001</v>
      </c>
      <c r="V419" s="92"/>
    </row>
    <row r="420" spans="2:22" ht="12" hidden="1" customHeight="1" x14ac:dyDescent="0.25">
      <c r="B420" s="5" t="s">
        <v>485</v>
      </c>
      <c r="E420" s="5"/>
      <c r="F420" s="5"/>
      <c r="G420" s="5"/>
      <c r="H420" s="63"/>
      <c r="J420" s="8" t="e">
        <f>J13+J16+J18+J20+J21+J22+J37+J46+J49+J52+J54+J57+J60+J77+J79+J90+J103+J110+J115+J122+J142+J149+J152+J165+J168+J175+J180+J190+J198+J205+J214+J226+J230+J233+J248+J251+J255+J259+J262+J309+J369+J373+J377+#REF!</f>
        <v>#REF!</v>
      </c>
      <c r="K420" s="8" t="e">
        <f>K13+K16+K18+K20+K21+K22+K37+K46+K49+K52+K54+K57+K60+K77+K79+K90+K103+K110+K115+K122+K142+K149+K152+K165+K168+K175+K180+K190+K198+K205+K214+K226+K230+K233+K248+K251+K255+K259+K262+K309+K369+K373+K377+#REF!</f>
        <v>#REF!</v>
      </c>
      <c r="L420" s="8" t="e">
        <f>L13+L16+L18+L20+L21+L22+L37+L46+L49+L52+L54+L57+L60+L77+L79+L90+L103+L110+L115+L122+L142+L149+L152+L165+L168+L175+L180+L190+L198+L205+L214+L226+L230+L233+L248+L251+L255+L259+L262+L309+L369+L373+L377+#REF!</f>
        <v>#REF!</v>
      </c>
      <c r="M420" s="8" t="e">
        <f>M13+M16+M18+M20+M21+M22+M37+M46+M49+M52+M54+M57+M60+M77+M79+M90+M103+M110+M115+M122+M142+M149+M152+M165+M168+M175+M180+M190+M198+M205+M214+M226+M230+M233+M248+M251+M255+M259+M262+M309+M369+M373+M377+#REF!</f>
        <v>#REF!</v>
      </c>
      <c r="N420" s="8" t="e">
        <f>N13+N16+N18+N20+N21+N22+N37+N46+N49+N52+N54+N57+N60+N77+N79+N90+N103+N110+N115+N122+N142+N149+N152+N165+N168+N175+N180+N190+N198+N205+N214+N226+N230+N233+N248+N251+N255+N259+N262+N309+N369+N373+N377+#REF!</f>
        <v>#REF!</v>
      </c>
      <c r="O420" s="8" t="e">
        <f>O13+O16+O18+O20+O21+O22+O37+O46+O49+O52+O54+O57+O60+O77+O79+O90+O103+O110+O115+O122+O142+O149+O152+O165+O168+O175+O180+O190+O198+O205+O214+O226+O230+O233+O248+O251+O255+O259+O262+O309+O369+O373+O377+#REF!</f>
        <v>#REF!</v>
      </c>
      <c r="P420" s="8" t="e">
        <f>P13+P16+P18+P20+P21+P22+P37+P46+P49+P52+P54+P57+P60+P77+P79+P90+P103+P110+P115+P122+P142+P149+P152+P165+P168+P175+P180+P190+P198+P205+P214+P226+P230+P233+P248+P251+P255+P259+P262+P309+P369+P373+P377+#REF!</f>
        <v>#REF!</v>
      </c>
      <c r="Q420" s="8" t="e">
        <f>Q13+Q16+Q18+Q20+Q21+Q22+Q37+Q46+Q49+Q52+Q54+Q57+Q60+Q77+Q79+Q90+Q103+Q110+Q115+Q122+Q142+Q149+Q152+Q165+Q168+Q175+Q180+Q190+Q198+Q205+Q214+Q226+Q230+Q233+Q248+Q251+Q255+Q259+Q262+Q309+Q369+Q373+Q377+#REF!</f>
        <v>#REF!</v>
      </c>
      <c r="R420" s="8"/>
      <c r="S420" s="8"/>
      <c r="T420" s="8"/>
      <c r="U420" s="8" t="e">
        <f>U13+U16+U18+U20+U21+U22+U37+U46+U49+U52+U54+U57+U60+U77+U79+U90+U103+U110+U115+U122+U142+U149+U152+U165+U168+U175+U180+U190+U198+U205+U214+U226+U230+U233+U248+U251+U255+U259+U262+U309+U369+U373+U377+#REF!</f>
        <v>#REF!</v>
      </c>
      <c r="V420" s="92"/>
    </row>
    <row r="421" spans="2:22" ht="12" hidden="1" customHeight="1" x14ac:dyDescent="0.25">
      <c r="B421" s="5" t="s">
        <v>484</v>
      </c>
      <c r="E421" s="5"/>
      <c r="F421" s="5"/>
      <c r="G421" s="5"/>
      <c r="H421" s="63"/>
      <c r="J421" s="8" t="e">
        <f>J25+J68+J155+J158+J208+#REF!</f>
        <v>#REF!</v>
      </c>
      <c r="K421" s="8" t="e">
        <f>K25+K68+K155+K158+K208+#REF!</f>
        <v>#REF!</v>
      </c>
      <c r="L421" s="8" t="e">
        <f>L25+L68+L155+L158+L208+#REF!</f>
        <v>#REF!</v>
      </c>
      <c r="M421" s="8" t="e">
        <f>M25+M68+M155+M158+M208+#REF!</f>
        <v>#REF!</v>
      </c>
      <c r="N421" s="8" t="e">
        <f>N25+N68+N155+N158+N208+#REF!</f>
        <v>#REF!</v>
      </c>
      <c r="O421" s="8" t="e">
        <f>O25+O68+O155+O158+O208+#REF!</f>
        <v>#REF!</v>
      </c>
      <c r="P421" s="8" t="e">
        <f>P25+P68+P155+P158+P208+#REF!</f>
        <v>#REF!</v>
      </c>
      <c r="Q421" s="8" t="e">
        <f>Q25+Q68+Q155+Q158+Q208+#REF!</f>
        <v>#REF!</v>
      </c>
      <c r="R421" s="8"/>
      <c r="S421" s="8"/>
      <c r="T421" s="8"/>
      <c r="U421" s="8" t="e">
        <f>U25+U68+U155+U158+U208+#REF!</f>
        <v>#REF!</v>
      </c>
      <c r="V421" s="92"/>
    </row>
    <row r="422" spans="2:22" ht="12" hidden="1" customHeight="1" x14ac:dyDescent="0.25">
      <c r="E422" s="5"/>
      <c r="F422" s="5"/>
      <c r="G422" s="5"/>
      <c r="H422" s="63"/>
      <c r="J422" s="8" t="e">
        <f t="shared" ref="J422:P422" si="484">J395-J419-J420-J421</f>
        <v>#REF!</v>
      </c>
      <c r="K422" s="8" t="e">
        <f t="shared" si="484"/>
        <v>#REF!</v>
      </c>
      <c r="L422" s="8" t="e">
        <f t="shared" si="484"/>
        <v>#REF!</v>
      </c>
      <c r="M422" s="8" t="e">
        <f t="shared" si="484"/>
        <v>#REF!</v>
      </c>
      <c r="N422" s="8" t="e">
        <f t="shared" si="484"/>
        <v>#REF!</v>
      </c>
      <c r="O422" s="8" t="e">
        <f t="shared" si="484"/>
        <v>#REF!</v>
      </c>
      <c r="P422" s="8" t="e">
        <f t="shared" si="484"/>
        <v>#REF!</v>
      </c>
      <c r="Q422" s="8" t="e">
        <f t="shared" ref="Q422:U422" si="485">Q395-Q419-Q420-Q421</f>
        <v>#REF!</v>
      </c>
      <c r="R422" s="8"/>
      <c r="S422" s="8"/>
      <c r="T422" s="8"/>
      <c r="U422" s="8" t="e">
        <f t="shared" si="485"/>
        <v>#REF!</v>
      </c>
      <c r="V422" s="92"/>
    </row>
    <row r="423" spans="2:22" ht="7.5" hidden="1" customHeight="1" x14ac:dyDescent="0.25">
      <c r="E423" s="5"/>
      <c r="F423" s="5"/>
      <c r="G423" s="5"/>
      <c r="H423" s="63"/>
      <c r="J423" s="8"/>
      <c r="K423" s="8"/>
      <c r="L423" s="8"/>
      <c r="M423" s="8"/>
      <c r="N423" s="8"/>
      <c r="O423" s="8"/>
      <c r="P423" s="8"/>
      <c r="Q423" s="8"/>
      <c r="R423" s="8"/>
      <c r="S423" s="8"/>
      <c r="T423" s="8"/>
      <c r="U423" s="8"/>
      <c r="V423" s="92"/>
    </row>
    <row r="424" spans="2:22" ht="12" hidden="1" customHeight="1" x14ac:dyDescent="0.25">
      <c r="E424" s="5"/>
      <c r="F424" s="5"/>
      <c r="G424" s="5"/>
      <c r="H424" s="63"/>
      <c r="J424" s="8"/>
      <c r="K424" s="8"/>
      <c r="L424" s="8"/>
      <c r="M424" s="8"/>
      <c r="N424" s="8"/>
      <c r="O424" s="8"/>
      <c r="P424" s="8"/>
      <c r="Q424" s="8"/>
      <c r="R424" s="8"/>
      <c r="S424" s="8"/>
      <c r="T424" s="8"/>
      <c r="U424" s="8"/>
      <c r="V424" s="92"/>
    </row>
    <row r="425" spans="2:22" ht="12" hidden="1" customHeight="1" x14ac:dyDescent="0.25">
      <c r="E425" s="5"/>
      <c r="F425" s="5"/>
      <c r="G425" s="5"/>
      <c r="H425" s="63"/>
      <c r="J425" s="8"/>
      <c r="K425" s="8"/>
      <c r="L425" s="8"/>
      <c r="M425" s="8"/>
      <c r="N425" s="8"/>
      <c r="O425" s="8"/>
      <c r="P425" s="8"/>
      <c r="Q425" s="8"/>
      <c r="R425" s="8"/>
      <c r="S425" s="8"/>
      <c r="T425" s="8"/>
      <c r="U425" s="8"/>
      <c r="V425" s="92"/>
    </row>
    <row r="426" spans="2:22" ht="12" hidden="1" customHeight="1" x14ac:dyDescent="0.25">
      <c r="B426" s="5" t="s">
        <v>503</v>
      </c>
      <c r="E426" s="5"/>
      <c r="F426" s="5"/>
      <c r="G426" s="5"/>
      <c r="H426" s="63"/>
      <c r="J426" s="8">
        <f>' Дох.15'!C8+' Дох.15'!C71</f>
        <v>0</v>
      </c>
      <c r="K426" s="8">
        <f>' Дох.15'!F8+' Дох.15'!F71</f>
        <v>48920000</v>
      </c>
      <c r="L426" s="8">
        <f>' Дох.15'!G8+' Дох.15'!G71</f>
        <v>53867200</v>
      </c>
      <c r="M426" s="8">
        <f>' Дох.15'!H8+' Дох.15'!H71</f>
        <v>48920000</v>
      </c>
      <c r="N426" s="8">
        <f>' Дох.15'!I8+' Дох.15'!I71</f>
        <v>53867200</v>
      </c>
      <c r="O426" s="8">
        <f>' Дох.15'!J8+' Дох.15'!J71</f>
        <v>48920000</v>
      </c>
      <c r="P426" s="8">
        <f>' Дох.15'!K8+' Дох.15'!K71</f>
        <v>53867200</v>
      </c>
      <c r="Q426" s="8">
        <f>' Дох.15'!L8+' Дох.15'!L71</f>
        <v>48920000</v>
      </c>
      <c r="R426" s="8"/>
      <c r="S426" s="8"/>
      <c r="T426" s="8"/>
      <c r="U426" s="8">
        <f>' Дох.15'!M8+' Дох.15'!M71</f>
        <v>53867200</v>
      </c>
      <c r="V426" s="92"/>
    </row>
    <row r="427" spans="2:22" ht="12" hidden="1" customHeight="1" x14ac:dyDescent="0.25">
      <c r="B427" s="5" t="s">
        <v>502</v>
      </c>
      <c r="E427" s="5"/>
      <c r="F427" s="5"/>
      <c r="G427" s="5"/>
      <c r="H427" s="63"/>
      <c r="J427" s="8">
        <f>' Дох.15'!C127</f>
        <v>0</v>
      </c>
      <c r="K427" s="8">
        <f>' Дох.15'!F127</f>
        <v>0</v>
      </c>
      <c r="L427" s="8">
        <f>' Дох.15'!G127</f>
        <v>0</v>
      </c>
      <c r="M427" s="8">
        <f>' Дох.15'!H127</f>
        <v>0</v>
      </c>
      <c r="N427" s="8">
        <f>' Дох.15'!I127</f>
        <v>0</v>
      </c>
      <c r="O427" s="8">
        <f>' Дох.15'!J127</f>
        <v>0</v>
      </c>
      <c r="P427" s="8">
        <f>' Дох.15'!K127</f>
        <v>0</v>
      </c>
      <c r="Q427" s="8">
        <f>' Дох.15'!L127</f>
        <v>0</v>
      </c>
      <c r="R427" s="8"/>
      <c r="S427" s="8"/>
      <c r="T427" s="8"/>
      <c r="U427" s="8">
        <f>' Дох.15'!M127</f>
        <v>0</v>
      </c>
      <c r="V427" s="92"/>
    </row>
    <row r="428" spans="2:22" ht="12" hidden="1" customHeight="1" x14ac:dyDescent="0.25">
      <c r="E428" s="5"/>
      <c r="F428" s="5"/>
      <c r="G428" s="5"/>
      <c r="H428" s="63"/>
      <c r="J428" s="8"/>
      <c r="K428" s="8"/>
      <c r="L428" s="8"/>
      <c r="M428" s="8"/>
      <c r="N428" s="8"/>
      <c r="O428" s="8"/>
      <c r="P428" s="8"/>
      <c r="Q428" s="8"/>
      <c r="R428" s="8"/>
      <c r="S428" s="8"/>
      <c r="T428" s="8"/>
      <c r="U428" s="8"/>
      <c r="V428" s="92"/>
    </row>
    <row r="429" spans="2:22" ht="12" hidden="1" customHeight="1" x14ac:dyDescent="0.25">
      <c r="B429" s="5" t="s">
        <v>539</v>
      </c>
      <c r="E429" s="5"/>
      <c r="F429" s="5"/>
      <c r="G429" s="5"/>
      <c r="H429" s="63"/>
      <c r="J429" s="8">
        <f>' Дох.15'!C91</f>
        <v>0</v>
      </c>
      <c r="K429" s="8">
        <f>' Дох.15'!F91</f>
        <v>4802500</v>
      </c>
      <c r="L429" s="8">
        <f>' Дох.15'!G91</f>
        <v>4802500</v>
      </c>
      <c r="M429" s="8">
        <f>' Дох.15'!H91</f>
        <v>808050</v>
      </c>
      <c r="N429" s="8">
        <f>' Дох.15'!I91</f>
        <v>5610550</v>
      </c>
      <c r="O429" s="8">
        <f>' Дох.15'!J91</f>
        <v>-3770000</v>
      </c>
      <c r="P429" s="8">
        <f>' Дох.15'!K91</f>
        <v>1840550</v>
      </c>
      <c r="Q429" s="8">
        <f>' Дох.15'!L91</f>
        <v>14605820</v>
      </c>
      <c r="R429" s="8"/>
      <c r="S429" s="8"/>
      <c r="T429" s="8"/>
      <c r="U429" s="8">
        <f>' Дох.15'!M91</f>
        <v>16446370</v>
      </c>
      <c r="V429" s="92"/>
    </row>
    <row r="430" spans="2:22" ht="12" hidden="1" customHeight="1" x14ac:dyDescent="0.25">
      <c r="E430" s="5"/>
      <c r="F430" s="5"/>
      <c r="G430" s="5"/>
      <c r="H430" s="63"/>
      <c r="J430" s="8">
        <f>J419-J429</f>
        <v>28053970</v>
      </c>
      <c r="K430" s="8">
        <f t="shared" ref="K430:L430" si="486">K419-K429</f>
        <v>-4802500</v>
      </c>
      <c r="L430" s="8">
        <f t="shared" si="486"/>
        <v>23251470</v>
      </c>
      <c r="M430" s="8">
        <f t="shared" ref="M430:N430" si="487">M419-M429</f>
        <v>-53912</v>
      </c>
      <c r="N430" s="8">
        <f t="shared" si="487"/>
        <v>23197558</v>
      </c>
      <c r="O430" s="8">
        <f t="shared" ref="O430:P430" si="488">O419-O429</f>
        <v>3829000</v>
      </c>
      <c r="P430" s="8">
        <f t="shared" si="488"/>
        <v>27026558</v>
      </c>
      <c r="Q430" s="8">
        <f t="shared" ref="Q430:U430" si="489">Q419-Q429</f>
        <v>-9281608.4000000004</v>
      </c>
      <c r="R430" s="8"/>
      <c r="S430" s="8"/>
      <c r="T430" s="8"/>
      <c r="U430" s="8">
        <f t="shared" si="489"/>
        <v>17744949.600000001</v>
      </c>
      <c r="V430" s="92"/>
    </row>
    <row r="431" spans="2:22" ht="12" hidden="1" customHeight="1" x14ac:dyDescent="0.25">
      <c r="B431" s="5" t="s">
        <v>540</v>
      </c>
      <c r="E431" s="5"/>
      <c r="F431" s="5"/>
      <c r="G431" s="5"/>
      <c r="H431" s="63"/>
      <c r="J431" s="8">
        <f>' Дох.15'!C119+' Дох.15'!C125</f>
        <v>93000</v>
      </c>
      <c r="K431" s="8">
        <f>' Дох.15'!F119+' Дох.15'!F126</f>
        <v>0</v>
      </c>
      <c r="L431" s="8">
        <f>' Дох.15'!G119+' Дох.15'!G126</f>
        <v>66777336</v>
      </c>
      <c r="M431" s="8">
        <f>' Дох.15'!H119+' Дох.15'!H126</f>
        <v>0</v>
      </c>
      <c r="N431" s="8">
        <f>' Дох.15'!I119+' Дох.15'!I126</f>
        <v>66777336</v>
      </c>
      <c r="O431" s="8">
        <f>' Дох.15'!J119+' Дох.15'!J126</f>
        <v>0</v>
      </c>
      <c r="P431" s="8">
        <f>' Дох.15'!K119+' Дох.15'!K126</f>
        <v>66777336</v>
      </c>
      <c r="Q431" s="8">
        <f>' Дох.15'!L119+' Дох.15'!L126</f>
        <v>0</v>
      </c>
      <c r="R431" s="8"/>
      <c r="S431" s="8"/>
      <c r="T431" s="8"/>
      <c r="U431" s="8">
        <f>' Дох.15'!M119+' Дох.15'!M126</f>
        <v>66777336</v>
      </c>
      <c r="V431" s="92"/>
    </row>
    <row r="432" spans="2:22" ht="12" hidden="1" customHeight="1" x14ac:dyDescent="0.25">
      <c r="E432" s="5"/>
      <c r="F432" s="5"/>
      <c r="G432" s="5"/>
      <c r="H432" s="63"/>
      <c r="J432" s="8" t="e">
        <f>J421-J431</f>
        <v>#REF!</v>
      </c>
      <c r="K432" s="8" t="e">
        <f t="shared" ref="K432:L432" si="490">K421-K431</f>
        <v>#REF!</v>
      </c>
      <c r="L432" s="8" t="e">
        <f t="shared" si="490"/>
        <v>#REF!</v>
      </c>
      <c r="M432" s="8" t="e">
        <f t="shared" ref="M432:N432" si="491">M421-M431</f>
        <v>#REF!</v>
      </c>
      <c r="N432" s="8" t="e">
        <f t="shared" si="491"/>
        <v>#REF!</v>
      </c>
      <c r="O432" s="8" t="e">
        <f t="shared" ref="O432:P432" si="492">O421-O431</f>
        <v>#REF!</v>
      </c>
      <c r="P432" s="8" t="e">
        <f t="shared" si="492"/>
        <v>#REF!</v>
      </c>
      <c r="Q432" s="8" t="e">
        <f t="shared" ref="Q432:U432" si="493">Q421-Q431</f>
        <v>#REF!</v>
      </c>
      <c r="R432" s="8"/>
      <c r="S432" s="8"/>
      <c r="T432" s="8"/>
      <c r="U432" s="8" t="e">
        <f t="shared" si="493"/>
        <v>#REF!</v>
      </c>
      <c r="V432" s="92"/>
    </row>
    <row r="433" spans="2:23" ht="12" hidden="1" customHeight="1" x14ac:dyDescent="0.25">
      <c r="E433" s="5"/>
      <c r="F433" s="5"/>
      <c r="G433" s="5"/>
      <c r="H433" s="63"/>
      <c r="J433" s="8"/>
      <c r="K433" s="8"/>
      <c r="L433" s="8"/>
      <c r="M433" s="8"/>
      <c r="N433" s="8"/>
      <c r="O433" s="8"/>
      <c r="P433" s="8"/>
      <c r="Q433" s="8"/>
      <c r="R433" s="8"/>
      <c r="S433" s="8"/>
      <c r="T433" s="8"/>
      <c r="U433" s="8"/>
      <c r="V433" s="92"/>
    </row>
    <row r="434" spans="2:23" ht="12" hidden="1" customHeight="1" x14ac:dyDescent="0.25">
      <c r="E434" s="5"/>
      <c r="F434" s="5"/>
      <c r="G434" s="5"/>
      <c r="H434" s="63"/>
      <c r="J434" s="8"/>
      <c r="K434" s="8"/>
      <c r="L434" s="8"/>
      <c r="M434" s="8"/>
      <c r="N434" s="8"/>
      <c r="O434" s="8"/>
      <c r="P434" s="8"/>
      <c r="Q434" s="8"/>
      <c r="R434" s="8"/>
      <c r="S434" s="8"/>
      <c r="T434" s="8"/>
      <c r="U434" s="8"/>
      <c r="V434" s="92"/>
    </row>
    <row r="435" spans="2:23" ht="12" hidden="1" customHeight="1" x14ac:dyDescent="0.25">
      <c r="E435" s="5"/>
      <c r="F435" s="5"/>
      <c r="G435" s="5"/>
      <c r="H435" s="63"/>
      <c r="J435" s="8"/>
      <c r="K435" s="8"/>
      <c r="L435" s="8"/>
      <c r="M435" s="8"/>
      <c r="N435" s="8"/>
      <c r="O435" s="8"/>
      <c r="P435" s="8"/>
      <c r="Q435" s="8"/>
      <c r="R435" s="8"/>
      <c r="S435" s="8"/>
      <c r="T435" s="8"/>
      <c r="U435" s="8"/>
      <c r="V435" s="92"/>
    </row>
    <row r="436" spans="2:23" ht="12" hidden="1" customHeight="1" x14ac:dyDescent="0.25">
      <c r="B436" s="5" t="s">
        <v>668</v>
      </c>
      <c r="E436" s="5"/>
      <c r="F436" s="5"/>
      <c r="G436" s="5"/>
      <c r="H436" s="63"/>
      <c r="J436" s="8">
        <v>234246433</v>
      </c>
      <c r="K436" s="8">
        <v>8505006</v>
      </c>
      <c r="L436" s="8">
        <v>242751439</v>
      </c>
      <c r="M436" s="8">
        <v>165681</v>
      </c>
      <c r="N436" s="8">
        <v>242917120</v>
      </c>
      <c r="O436" s="8">
        <v>-2522350</v>
      </c>
      <c r="P436" s="8">
        <v>240394770</v>
      </c>
      <c r="Q436" s="8"/>
      <c r="R436" s="8"/>
      <c r="S436" s="8"/>
      <c r="T436" s="8"/>
      <c r="U436" s="8"/>
      <c r="V436" s="92"/>
    </row>
    <row r="437" spans="2:23" ht="12" hidden="1" customHeight="1" x14ac:dyDescent="0.25">
      <c r="E437" s="5"/>
      <c r="F437" s="5"/>
      <c r="G437" s="5"/>
      <c r="H437" s="63"/>
      <c r="J437" s="8">
        <f t="shared" ref="J437:P437" si="494">J395-J436</f>
        <v>-233456933</v>
      </c>
      <c r="K437" s="8">
        <f t="shared" si="494"/>
        <v>-8505006</v>
      </c>
      <c r="L437" s="8">
        <f t="shared" si="494"/>
        <v>-241961939</v>
      </c>
      <c r="M437" s="8">
        <f t="shared" si="494"/>
        <v>-165681</v>
      </c>
      <c r="N437" s="8">
        <f t="shared" si="494"/>
        <v>-242127620</v>
      </c>
      <c r="O437" s="8">
        <f t="shared" si="494"/>
        <v>2522350</v>
      </c>
      <c r="P437" s="8">
        <f t="shared" si="494"/>
        <v>-239605270</v>
      </c>
      <c r="Q437" s="8">
        <f>Q395-Q436</f>
        <v>0</v>
      </c>
      <c r="R437" s="8"/>
      <c r="S437" s="8"/>
      <c r="T437" s="8"/>
      <c r="U437" s="8">
        <f>U395-U436</f>
        <v>789500</v>
      </c>
      <c r="V437" s="92"/>
      <c r="W437" s="8"/>
    </row>
    <row r="438" spans="2:23" ht="12" hidden="1" customHeight="1" x14ac:dyDescent="0.25">
      <c r="E438" s="5"/>
      <c r="F438" s="5"/>
      <c r="G438" s="5"/>
      <c r="H438" s="63"/>
      <c r="J438" s="8"/>
      <c r="K438" s="8"/>
      <c r="L438" s="8"/>
      <c r="M438" s="8"/>
      <c r="N438" s="8"/>
      <c r="O438" s="8"/>
      <c r="P438" s="8"/>
      <c r="Q438" s="8">
        <f>Q395-Q492-Q493-Q494</f>
        <v>0</v>
      </c>
      <c r="R438" s="8"/>
      <c r="S438" s="8"/>
      <c r="T438" s="8"/>
      <c r="U438" s="8"/>
      <c r="V438" s="92"/>
    </row>
    <row r="439" spans="2:23" ht="12" hidden="1" customHeight="1" x14ac:dyDescent="0.25">
      <c r="E439" s="5"/>
      <c r="F439" s="5"/>
      <c r="G439" s="5"/>
      <c r="H439" s="63"/>
      <c r="J439" s="8"/>
      <c r="K439" s="8"/>
      <c r="L439" s="8"/>
      <c r="M439" s="8"/>
      <c r="N439" s="8"/>
      <c r="O439" s="8"/>
      <c r="P439" s="8"/>
      <c r="Q439" s="8"/>
      <c r="R439" s="8"/>
      <c r="S439" s="8"/>
      <c r="T439" s="8"/>
      <c r="U439" s="8"/>
      <c r="V439" s="92"/>
    </row>
    <row r="440" spans="2:23" ht="12" hidden="1" customHeight="1" x14ac:dyDescent="0.25">
      <c r="E440" s="5"/>
      <c r="F440" s="5"/>
      <c r="G440" s="5"/>
      <c r="H440" s="63"/>
      <c r="J440" s="8"/>
      <c r="K440" s="8"/>
      <c r="L440" s="8"/>
      <c r="M440" s="8"/>
      <c r="N440" s="8"/>
      <c r="O440" s="8"/>
      <c r="P440" s="8"/>
      <c r="Q440" s="8"/>
      <c r="R440" s="8"/>
      <c r="S440" s="8"/>
      <c r="T440" s="8"/>
      <c r="U440" s="8"/>
      <c r="V440" s="92"/>
    </row>
    <row r="441" spans="2:23" ht="12" hidden="1" customHeight="1" x14ac:dyDescent="0.25">
      <c r="E441" s="5"/>
      <c r="F441" s="5"/>
      <c r="G441" s="5"/>
      <c r="H441" s="63"/>
      <c r="J441" s="8"/>
      <c r="K441" s="8"/>
      <c r="L441" s="8"/>
      <c r="M441" s="8"/>
      <c r="N441" s="8"/>
      <c r="O441" s="8"/>
      <c r="P441" s="8"/>
      <c r="Q441" s="8"/>
      <c r="R441" s="8"/>
      <c r="S441" s="8"/>
      <c r="T441" s="8"/>
      <c r="U441" s="8"/>
      <c r="V441" s="92"/>
    </row>
    <row r="442" spans="2:23" ht="12" hidden="1" customHeight="1" x14ac:dyDescent="0.25">
      <c r="E442" s="5"/>
      <c r="F442" s="5"/>
      <c r="G442" s="5"/>
      <c r="H442" s="63"/>
      <c r="J442" s="8"/>
      <c r="K442" s="8"/>
      <c r="L442" s="8"/>
      <c r="M442" s="8"/>
      <c r="N442" s="8"/>
      <c r="O442" s="8"/>
      <c r="P442" s="8"/>
      <c r="Q442" s="8"/>
      <c r="R442" s="8"/>
      <c r="S442" s="8"/>
      <c r="T442" s="8"/>
      <c r="U442" s="8"/>
      <c r="V442" s="92"/>
    </row>
    <row r="443" spans="2:23" ht="12" hidden="1" customHeight="1" x14ac:dyDescent="0.25">
      <c r="E443" s="5"/>
      <c r="F443" s="5"/>
      <c r="G443" s="5"/>
      <c r="H443" s="63"/>
      <c r="J443" s="8"/>
      <c r="K443" s="8"/>
      <c r="L443" s="8"/>
      <c r="M443" s="8"/>
      <c r="N443" s="8"/>
      <c r="O443" s="8"/>
      <c r="P443" s="8"/>
      <c r="Q443" s="8"/>
      <c r="R443" s="8"/>
      <c r="S443" s="8"/>
      <c r="T443" s="8"/>
      <c r="U443" s="8"/>
      <c r="V443" s="92"/>
    </row>
    <row r="444" spans="2:23" ht="12" hidden="1" customHeight="1" x14ac:dyDescent="0.25">
      <c r="E444" s="72"/>
      <c r="F444" s="159" t="s">
        <v>17</v>
      </c>
      <c r="G444" s="71"/>
      <c r="H444" s="71"/>
      <c r="I444" s="72"/>
      <c r="J444" s="8">
        <f t="shared" ref="J444:Q444" si="495">J9+J307+J371</f>
        <v>36632380</v>
      </c>
      <c r="K444" s="8">
        <f t="shared" si="495"/>
        <v>803088</v>
      </c>
      <c r="L444" s="8">
        <f t="shared" si="495"/>
        <v>37435468</v>
      </c>
      <c r="M444" s="8">
        <f t="shared" si="495"/>
        <v>-23856</v>
      </c>
      <c r="N444" s="8">
        <f t="shared" si="495"/>
        <v>37411612</v>
      </c>
      <c r="O444" s="8">
        <f t="shared" si="495"/>
        <v>1166600</v>
      </c>
      <c r="P444" s="8">
        <f t="shared" si="495"/>
        <v>38578212</v>
      </c>
      <c r="Q444" s="8">
        <f t="shared" si="495"/>
        <v>-34484</v>
      </c>
      <c r="R444" s="8"/>
      <c r="S444" s="8"/>
      <c r="T444" s="8"/>
      <c r="U444" s="8">
        <f>U9+U307+U371</f>
        <v>38543728</v>
      </c>
      <c r="V444" s="92"/>
    </row>
    <row r="445" spans="2:23" ht="12" hidden="1" customHeight="1" x14ac:dyDescent="0.25">
      <c r="E445" s="72"/>
      <c r="F445" s="159" t="s">
        <v>72</v>
      </c>
      <c r="G445" s="72"/>
      <c r="H445" s="71"/>
      <c r="I445" s="72"/>
      <c r="J445" s="8">
        <f t="shared" ref="J445:Q445" si="496">J66+J321</f>
        <v>658000</v>
      </c>
      <c r="K445" s="8">
        <f t="shared" si="496"/>
        <v>0</v>
      </c>
      <c r="L445" s="8">
        <f t="shared" si="496"/>
        <v>658000</v>
      </c>
      <c r="M445" s="8">
        <f t="shared" si="496"/>
        <v>-46060</v>
      </c>
      <c r="N445" s="8">
        <f t="shared" si="496"/>
        <v>611940</v>
      </c>
      <c r="O445" s="8">
        <f t="shared" si="496"/>
        <v>1200000</v>
      </c>
      <c r="P445" s="8">
        <f t="shared" si="496"/>
        <v>1811940</v>
      </c>
      <c r="Q445" s="8">
        <f t="shared" si="496"/>
        <v>0</v>
      </c>
      <c r="R445" s="8"/>
      <c r="S445" s="8"/>
      <c r="T445" s="8"/>
      <c r="U445" s="8">
        <f>U66+U321</f>
        <v>1811940</v>
      </c>
      <c r="V445" s="92"/>
    </row>
    <row r="446" spans="2:23" ht="12" hidden="1" customHeight="1" x14ac:dyDescent="0.25">
      <c r="E446" s="72"/>
      <c r="F446" s="159" t="s">
        <v>3</v>
      </c>
      <c r="G446" s="71"/>
      <c r="H446" s="71"/>
      <c r="I446" s="72"/>
      <c r="J446" s="8">
        <f t="shared" ref="J446:Q446" si="497">J73</f>
        <v>428902</v>
      </c>
      <c r="K446" s="8">
        <f t="shared" si="497"/>
        <v>0</v>
      </c>
      <c r="L446" s="8">
        <f t="shared" si="497"/>
        <v>428902</v>
      </c>
      <c r="M446" s="8">
        <f t="shared" si="497"/>
        <v>-39699</v>
      </c>
      <c r="N446" s="8">
        <f t="shared" si="497"/>
        <v>389203</v>
      </c>
      <c r="O446" s="8">
        <f t="shared" si="497"/>
        <v>0</v>
      </c>
      <c r="P446" s="8">
        <f t="shared" si="497"/>
        <v>389203</v>
      </c>
      <c r="Q446" s="8">
        <f t="shared" si="497"/>
        <v>0</v>
      </c>
      <c r="R446" s="8"/>
      <c r="S446" s="8"/>
      <c r="T446" s="8"/>
      <c r="U446" s="8">
        <f>U73</f>
        <v>389203</v>
      </c>
      <c r="V446" s="92"/>
    </row>
    <row r="447" spans="2:23" ht="12" hidden="1" customHeight="1" x14ac:dyDescent="0.25">
      <c r="E447" s="72"/>
      <c r="F447" s="159" t="s">
        <v>6</v>
      </c>
      <c r="G447" s="71"/>
      <c r="H447" s="71"/>
      <c r="I447" s="72"/>
      <c r="J447" s="8">
        <f t="shared" ref="J447:Q447" si="498">J80</f>
        <v>1332400</v>
      </c>
      <c r="K447" s="8">
        <f t="shared" si="498"/>
        <v>10900</v>
      </c>
      <c r="L447" s="8">
        <f t="shared" si="498"/>
        <v>1343300</v>
      </c>
      <c r="M447" s="8">
        <f t="shared" si="498"/>
        <v>0</v>
      </c>
      <c r="N447" s="8">
        <f t="shared" si="498"/>
        <v>1343300</v>
      </c>
      <c r="O447" s="8">
        <f t="shared" si="498"/>
        <v>0</v>
      </c>
      <c r="P447" s="8">
        <f t="shared" si="498"/>
        <v>1343300</v>
      </c>
      <c r="Q447" s="8">
        <f t="shared" si="498"/>
        <v>0</v>
      </c>
      <c r="R447" s="8"/>
      <c r="S447" s="8"/>
      <c r="T447" s="8"/>
      <c r="U447" s="8">
        <f>U80</f>
        <v>1343300</v>
      </c>
      <c r="V447" s="92"/>
    </row>
    <row r="448" spans="2:23" ht="12" hidden="1" customHeight="1" x14ac:dyDescent="0.25">
      <c r="E448" s="72"/>
      <c r="F448" s="159" t="s">
        <v>63</v>
      </c>
      <c r="G448" s="71"/>
      <c r="H448" s="71"/>
      <c r="I448" s="72"/>
      <c r="J448" s="8">
        <f t="shared" ref="J448:Q448" si="499">J113</f>
        <v>75885</v>
      </c>
      <c r="K448" s="8">
        <f t="shared" si="499"/>
        <v>0</v>
      </c>
      <c r="L448" s="8">
        <f t="shared" si="499"/>
        <v>75885</v>
      </c>
      <c r="M448" s="8">
        <f t="shared" si="499"/>
        <v>-12145</v>
      </c>
      <c r="N448" s="8">
        <f t="shared" si="499"/>
        <v>63740</v>
      </c>
      <c r="O448" s="8">
        <f t="shared" si="499"/>
        <v>0</v>
      </c>
      <c r="P448" s="8">
        <f t="shared" si="499"/>
        <v>63740</v>
      </c>
      <c r="Q448" s="8">
        <f t="shared" si="499"/>
        <v>0</v>
      </c>
      <c r="R448" s="8"/>
      <c r="S448" s="8"/>
      <c r="T448" s="8"/>
      <c r="U448" s="8">
        <f>U113</f>
        <v>63740</v>
      </c>
      <c r="V448" s="92"/>
    </row>
    <row r="449" spans="2:22" ht="12" hidden="1" customHeight="1" x14ac:dyDescent="0.25">
      <c r="E449" s="72"/>
      <c r="F449" s="159" t="s">
        <v>36</v>
      </c>
      <c r="G449" s="71"/>
      <c r="H449" s="71"/>
      <c r="I449" s="72"/>
      <c r="J449" s="8">
        <f t="shared" ref="J449:Q449" si="500">J137+J212</f>
        <v>180000</v>
      </c>
      <c r="K449" s="8">
        <f t="shared" si="500"/>
        <v>15000</v>
      </c>
      <c r="L449" s="8">
        <f t="shared" si="500"/>
        <v>195000</v>
      </c>
      <c r="M449" s="8">
        <f t="shared" si="500"/>
        <v>0</v>
      </c>
      <c r="N449" s="8">
        <f t="shared" si="500"/>
        <v>195000</v>
      </c>
      <c r="O449" s="8">
        <f t="shared" si="500"/>
        <v>0</v>
      </c>
      <c r="P449" s="8">
        <f t="shared" si="500"/>
        <v>195000</v>
      </c>
      <c r="Q449" s="8">
        <f t="shared" si="500"/>
        <v>0</v>
      </c>
      <c r="R449" s="8"/>
      <c r="S449" s="8"/>
      <c r="T449" s="8"/>
      <c r="U449" s="8">
        <f>U137+U212</f>
        <v>195000</v>
      </c>
      <c r="V449" s="92"/>
    </row>
    <row r="450" spans="2:22" ht="12" hidden="1" customHeight="1" x14ac:dyDescent="0.25">
      <c r="E450" s="72"/>
      <c r="F450" s="159" t="s">
        <v>83</v>
      </c>
      <c r="G450" s="71"/>
      <c r="H450" s="71"/>
      <c r="I450" s="72"/>
      <c r="J450" s="8">
        <f t="shared" ref="J450:Q450" si="501">J147+J340</f>
        <v>200</v>
      </c>
      <c r="K450" s="8">
        <f t="shared" si="501"/>
        <v>0</v>
      </c>
      <c r="L450" s="8">
        <f t="shared" si="501"/>
        <v>200</v>
      </c>
      <c r="M450" s="8">
        <f t="shared" si="501"/>
        <v>0</v>
      </c>
      <c r="N450" s="8">
        <f t="shared" si="501"/>
        <v>200</v>
      </c>
      <c r="O450" s="8">
        <f t="shared" si="501"/>
        <v>0</v>
      </c>
      <c r="P450" s="8">
        <f t="shared" si="501"/>
        <v>200</v>
      </c>
      <c r="Q450" s="8">
        <f t="shared" si="501"/>
        <v>969400</v>
      </c>
      <c r="R450" s="8"/>
      <c r="S450" s="8"/>
      <c r="T450" s="8"/>
      <c r="U450" s="8">
        <f>U147+U340</f>
        <v>969600</v>
      </c>
      <c r="V450" s="92"/>
    </row>
    <row r="451" spans="2:22" ht="12" hidden="1" customHeight="1" x14ac:dyDescent="0.25">
      <c r="E451" s="72"/>
      <c r="F451" s="159" t="s">
        <v>0</v>
      </c>
      <c r="G451" s="71"/>
      <c r="H451" s="71"/>
      <c r="I451" s="72"/>
      <c r="J451" s="8">
        <f t="shared" ref="J451:Q451" si="502">J178+J278</f>
        <v>12167360</v>
      </c>
      <c r="K451" s="8">
        <f t="shared" si="502"/>
        <v>0</v>
      </c>
      <c r="L451" s="8">
        <f t="shared" si="502"/>
        <v>12167360</v>
      </c>
      <c r="M451" s="8">
        <f t="shared" si="502"/>
        <v>57314</v>
      </c>
      <c r="N451" s="8">
        <f t="shared" si="502"/>
        <v>12224674</v>
      </c>
      <c r="O451" s="8">
        <f t="shared" si="502"/>
        <v>0</v>
      </c>
      <c r="P451" s="8">
        <f t="shared" si="502"/>
        <v>12224674</v>
      </c>
      <c r="Q451" s="8">
        <f t="shared" si="502"/>
        <v>425100</v>
      </c>
      <c r="R451" s="8"/>
      <c r="S451" s="8"/>
      <c r="T451" s="8"/>
      <c r="U451" s="8">
        <f>U178+U278</f>
        <v>12649774</v>
      </c>
      <c r="V451" s="92"/>
    </row>
    <row r="452" spans="2:22" ht="12" hidden="1" customHeight="1" x14ac:dyDescent="0.25">
      <c r="E452" s="72"/>
      <c r="F452" s="159" t="s">
        <v>38</v>
      </c>
      <c r="G452" s="72"/>
      <c r="H452" s="71"/>
      <c r="I452" s="72"/>
      <c r="J452" s="8">
        <f t="shared" ref="J452:Q452" si="503">J203</f>
        <v>582660</v>
      </c>
      <c r="K452" s="8">
        <f t="shared" si="503"/>
        <v>0</v>
      </c>
      <c r="L452" s="8">
        <f t="shared" si="503"/>
        <v>582660</v>
      </c>
      <c r="M452" s="8">
        <f t="shared" si="503"/>
        <v>0</v>
      </c>
      <c r="N452" s="8">
        <f t="shared" si="503"/>
        <v>582660</v>
      </c>
      <c r="O452" s="8">
        <f t="shared" si="503"/>
        <v>0</v>
      </c>
      <c r="P452" s="8">
        <f t="shared" si="503"/>
        <v>582660</v>
      </c>
      <c r="Q452" s="8">
        <f t="shared" si="503"/>
        <v>0</v>
      </c>
      <c r="R452" s="8"/>
      <c r="S452" s="8"/>
      <c r="T452" s="8"/>
      <c r="U452" s="8">
        <f>U203</f>
        <v>582660</v>
      </c>
      <c r="V452" s="92"/>
    </row>
    <row r="453" spans="2:22" ht="12" hidden="1" customHeight="1" x14ac:dyDescent="0.25">
      <c r="E453" s="72"/>
      <c r="F453" s="159" t="s">
        <v>151</v>
      </c>
      <c r="G453" s="71"/>
      <c r="H453" s="71"/>
      <c r="I453" s="72"/>
      <c r="J453" s="8">
        <f t="shared" ref="J453:P453" si="504">J349</f>
        <v>0</v>
      </c>
      <c r="K453" s="8">
        <f t="shared" si="504"/>
        <v>0</v>
      </c>
      <c r="L453" s="8">
        <f t="shared" si="504"/>
        <v>0</v>
      </c>
      <c r="M453" s="8">
        <f t="shared" si="504"/>
        <v>0</v>
      </c>
      <c r="N453" s="8">
        <f t="shared" si="504"/>
        <v>0</v>
      </c>
      <c r="O453" s="8">
        <f t="shared" si="504"/>
        <v>0</v>
      </c>
      <c r="P453" s="8">
        <f t="shared" si="504"/>
        <v>0</v>
      </c>
      <c r="Q453" s="8">
        <f t="shared" ref="Q453:U453" si="505">Q349</f>
        <v>2478000</v>
      </c>
      <c r="R453" s="8"/>
      <c r="S453" s="8"/>
      <c r="T453" s="8"/>
      <c r="U453" s="8">
        <f t="shared" si="505"/>
        <v>2478000</v>
      </c>
      <c r="V453" s="92"/>
    </row>
    <row r="454" spans="2:22" ht="12" hidden="1" customHeight="1" x14ac:dyDescent="0.25">
      <c r="E454" s="72"/>
      <c r="F454" s="159"/>
      <c r="G454" s="71"/>
      <c r="H454" s="71"/>
      <c r="I454" s="72"/>
      <c r="J454" s="8" t="e">
        <f t="shared" ref="J454:P454" si="506">SUM(J417:J453)</f>
        <v>#REF!</v>
      </c>
      <c r="K454" s="8" t="e">
        <f t="shared" si="506"/>
        <v>#REF!</v>
      </c>
      <c r="L454" s="8" t="e">
        <f t="shared" si="506"/>
        <v>#REF!</v>
      </c>
      <c r="M454" s="8" t="e">
        <f t="shared" si="506"/>
        <v>#REF!</v>
      </c>
      <c r="N454" s="8" t="e">
        <f t="shared" si="506"/>
        <v>#REF!</v>
      </c>
      <c r="O454" s="8" t="e">
        <f t="shared" si="506"/>
        <v>#REF!</v>
      </c>
      <c r="P454" s="8" t="e">
        <f t="shared" si="506"/>
        <v>#REF!</v>
      </c>
      <c r="Q454" s="8" t="e">
        <f t="shared" ref="Q454:U454" si="507">SUM(Q417:Q453)</f>
        <v>#REF!</v>
      </c>
      <c r="R454" s="8"/>
      <c r="S454" s="8"/>
      <c r="T454" s="8"/>
      <c r="U454" s="8" t="e">
        <f t="shared" si="507"/>
        <v>#REF!</v>
      </c>
      <c r="V454" s="92"/>
    </row>
    <row r="455" spans="2:22" ht="12" hidden="1" customHeight="1" x14ac:dyDescent="0.25">
      <c r="E455" s="72"/>
      <c r="F455" s="71"/>
      <c r="G455" s="71"/>
      <c r="H455" s="71"/>
      <c r="I455" s="72"/>
      <c r="V455" s="92"/>
    </row>
    <row r="456" spans="2:22" ht="12" hidden="1" customHeight="1" x14ac:dyDescent="0.25">
      <c r="E456" s="72"/>
      <c r="F456" s="71"/>
      <c r="G456" s="71"/>
      <c r="H456" s="71"/>
      <c r="I456" s="72"/>
      <c r="J456" s="8" t="e">
        <f t="shared" ref="J456:P456" si="508">J454-J395</f>
        <v>#REF!</v>
      </c>
      <c r="K456" s="8" t="e">
        <f t="shared" si="508"/>
        <v>#REF!</v>
      </c>
      <c r="L456" s="8" t="e">
        <f t="shared" si="508"/>
        <v>#REF!</v>
      </c>
      <c r="M456" s="8" t="e">
        <f t="shared" si="508"/>
        <v>#REF!</v>
      </c>
      <c r="N456" s="8" t="e">
        <f t="shared" si="508"/>
        <v>#REF!</v>
      </c>
      <c r="O456" s="8" t="e">
        <f t="shared" si="508"/>
        <v>#REF!</v>
      </c>
      <c r="P456" s="8" t="e">
        <f t="shared" si="508"/>
        <v>#REF!</v>
      </c>
      <c r="Q456" s="8" t="e">
        <f t="shared" ref="Q456:U456" si="509">Q454-Q395</f>
        <v>#REF!</v>
      </c>
      <c r="R456" s="8"/>
      <c r="S456" s="8"/>
      <c r="T456" s="8"/>
      <c r="U456" s="8" t="e">
        <f t="shared" si="509"/>
        <v>#REF!</v>
      </c>
      <c r="V456" s="92"/>
    </row>
    <row r="457" spans="2:22" ht="12" hidden="1" customHeight="1" x14ac:dyDescent="0.25">
      <c r="E457" s="72"/>
      <c r="F457" s="71"/>
      <c r="G457" s="71"/>
      <c r="H457" s="71"/>
      <c r="I457" s="72"/>
      <c r="V457" s="92"/>
    </row>
    <row r="458" spans="2:22" ht="12" hidden="1" customHeight="1" x14ac:dyDescent="0.25">
      <c r="B458" s="5" t="s">
        <v>481</v>
      </c>
      <c r="E458" s="72"/>
      <c r="F458" s="71"/>
      <c r="G458" s="71"/>
      <c r="H458" s="71"/>
      <c r="I458" s="72"/>
      <c r="V458" s="92"/>
    </row>
    <row r="459" spans="2:22" ht="12" hidden="1" customHeight="1" x14ac:dyDescent="0.25">
      <c r="E459" s="72"/>
      <c r="F459" s="159" t="s">
        <v>17</v>
      </c>
      <c r="G459" s="71"/>
      <c r="H459" s="71"/>
      <c r="I459" s="72"/>
      <c r="J459" s="8" t="e">
        <f>#REF!</f>
        <v>#REF!</v>
      </c>
      <c r="K459" s="8" t="e">
        <f>#REF!</f>
        <v>#REF!</v>
      </c>
      <c r="L459" s="8" t="e">
        <f>#REF!</f>
        <v>#REF!</v>
      </c>
      <c r="M459" s="8" t="e">
        <f>#REF!</f>
        <v>#REF!</v>
      </c>
      <c r="N459" s="8" t="e">
        <f>#REF!</f>
        <v>#REF!</v>
      </c>
      <c r="O459" s="8" t="e">
        <f>#REF!</f>
        <v>#REF!</v>
      </c>
      <c r="P459" s="8" t="e">
        <f>#REF!</f>
        <v>#REF!</v>
      </c>
      <c r="Q459" s="8" t="e">
        <f>#REF!</f>
        <v>#REF!</v>
      </c>
      <c r="R459" s="8"/>
      <c r="S459" s="8"/>
      <c r="T459" s="8"/>
      <c r="U459" s="8" t="e">
        <f>#REF!</f>
        <v>#REF!</v>
      </c>
      <c r="V459" s="92"/>
    </row>
    <row r="460" spans="2:22" ht="12" hidden="1" customHeight="1" x14ac:dyDescent="0.25">
      <c r="E460" s="71"/>
      <c r="F460" s="159" t="s">
        <v>72</v>
      </c>
      <c r="G460" s="71"/>
      <c r="H460" s="72"/>
      <c r="I460" s="72"/>
      <c r="J460" s="8" t="e">
        <f>#REF!</f>
        <v>#REF!</v>
      </c>
      <c r="K460" s="8" t="e">
        <f>#REF!</f>
        <v>#REF!</v>
      </c>
      <c r="L460" s="8" t="e">
        <f>#REF!</f>
        <v>#REF!</v>
      </c>
      <c r="M460" s="8" t="e">
        <f>#REF!</f>
        <v>#REF!</v>
      </c>
      <c r="N460" s="8" t="e">
        <f>#REF!</f>
        <v>#REF!</v>
      </c>
      <c r="O460" s="8" t="e">
        <f>#REF!</f>
        <v>#REF!</v>
      </c>
      <c r="P460" s="8" t="e">
        <f>#REF!</f>
        <v>#REF!</v>
      </c>
      <c r="Q460" s="8" t="e">
        <f>#REF!</f>
        <v>#REF!</v>
      </c>
      <c r="R460" s="8"/>
      <c r="S460" s="8"/>
      <c r="T460" s="8"/>
      <c r="U460" s="8" t="e">
        <f>#REF!</f>
        <v>#REF!</v>
      </c>
      <c r="V460" s="92"/>
    </row>
    <row r="461" spans="2:22" ht="12" hidden="1" customHeight="1" x14ac:dyDescent="0.25">
      <c r="E461" s="72"/>
      <c r="F461" s="159" t="s">
        <v>3</v>
      </c>
      <c r="G461" s="71"/>
      <c r="H461" s="72"/>
      <c r="I461" s="72"/>
      <c r="J461" s="8" t="e">
        <f>#REF!</f>
        <v>#REF!</v>
      </c>
      <c r="K461" s="8" t="e">
        <f>#REF!</f>
        <v>#REF!</v>
      </c>
      <c r="L461" s="8" t="e">
        <f>#REF!</f>
        <v>#REF!</v>
      </c>
      <c r="M461" s="8" t="e">
        <f>#REF!</f>
        <v>#REF!</v>
      </c>
      <c r="N461" s="8" t="e">
        <f>#REF!</f>
        <v>#REF!</v>
      </c>
      <c r="O461" s="8" t="e">
        <f>#REF!</f>
        <v>#REF!</v>
      </c>
      <c r="P461" s="8" t="e">
        <f>#REF!</f>
        <v>#REF!</v>
      </c>
      <c r="Q461" s="8" t="e">
        <f>#REF!</f>
        <v>#REF!</v>
      </c>
      <c r="R461" s="8"/>
      <c r="S461" s="8"/>
      <c r="T461" s="8"/>
      <c r="U461" s="8" t="e">
        <f>#REF!</f>
        <v>#REF!</v>
      </c>
      <c r="V461" s="92"/>
    </row>
    <row r="462" spans="2:22" ht="12" hidden="1" customHeight="1" x14ac:dyDescent="0.25">
      <c r="E462" s="72"/>
      <c r="F462" s="159" t="s">
        <v>6</v>
      </c>
      <c r="G462" s="71"/>
      <c r="H462" s="72"/>
      <c r="I462" s="72"/>
      <c r="J462" s="8" t="e">
        <f>#REF!</f>
        <v>#REF!</v>
      </c>
      <c r="K462" s="8" t="e">
        <f>#REF!</f>
        <v>#REF!</v>
      </c>
      <c r="L462" s="8" t="e">
        <f>#REF!</f>
        <v>#REF!</v>
      </c>
      <c r="M462" s="8" t="e">
        <f>#REF!</f>
        <v>#REF!</v>
      </c>
      <c r="N462" s="8" t="e">
        <f>#REF!</f>
        <v>#REF!</v>
      </c>
      <c r="O462" s="8" t="e">
        <f>#REF!</f>
        <v>#REF!</v>
      </c>
      <c r="P462" s="8" t="e">
        <f>#REF!</f>
        <v>#REF!</v>
      </c>
      <c r="Q462" s="8" t="e">
        <f>#REF!</f>
        <v>#REF!</v>
      </c>
      <c r="R462" s="8"/>
      <c r="S462" s="8"/>
      <c r="T462" s="8"/>
      <c r="U462" s="8" t="e">
        <f>#REF!</f>
        <v>#REF!</v>
      </c>
      <c r="V462" s="92"/>
    </row>
    <row r="463" spans="2:22" ht="12" hidden="1" customHeight="1" x14ac:dyDescent="0.25">
      <c r="E463" s="5"/>
      <c r="F463" s="159" t="s">
        <v>63</v>
      </c>
      <c r="J463" s="8" t="e">
        <f>#REF!</f>
        <v>#REF!</v>
      </c>
      <c r="K463" s="8" t="e">
        <f>#REF!</f>
        <v>#REF!</v>
      </c>
      <c r="L463" s="8" t="e">
        <f>#REF!</f>
        <v>#REF!</v>
      </c>
      <c r="M463" s="8" t="e">
        <f>#REF!</f>
        <v>#REF!</v>
      </c>
      <c r="N463" s="8" t="e">
        <f>#REF!</f>
        <v>#REF!</v>
      </c>
      <c r="O463" s="8" t="e">
        <f>#REF!</f>
        <v>#REF!</v>
      </c>
      <c r="P463" s="8" t="e">
        <f>#REF!</f>
        <v>#REF!</v>
      </c>
      <c r="Q463" s="8" t="e">
        <f>#REF!</f>
        <v>#REF!</v>
      </c>
      <c r="R463" s="8"/>
      <c r="S463" s="8"/>
      <c r="T463" s="8"/>
      <c r="U463" s="8" t="e">
        <f>#REF!</f>
        <v>#REF!</v>
      </c>
      <c r="V463" s="92"/>
    </row>
    <row r="464" spans="2:22" ht="12" hidden="1" customHeight="1" x14ac:dyDescent="0.25">
      <c r="E464" s="5"/>
      <c r="F464" s="159" t="s">
        <v>36</v>
      </c>
      <c r="G464" s="5"/>
      <c r="J464" s="8" t="e">
        <f>#REF!</f>
        <v>#REF!</v>
      </c>
      <c r="K464" s="8" t="e">
        <f>#REF!</f>
        <v>#REF!</v>
      </c>
      <c r="L464" s="8" t="e">
        <f>#REF!</f>
        <v>#REF!</v>
      </c>
      <c r="M464" s="8" t="e">
        <f>#REF!</f>
        <v>#REF!</v>
      </c>
      <c r="N464" s="8" t="e">
        <f>#REF!</f>
        <v>#REF!</v>
      </c>
      <c r="O464" s="8" t="e">
        <f>#REF!</f>
        <v>#REF!</v>
      </c>
      <c r="P464" s="8" t="e">
        <f>#REF!</f>
        <v>#REF!</v>
      </c>
      <c r="Q464" s="8" t="e">
        <f>#REF!</f>
        <v>#REF!</v>
      </c>
      <c r="R464" s="8"/>
      <c r="S464" s="8"/>
      <c r="T464" s="8"/>
      <c r="U464" s="8" t="e">
        <f>#REF!</f>
        <v>#REF!</v>
      </c>
      <c r="V464" s="92"/>
    </row>
    <row r="465" spans="2:22" ht="12" hidden="1" customHeight="1" x14ac:dyDescent="0.25">
      <c r="E465" s="5"/>
      <c r="F465" s="159" t="s">
        <v>83</v>
      </c>
      <c r="G465" s="5"/>
      <c r="J465" s="8" t="e">
        <f>#REF!</f>
        <v>#REF!</v>
      </c>
      <c r="K465" s="8" t="e">
        <f>#REF!</f>
        <v>#REF!</v>
      </c>
      <c r="L465" s="8" t="e">
        <f>#REF!</f>
        <v>#REF!</v>
      </c>
      <c r="M465" s="8" t="e">
        <f>#REF!</f>
        <v>#REF!</v>
      </c>
      <c r="N465" s="8" t="e">
        <f>#REF!</f>
        <v>#REF!</v>
      </c>
      <c r="O465" s="8" t="e">
        <f>#REF!</f>
        <v>#REF!</v>
      </c>
      <c r="P465" s="8" t="e">
        <f>#REF!</f>
        <v>#REF!</v>
      </c>
      <c r="Q465" s="8" t="e">
        <f>#REF!</f>
        <v>#REF!</v>
      </c>
      <c r="R465" s="8"/>
      <c r="S465" s="8"/>
      <c r="T465" s="8"/>
      <c r="U465" s="8" t="e">
        <f>#REF!</f>
        <v>#REF!</v>
      </c>
      <c r="V465" s="92"/>
    </row>
    <row r="466" spans="2:22" ht="12" hidden="1" customHeight="1" x14ac:dyDescent="0.25">
      <c r="E466" s="5"/>
      <c r="F466" s="159" t="s">
        <v>0</v>
      </c>
      <c r="G466" s="5"/>
      <c r="J466" s="8" t="e">
        <f>#REF!</f>
        <v>#REF!</v>
      </c>
      <c r="K466" s="8" t="e">
        <f>#REF!</f>
        <v>#REF!</v>
      </c>
      <c r="L466" s="8" t="e">
        <f>#REF!</f>
        <v>#REF!</v>
      </c>
      <c r="M466" s="8" t="e">
        <f>#REF!</f>
        <v>#REF!</v>
      </c>
      <c r="N466" s="8" t="e">
        <f>#REF!</f>
        <v>#REF!</v>
      </c>
      <c r="O466" s="8" t="e">
        <f>#REF!</f>
        <v>#REF!</v>
      </c>
      <c r="P466" s="8" t="e">
        <f>#REF!</f>
        <v>#REF!</v>
      </c>
      <c r="Q466" s="8" t="e">
        <f>#REF!</f>
        <v>#REF!</v>
      </c>
      <c r="R466" s="8"/>
      <c r="S466" s="8"/>
      <c r="T466" s="8"/>
      <c r="U466" s="8" t="e">
        <f>#REF!</f>
        <v>#REF!</v>
      </c>
      <c r="V466" s="92"/>
    </row>
    <row r="467" spans="2:22" ht="12" hidden="1" customHeight="1" x14ac:dyDescent="0.25">
      <c r="E467" s="5"/>
      <c r="F467" s="159" t="s">
        <v>38</v>
      </c>
      <c r="G467" s="5"/>
      <c r="J467" s="8" t="e">
        <f>#REF!</f>
        <v>#REF!</v>
      </c>
      <c r="K467" s="8" t="e">
        <f>#REF!</f>
        <v>#REF!</v>
      </c>
      <c r="L467" s="8" t="e">
        <f>#REF!</f>
        <v>#REF!</v>
      </c>
      <c r="M467" s="8" t="e">
        <f>#REF!</f>
        <v>#REF!</v>
      </c>
      <c r="N467" s="8" t="e">
        <f>#REF!</f>
        <v>#REF!</v>
      </c>
      <c r="O467" s="8" t="e">
        <f>#REF!</f>
        <v>#REF!</v>
      </c>
      <c r="P467" s="8" t="e">
        <f>#REF!</f>
        <v>#REF!</v>
      </c>
      <c r="Q467" s="8" t="e">
        <f>#REF!</f>
        <v>#REF!</v>
      </c>
      <c r="R467" s="8"/>
      <c r="S467" s="8"/>
      <c r="T467" s="8"/>
      <c r="U467" s="8" t="e">
        <f>#REF!</f>
        <v>#REF!</v>
      </c>
      <c r="V467" s="92"/>
    </row>
    <row r="468" spans="2:22" ht="12" hidden="1" customHeight="1" x14ac:dyDescent="0.25">
      <c r="E468" s="5"/>
      <c r="F468" s="159" t="s">
        <v>151</v>
      </c>
      <c r="G468" s="5"/>
      <c r="J468" s="8" t="e">
        <f>#REF!</f>
        <v>#REF!</v>
      </c>
      <c r="K468" s="8" t="e">
        <f>#REF!</f>
        <v>#REF!</v>
      </c>
      <c r="L468" s="8" t="e">
        <f>#REF!</f>
        <v>#REF!</v>
      </c>
      <c r="M468" s="8" t="e">
        <f>#REF!</f>
        <v>#REF!</v>
      </c>
      <c r="N468" s="8" t="e">
        <f>#REF!</f>
        <v>#REF!</v>
      </c>
      <c r="O468" s="8" t="e">
        <f>#REF!</f>
        <v>#REF!</v>
      </c>
      <c r="P468" s="8" t="e">
        <f>#REF!</f>
        <v>#REF!</v>
      </c>
      <c r="Q468" s="8" t="e">
        <f>#REF!</f>
        <v>#REF!</v>
      </c>
      <c r="R468" s="8"/>
      <c r="S468" s="8"/>
      <c r="T468" s="8"/>
      <c r="U468" s="8" t="e">
        <f>#REF!</f>
        <v>#REF!</v>
      </c>
      <c r="V468" s="92"/>
    </row>
    <row r="469" spans="2:22" ht="12" hidden="1" customHeight="1" x14ac:dyDescent="0.25">
      <c r="V469" s="92"/>
    </row>
    <row r="470" spans="2:22" ht="12" hidden="1" customHeight="1" x14ac:dyDescent="0.25">
      <c r="E470" s="5"/>
      <c r="F470" s="5"/>
      <c r="G470" s="5"/>
      <c r="V470" s="92"/>
    </row>
    <row r="471" spans="2:22" ht="12" hidden="1" customHeight="1" x14ac:dyDescent="0.25">
      <c r="B471" s="5" t="s">
        <v>482</v>
      </c>
      <c r="E471" s="5"/>
      <c r="F471" s="159" t="s">
        <v>17</v>
      </c>
      <c r="G471" s="5"/>
      <c r="J471" s="8" t="e">
        <f t="shared" ref="J471:P471" si="510">J444-J459</f>
        <v>#REF!</v>
      </c>
      <c r="K471" s="8" t="e">
        <f t="shared" si="510"/>
        <v>#REF!</v>
      </c>
      <c r="L471" s="8" t="e">
        <f t="shared" si="510"/>
        <v>#REF!</v>
      </c>
      <c r="M471" s="8" t="e">
        <f t="shared" si="510"/>
        <v>#REF!</v>
      </c>
      <c r="N471" s="8" t="e">
        <f t="shared" si="510"/>
        <v>#REF!</v>
      </c>
      <c r="O471" s="8" t="e">
        <f t="shared" si="510"/>
        <v>#REF!</v>
      </c>
      <c r="P471" s="8" t="e">
        <f t="shared" si="510"/>
        <v>#REF!</v>
      </c>
      <c r="Q471" s="8" t="e">
        <f t="shared" ref="Q471:U471" si="511">Q444-Q459</f>
        <v>#REF!</v>
      </c>
      <c r="R471" s="8"/>
      <c r="S471" s="8"/>
      <c r="T471" s="8"/>
      <c r="U471" s="8" t="e">
        <f t="shared" si="511"/>
        <v>#REF!</v>
      </c>
      <c r="V471" s="92"/>
    </row>
    <row r="472" spans="2:22" ht="12" hidden="1" customHeight="1" x14ac:dyDescent="0.25">
      <c r="E472" s="5"/>
      <c r="F472" s="159" t="s">
        <v>72</v>
      </c>
      <c r="G472" s="5"/>
      <c r="J472" s="8" t="e">
        <f t="shared" ref="J472:K480" si="512">J445-J460</f>
        <v>#REF!</v>
      </c>
      <c r="K472" s="8" t="e">
        <f t="shared" si="512"/>
        <v>#REF!</v>
      </c>
      <c r="L472" s="8" t="e">
        <f t="shared" ref="L472:M472" si="513">L445-L460</f>
        <v>#REF!</v>
      </c>
      <c r="M472" s="8" t="e">
        <f t="shared" si="513"/>
        <v>#REF!</v>
      </c>
      <c r="N472" s="8" t="e">
        <f t="shared" ref="N472:O472" si="514">N445-N460</f>
        <v>#REF!</v>
      </c>
      <c r="O472" s="8" t="e">
        <f t="shared" si="514"/>
        <v>#REF!</v>
      </c>
      <c r="P472" s="8" t="e">
        <f t="shared" ref="P472:Q472" si="515">P445-P460</f>
        <v>#REF!</v>
      </c>
      <c r="Q472" s="8" t="e">
        <f t="shared" si="515"/>
        <v>#REF!</v>
      </c>
      <c r="R472" s="8"/>
      <c r="S472" s="8"/>
      <c r="T472" s="8"/>
      <c r="U472" s="8" t="e">
        <f t="shared" ref="U472" si="516">U445-U460</f>
        <v>#REF!</v>
      </c>
      <c r="V472" s="92"/>
    </row>
    <row r="473" spans="2:22" ht="12" hidden="1" customHeight="1" x14ac:dyDescent="0.25">
      <c r="F473" s="159" t="s">
        <v>3</v>
      </c>
      <c r="J473" s="8" t="e">
        <f t="shared" si="512"/>
        <v>#REF!</v>
      </c>
      <c r="K473" s="8" t="e">
        <f t="shared" si="512"/>
        <v>#REF!</v>
      </c>
      <c r="L473" s="8" t="e">
        <f t="shared" ref="L473:M473" si="517">L446-L461</f>
        <v>#REF!</v>
      </c>
      <c r="M473" s="8" t="e">
        <f t="shared" si="517"/>
        <v>#REF!</v>
      </c>
      <c r="N473" s="8" t="e">
        <f t="shared" ref="N473:O473" si="518">N446-N461</f>
        <v>#REF!</v>
      </c>
      <c r="O473" s="8" t="e">
        <f t="shared" si="518"/>
        <v>#REF!</v>
      </c>
      <c r="P473" s="8" t="e">
        <f t="shared" ref="P473:Q473" si="519">P446-P461</f>
        <v>#REF!</v>
      </c>
      <c r="Q473" s="8" t="e">
        <f t="shared" si="519"/>
        <v>#REF!</v>
      </c>
      <c r="R473" s="8"/>
      <c r="S473" s="8"/>
      <c r="T473" s="8"/>
      <c r="U473" s="8" t="e">
        <f t="shared" ref="U473" si="520">U446-U461</f>
        <v>#REF!</v>
      </c>
      <c r="V473" s="92"/>
    </row>
    <row r="474" spans="2:22" ht="12" hidden="1" customHeight="1" x14ac:dyDescent="0.25">
      <c r="F474" s="159" t="s">
        <v>6</v>
      </c>
      <c r="J474" s="8" t="e">
        <f t="shared" si="512"/>
        <v>#REF!</v>
      </c>
      <c r="K474" s="8" t="e">
        <f t="shared" si="512"/>
        <v>#REF!</v>
      </c>
      <c r="L474" s="8" t="e">
        <f t="shared" ref="L474:M474" si="521">L447-L462</f>
        <v>#REF!</v>
      </c>
      <c r="M474" s="8" t="e">
        <f t="shared" si="521"/>
        <v>#REF!</v>
      </c>
      <c r="N474" s="8" t="e">
        <f t="shared" ref="N474:O474" si="522">N447-N462</f>
        <v>#REF!</v>
      </c>
      <c r="O474" s="8" t="e">
        <f t="shared" si="522"/>
        <v>#REF!</v>
      </c>
      <c r="P474" s="8" t="e">
        <f t="shared" ref="P474:Q474" si="523">P447-P462</f>
        <v>#REF!</v>
      </c>
      <c r="Q474" s="8" t="e">
        <f t="shared" si="523"/>
        <v>#REF!</v>
      </c>
      <c r="R474" s="8"/>
      <c r="S474" s="8"/>
      <c r="T474" s="8"/>
      <c r="U474" s="8" t="e">
        <f t="shared" ref="U474" si="524">U447-U462</f>
        <v>#REF!</v>
      </c>
      <c r="V474" s="92"/>
    </row>
    <row r="475" spans="2:22" ht="12" hidden="1" customHeight="1" x14ac:dyDescent="0.25">
      <c r="F475" s="159" t="s">
        <v>63</v>
      </c>
      <c r="J475" s="8" t="e">
        <f t="shared" si="512"/>
        <v>#REF!</v>
      </c>
      <c r="K475" s="8" t="e">
        <f t="shared" si="512"/>
        <v>#REF!</v>
      </c>
      <c r="L475" s="8" t="e">
        <f t="shared" ref="L475:M475" si="525">L448-L463</f>
        <v>#REF!</v>
      </c>
      <c r="M475" s="8" t="e">
        <f t="shared" si="525"/>
        <v>#REF!</v>
      </c>
      <c r="N475" s="8" t="e">
        <f t="shared" ref="N475:O475" si="526">N448-N463</f>
        <v>#REF!</v>
      </c>
      <c r="O475" s="8" t="e">
        <f t="shared" si="526"/>
        <v>#REF!</v>
      </c>
      <c r="P475" s="8" t="e">
        <f t="shared" ref="P475:Q475" si="527">P448-P463</f>
        <v>#REF!</v>
      </c>
      <c r="Q475" s="8" t="e">
        <f t="shared" si="527"/>
        <v>#REF!</v>
      </c>
      <c r="R475" s="8"/>
      <c r="S475" s="8"/>
      <c r="T475" s="8"/>
      <c r="U475" s="8" t="e">
        <f t="shared" ref="U475" si="528">U448-U463</f>
        <v>#REF!</v>
      </c>
      <c r="V475" s="92"/>
    </row>
    <row r="476" spans="2:22" ht="12" hidden="1" customHeight="1" x14ac:dyDescent="0.25">
      <c r="F476" s="159" t="s">
        <v>36</v>
      </c>
      <c r="J476" s="8" t="e">
        <f t="shared" si="512"/>
        <v>#REF!</v>
      </c>
      <c r="K476" s="8" t="e">
        <f t="shared" si="512"/>
        <v>#REF!</v>
      </c>
      <c r="L476" s="8" t="e">
        <f t="shared" ref="L476:M476" si="529">L449-L464</f>
        <v>#REF!</v>
      </c>
      <c r="M476" s="8" t="e">
        <f t="shared" si="529"/>
        <v>#REF!</v>
      </c>
      <c r="N476" s="8" t="e">
        <f t="shared" ref="N476:O476" si="530">N449-N464</f>
        <v>#REF!</v>
      </c>
      <c r="O476" s="8" t="e">
        <f t="shared" si="530"/>
        <v>#REF!</v>
      </c>
      <c r="P476" s="8" t="e">
        <f t="shared" ref="P476:Q476" si="531">P449-P464</f>
        <v>#REF!</v>
      </c>
      <c r="Q476" s="8" t="e">
        <f t="shared" si="531"/>
        <v>#REF!</v>
      </c>
      <c r="R476" s="8"/>
      <c r="S476" s="8"/>
      <c r="T476" s="8"/>
      <c r="U476" s="8" t="e">
        <f t="shared" ref="U476" si="532">U449-U464</f>
        <v>#REF!</v>
      </c>
      <c r="V476" s="92"/>
    </row>
    <row r="477" spans="2:22" ht="12" hidden="1" customHeight="1" x14ac:dyDescent="0.25">
      <c r="F477" s="159" t="s">
        <v>83</v>
      </c>
      <c r="J477" s="8" t="e">
        <f t="shared" si="512"/>
        <v>#REF!</v>
      </c>
      <c r="K477" s="8" t="e">
        <f t="shared" si="512"/>
        <v>#REF!</v>
      </c>
      <c r="L477" s="8" t="e">
        <f t="shared" ref="L477:M477" si="533">L450-L465</f>
        <v>#REF!</v>
      </c>
      <c r="M477" s="8" t="e">
        <f t="shared" si="533"/>
        <v>#REF!</v>
      </c>
      <c r="N477" s="8" t="e">
        <f t="shared" ref="N477:O477" si="534">N450-N465</f>
        <v>#REF!</v>
      </c>
      <c r="O477" s="8" t="e">
        <f t="shared" si="534"/>
        <v>#REF!</v>
      </c>
      <c r="P477" s="8" t="e">
        <f t="shared" ref="P477:Q477" si="535">P450-P465</f>
        <v>#REF!</v>
      </c>
      <c r="Q477" s="8" t="e">
        <f t="shared" si="535"/>
        <v>#REF!</v>
      </c>
      <c r="R477" s="8"/>
      <c r="S477" s="8"/>
      <c r="T477" s="8"/>
      <c r="U477" s="8" t="e">
        <f t="shared" ref="U477" si="536">U450-U465</f>
        <v>#REF!</v>
      </c>
      <c r="V477" s="92"/>
    </row>
    <row r="478" spans="2:22" ht="12" hidden="1" customHeight="1" x14ac:dyDescent="0.25">
      <c r="F478" s="159" t="s">
        <v>0</v>
      </c>
      <c r="J478" s="8" t="e">
        <f t="shared" si="512"/>
        <v>#REF!</v>
      </c>
      <c r="K478" s="8" t="e">
        <f t="shared" si="512"/>
        <v>#REF!</v>
      </c>
      <c r="L478" s="8" t="e">
        <f t="shared" ref="L478:M478" si="537">L451-L466</f>
        <v>#REF!</v>
      </c>
      <c r="M478" s="8" t="e">
        <f t="shared" si="537"/>
        <v>#REF!</v>
      </c>
      <c r="N478" s="8" t="e">
        <f t="shared" ref="N478:O478" si="538">N451-N466</f>
        <v>#REF!</v>
      </c>
      <c r="O478" s="8" t="e">
        <f t="shared" si="538"/>
        <v>#REF!</v>
      </c>
      <c r="P478" s="8" t="e">
        <f t="shared" ref="P478:Q478" si="539">P451-P466</f>
        <v>#REF!</v>
      </c>
      <c r="Q478" s="8" t="e">
        <f t="shared" si="539"/>
        <v>#REF!</v>
      </c>
      <c r="R478" s="8"/>
      <c r="S478" s="8"/>
      <c r="T478" s="8"/>
      <c r="U478" s="8" t="e">
        <f t="shared" ref="U478" si="540">U451-U466</f>
        <v>#REF!</v>
      </c>
      <c r="V478" s="92"/>
    </row>
    <row r="479" spans="2:22" ht="12" hidden="1" customHeight="1" x14ac:dyDescent="0.25">
      <c r="F479" s="159" t="s">
        <v>38</v>
      </c>
      <c r="J479" s="8" t="e">
        <f t="shared" si="512"/>
        <v>#REF!</v>
      </c>
      <c r="K479" s="8" t="e">
        <f t="shared" si="512"/>
        <v>#REF!</v>
      </c>
      <c r="L479" s="8" t="e">
        <f t="shared" ref="L479:M479" si="541">L452-L467</f>
        <v>#REF!</v>
      </c>
      <c r="M479" s="8" t="e">
        <f t="shared" si="541"/>
        <v>#REF!</v>
      </c>
      <c r="N479" s="8" t="e">
        <f t="shared" ref="N479:O479" si="542">N452-N467</f>
        <v>#REF!</v>
      </c>
      <c r="O479" s="8" t="e">
        <f t="shared" si="542"/>
        <v>#REF!</v>
      </c>
      <c r="P479" s="8" t="e">
        <f t="shared" ref="P479:Q479" si="543">P452-P467</f>
        <v>#REF!</v>
      </c>
      <c r="Q479" s="8" t="e">
        <f t="shared" si="543"/>
        <v>#REF!</v>
      </c>
      <c r="R479" s="8"/>
      <c r="S479" s="8"/>
      <c r="T479" s="8"/>
      <c r="U479" s="8" t="e">
        <f t="shared" ref="U479" si="544">U452-U467</f>
        <v>#REF!</v>
      </c>
      <c r="V479" s="92"/>
    </row>
    <row r="480" spans="2:22" ht="12" hidden="1" customHeight="1" x14ac:dyDescent="0.25">
      <c r="F480" s="159" t="s">
        <v>151</v>
      </c>
      <c r="J480" s="8" t="e">
        <f t="shared" si="512"/>
        <v>#REF!</v>
      </c>
      <c r="K480" s="8" t="e">
        <f t="shared" si="512"/>
        <v>#REF!</v>
      </c>
      <c r="L480" s="8" t="e">
        <f t="shared" ref="L480:M480" si="545">L453-L468</f>
        <v>#REF!</v>
      </c>
      <c r="M480" s="8" t="e">
        <f t="shared" si="545"/>
        <v>#REF!</v>
      </c>
      <c r="N480" s="8" t="e">
        <f t="shared" ref="N480:O480" si="546">N453-N468</f>
        <v>#REF!</v>
      </c>
      <c r="O480" s="8" t="e">
        <f t="shared" si="546"/>
        <v>#REF!</v>
      </c>
      <c r="P480" s="8" t="e">
        <f t="shared" ref="P480:Q480" si="547">P453-P468</f>
        <v>#REF!</v>
      </c>
      <c r="Q480" s="8" t="e">
        <f t="shared" si="547"/>
        <v>#REF!</v>
      </c>
      <c r="R480" s="8"/>
      <c r="S480" s="8"/>
      <c r="T480" s="8"/>
      <c r="U480" s="8" t="e">
        <f t="shared" ref="U480" si="548">U453-U468</f>
        <v>#REF!</v>
      </c>
      <c r="V480" s="92"/>
    </row>
    <row r="481" spans="2:23" ht="12" hidden="1" customHeight="1" x14ac:dyDescent="0.25">
      <c r="B481" s="63">
        <v>851</v>
      </c>
      <c r="V481" s="92"/>
    </row>
    <row r="482" spans="2:23" ht="12" hidden="1" customHeight="1" x14ac:dyDescent="0.25">
      <c r="B482" s="5" t="s">
        <v>514</v>
      </c>
      <c r="V482" s="92"/>
    </row>
    <row r="483" spans="2:23" ht="12" hidden="1" customHeight="1" x14ac:dyDescent="0.25">
      <c r="V483" s="92"/>
    </row>
    <row r="484" spans="2:23" ht="12" hidden="1" customHeight="1" x14ac:dyDescent="0.25">
      <c r="V484" s="92"/>
    </row>
    <row r="485" spans="2:23" ht="12" hidden="1" customHeight="1" x14ac:dyDescent="0.25">
      <c r="V485" s="92"/>
    </row>
    <row r="486" spans="2:23" ht="12" hidden="1" customHeight="1" x14ac:dyDescent="0.25">
      <c r="V486" s="92"/>
    </row>
    <row r="487" spans="2:23" ht="12" hidden="1" customHeight="1" x14ac:dyDescent="0.25">
      <c r="V487" s="92"/>
    </row>
    <row r="488" spans="2:23" ht="12" hidden="1" customHeight="1" x14ac:dyDescent="0.25">
      <c r="V488" s="92"/>
    </row>
    <row r="489" spans="2:23" ht="12" hidden="1" customHeight="1" x14ac:dyDescent="0.25">
      <c r="V489" s="92"/>
    </row>
    <row r="490" spans="2:23" ht="12" hidden="1" customHeight="1" x14ac:dyDescent="0.25">
      <c r="B490" s="5" t="s">
        <v>504</v>
      </c>
      <c r="J490" s="8"/>
      <c r="K490" s="8">
        <f>' Дох.15'!F127</f>
        <v>0</v>
      </c>
      <c r="L490" s="8">
        <f>' Дох.15'!G127</f>
        <v>0</v>
      </c>
      <c r="M490" s="8">
        <f>' Дох.15'!H127</f>
        <v>0</v>
      </c>
      <c r="N490" s="8">
        <f>' Дох.15'!I127</f>
        <v>0</v>
      </c>
      <c r="O490" s="8">
        <f>' Дох.15'!J127</f>
        <v>0</v>
      </c>
      <c r="P490" s="8">
        <f>' Дох.15'!K127</f>
        <v>0</v>
      </c>
      <c r="Q490" s="8">
        <f>' Дох.15'!L127</f>
        <v>0</v>
      </c>
      <c r="R490" s="8"/>
      <c r="S490" s="8"/>
      <c r="T490" s="8"/>
      <c r="U490" s="8">
        <f>' Дох.15'!M127</f>
        <v>0</v>
      </c>
      <c r="V490" s="92"/>
    </row>
    <row r="491" spans="2:23" ht="12" hidden="1" customHeight="1" x14ac:dyDescent="0.25">
      <c r="M491" s="8">
        <f>' Дох.15'!H69-' Дох.15'!H71</f>
        <v>0</v>
      </c>
      <c r="O491" s="8"/>
      <c r="Q491" s="8"/>
      <c r="R491" s="8"/>
      <c r="S491" s="8"/>
      <c r="T491" s="8"/>
      <c r="V491" s="92"/>
      <c r="W491" s="8"/>
    </row>
    <row r="492" spans="2:23" ht="12" hidden="1" customHeight="1" x14ac:dyDescent="0.25">
      <c r="B492" s="5" t="s">
        <v>583</v>
      </c>
      <c r="K492" s="8">
        <f>' Дох.15'!F76+' Дох.15'!F91</f>
        <v>4802500</v>
      </c>
      <c r="M492" s="8">
        <f>' Дох.15'!H76+' Дох.15'!H91+200000</f>
        <v>1008050</v>
      </c>
      <c r="O492" s="8">
        <f>' Дох.15'!J75+' Дох.15'!J76+' Дох.15'!J91+' Дох.15'!J123</f>
        <v>-3770000</v>
      </c>
      <c r="Q492" s="8">
        <f>' Дох.15'!L69</f>
        <v>0</v>
      </c>
      <c r="R492" s="8"/>
      <c r="S492" s="8"/>
      <c r="T492" s="8"/>
      <c r="V492" s="92"/>
    </row>
    <row r="493" spans="2:23" ht="12" hidden="1" customHeight="1" x14ac:dyDescent="0.25">
      <c r="B493" s="5" t="s">
        <v>614</v>
      </c>
      <c r="K493" s="8"/>
      <c r="M493" s="8">
        <f>' Дох.15'!H118</f>
        <v>0</v>
      </c>
      <c r="O493" s="8">
        <f>' Дох.15'!J120</f>
        <v>0</v>
      </c>
      <c r="Q493" s="8">
        <f>' Дох.15'!L120</f>
        <v>0</v>
      </c>
      <c r="R493" s="8"/>
      <c r="S493" s="8"/>
      <c r="T493" s="8"/>
      <c r="V493" s="92"/>
    </row>
    <row r="494" spans="2:23" ht="12" hidden="1" customHeight="1" x14ac:dyDescent="0.25">
      <c r="B494" s="5" t="s">
        <v>584</v>
      </c>
      <c r="K494" s="8" t="e">
        <f>#REF!</f>
        <v>#REF!</v>
      </c>
      <c r="M494" s="8" t="e">
        <f>-#REF!</f>
        <v>#REF!</v>
      </c>
      <c r="O494" s="8">
        <f>O30</f>
        <v>25600</v>
      </c>
      <c r="Q494" s="8">
        <f>Q333+Q268</f>
        <v>0</v>
      </c>
      <c r="R494" s="8"/>
      <c r="S494" s="8"/>
      <c r="T494" s="8"/>
      <c r="V494" s="92"/>
    </row>
    <row r="495" spans="2:23" ht="12" hidden="1" customHeight="1" x14ac:dyDescent="0.25">
      <c r="V495" s="92"/>
    </row>
    <row r="496" spans="2:23" ht="12" hidden="1" customHeight="1" x14ac:dyDescent="0.25">
      <c r="B496" s="5" t="s">
        <v>548</v>
      </c>
      <c r="K496" s="8" t="e">
        <f>K395-K492-K494</f>
        <v>#REF!</v>
      </c>
      <c r="M496" s="8" t="e">
        <f>M492+M493+M494</f>
        <v>#REF!</v>
      </c>
      <c r="O496" s="8">
        <f>O492+O493+O494</f>
        <v>-3744400</v>
      </c>
      <c r="Q496" s="8">
        <f>Q492+Q493+Q494</f>
        <v>0</v>
      </c>
      <c r="R496" s="8"/>
      <c r="S496" s="8"/>
      <c r="T496" s="8"/>
      <c r="V496" s="92"/>
    </row>
    <row r="497" spans="5:22" ht="12" hidden="1" customHeight="1" x14ac:dyDescent="0.25">
      <c r="V497" s="92"/>
    </row>
    <row r="498" spans="5:22" ht="12" hidden="1" customHeight="1" x14ac:dyDescent="0.25">
      <c r="M498" s="8"/>
      <c r="O498" s="8"/>
      <c r="Q498" s="8"/>
      <c r="R498" s="8"/>
      <c r="S498" s="8"/>
      <c r="T498" s="8"/>
      <c r="V498" s="92"/>
    </row>
    <row r="499" spans="5:22" ht="12" hidden="1" customHeight="1" x14ac:dyDescent="0.25">
      <c r="V499" s="92"/>
    </row>
    <row r="500" spans="5:22" ht="12" hidden="1" customHeight="1" x14ac:dyDescent="0.25">
      <c r="E500" s="5"/>
      <c r="F500" s="5"/>
      <c r="G500" s="5"/>
      <c r="M500" s="8"/>
      <c r="O500" s="8"/>
      <c r="Q500" s="8">
        <f>Q395-Q490</f>
        <v>0</v>
      </c>
      <c r="R500" s="8"/>
      <c r="S500" s="8"/>
      <c r="T500" s="8"/>
      <c r="V500" s="92"/>
    </row>
    <row r="501" spans="5:22" ht="12" hidden="1" customHeight="1" x14ac:dyDescent="0.25">
      <c r="E501" s="5"/>
      <c r="F501" s="5"/>
      <c r="G501" s="5"/>
      <c r="V501" s="92"/>
    </row>
    <row r="502" spans="5:22" x14ac:dyDescent="0.25">
      <c r="E502" s="5"/>
      <c r="F502" s="5"/>
      <c r="G502" s="5"/>
      <c r="V502" s="92"/>
    </row>
    <row r="503" spans="5:22" x14ac:dyDescent="0.25">
      <c r="E503" s="5"/>
      <c r="F503" s="5"/>
      <c r="G503" s="5"/>
      <c r="V503" s="92"/>
    </row>
    <row r="504" spans="5:22" x14ac:dyDescent="0.25">
      <c r="E504" s="5"/>
      <c r="F504" s="5"/>
      <c r="G504" s="5"/>
      <c r="V504" s="92"/>
    </row>
    <row r="505" spans="5:22" x14ac:dyDescent="0.25">
      <c r="E505" s="5"/>
      <c r="F505" s="5"/>
      <c r="G505" s="5"/>
      <c r="V505" s="92"/>
    </row>
    <row r="506" spans="5:22" x14ac:dyDescent="0.25">
      <c r="V506" s="92"/>
    </row>
    <row r="507" spans="5:22" x14ac:dyDescent="0.25">
      <c r="E507" s="5"/>
      <c r="F507" s="5"/>
      <c r="G507" s="5"/>
      <c r="V507" s="92"/>
    </row>
    <row r="508" spans="5:22" x14ac:dyDescent="0.25">
      <c r="E508" s="5"/>
      <c r="F508" s="5"/>
      <c r="G508" s="5"/>
      <c r="V508" s="92"/>
    </row>
    <row r="509" spans="5:22" x14ac:dyDescent="0.25">
      <c r="E509" s="5"/>
      <c r="F509" s="5"/>
      <c r="G509" s="5"/>
    </row>
  </sheetData>
  <mergeCells count="163">
    <mergeCell ref="A407:B407"/>
    <mergeCell ref="A412:B412"/>
    <mergeCell ref="B363:C363"/>
    <mergeCell ref="A366:B366"/>
    <mergeCell ref="A369:B369"/>
    <mergeCell ref="A377:B377"/>
    <mergeCell ref="A382:B382"/>
    <mergeCell ref="A392:B392"/>
    <mergeCell ref="A393:B393"/>
    <mergeCell ref="A396:B396"/>
    <mergeCell ref="A397:B397"/>
    <mergeCell ref="A370:B370"/>
    <mergeCell ref="A353:B353"/>
    <mergeCell ref="A357:B357"/>
    <mergeCell ref="A361:B361"/>
    <mergeCell ref="A362:B362"/>
    <mergeCell ref="A342:B342"/>
    <mergeCell ref="A341:B341"/>
    <mergeCell ref="A346:B346"/>
    <mergeCell ref="A404:B404"/>
    <mergeCell ref="A405:B405"/>
    <mergeCell ref="A327:B327"/>
    <mergeCell ref="A328:B328"/>
    <mergeCell ref="A321:B321"/>
    <mergeCell ref="A315:B315"/>
    <mergeCell ref="A329:B329"/>
    <mergeCell ref="A338:B338"/>
    <mergeCell ref="A343:B343"/>
    <mergeCell ref="A348:B348"/>
    <mergeCell ref="A352:B352"/>
    <mergeCell ref="A145:B145"/>
    <mergeCell ref="A148:B148"/>
    <mergeCell ref="A149:B149"/>
    <mergeCell ref="A150:B150"/>
    <mergeCell ref="A158:B158"/>
    <mergeCell ref="A159:B159"/>
    <mergeCell ref="A166:B166"/>
    <mergeCell ref="A169:B169"/>
    <mergeCell ref="A182:B182"/>
    <mergeCell ref="A179:B179"/>
    <mergeCell ref="A100:B100"/>
    <mergeCell ref="A103:B103"/>
    <mergeCell ref="A106:B106"/>
    <mergeCell ref="A93:B93"/>
    <mergeCell ref="A96:B96"/>
    <mergeCell ref="A118:B118"/>
    <mergeCell ref="A121:B121"/>
    <mergeCell ref="A125:B125"/>
    <mergeCell ref="A126:B126"/>
    <mergeCell ref="A44:B44"/>
    <mergeCell ref="A47:B47"/>
    <mergeCell ref="A39:B39"/>
    <mergeCell ref="A30:B30"/>
    <mergeCell ref="A31:B31"/>
    <mergeCell ref="A26:B26"/>
    <mergeCell ref="A27:B27"/>
    <mergeCell ref="A34:B34"/>
    <mergeCell ref="A23:B23"/>
    <mergeCell ref="A224:B224"/>
    <mergeCell ref="F3:I3"/>
    <mergeCell ref="A73:B73"/>
    <mergeCell ref="A80:B80"/>
    <mergeCell ref="A110:B110"/>
    <mergeCell ref="A115:B115"/>
    <mergeCell ref="A85:B85"/>
    <mergeCell ref="A66:B66"/>
    <mergeCell ref="A53:B53"/>
    <mergeCell ref="A60:B60"/>
    <mergeCell ref="A63:B63"/>
    <mergeCell ref="A71:B71"/>
    <mergeCell ref="A72:B72"/>
    <mergeCell ref="A78:B78"/>
    <mergeCell ref="A79:B79"/>
    <mergeCell ref="A86:B86"/>
    <mergeCell ref="A87:B87"/>
    <mergeCell ref="A90:B90"/>
    <mergeCell ref="A35:B35"/>
    <mergeCell ref="A10:B10"/>
    <mergeCell ref="A11:B11"/>
    <mergeCell ref="A14:B14"/>
    <mergeCell ref="A38:B38"/>
    <mergeCell ref="A50:B50"/>
    <mergeCell ref="A191:B191"/>
    <mergeCell ref="A194:B194"/>
    <mergeCell ref="A201:B201"/>
    <mergeCell ref="A198:B198"/>
    <mergeCell ref="A204:B204"/>
    <mergeCell ref="A205:B205"/>
    <mergeCell ref="A214:B214"/>
    <mergeCell ref="A215:B215"/>
    <mergeCell ref="A223:B223"/>
    <mergeCell ref="A406:B406"/>
    <mergeCell ref="A109:B109"/>
    <mergeCell ref="A130:B130"/>
    <mergeCell ref="A133:B133"/>
    <mergeCell ref="A136:B136"/>
    <mergeCell ref="A139:B139"/>
    <mergeCell ref="A387:B387"/>
    <mergeCell ref="A259:B259"/>
    <mergeCell ref="A262:B262"/>
    <mergeCell ref="A371:B371"/>
    <mergeCell ref="A376:B376"/>
    <mergeCell ref="A386:B386"/>
    <mergeCell ref="A208:B208"/>
    <mergeCell ref="A337:B337"/>
    <mergeCell ref="A160:B160"/>
    <mergeCell ref="A163:B163"/>
    <mergeCell ref="A173:B173"/>
    <mergeCell ref="A176:B176"/>
    <mergeCell ref="A185:B185"/>
    <mergeCell ref="A189:B189"/>
    <mergeCell ref="A195:B195"/>
    <mergeCell ref="A142:B142"/>
    <mergeCell ref="A241:B241"/>
    <mergeCell ref="A244:B244"/>
    <mergeCell ref="A365:B365"/>
    <mergeCell ref="A390:B390"/>
    <mergeCell ref="A391:B391"/>
    <mergeCell ref="A347:B347"/>
    <mergeCell ref="A360:B360"/>
    <mergeCell ref="A256:B256"/>
    <mergeCell ref="A265:B265"/>
    <mergeCell ref="A268:B268"/>
    <mergeCell ref="A275:B275"/>
    <mergeCell ref="A278:B278"/>
    <mergeCell ref="A279:B279"/>
    <mergeCell ref="A282:B282"/>
    <mergeCell ref="A295:B295"/>
    <mergeCell ref="A299:B299"/>
    <mergeCell ref="A271:B271"/>
    <mergeCell ref="A274:B274"/>
    <mergeCell ref="A292:B292"/>
    <mergeCell ref="A300:B300"/>
    <mergeCell ref="A303:B303"/>
    <mergeCell ref="A304:B304"/>
    <mergeCell ref="A307:B307"/>
    <mergeCell ref="A312:B312"/>
    <mergeCell ref="A316:B316"/>
    <mergeCell ref="A326:B326"/>
    <mergeCell ref="A228:B228"/>
    <mergeCell ref="A231:B231"/>
    <mergeCell ref="A234:B234"/>
    <mergeCell ref="A209:B209"/>
    <mergeCell ref="A298:B298"/>
    <mergeCell ref="A216:B216"/>
    <mergeCell ref="A5:Z5"/>
    <mergeCell ref="F4:Z4"/>
    <mergeCell ref="F2:Z2"/>
    <mergeCell ref="A99:B99"/>
    <mergeCell ref="A219:B219"/>
    <mergeCell ref="A222:B222"/>
    <mergeCell ref="A225:B225"/>
    <mergeCell ref="A237:B237"/>
    <mergeCell ref="A240:B240"/>
    <mergeCell ref="A7:B7"/>
    <mergeCell ref="A8:B8"/>
    <mergeCell ref="A9:B9"/>
    <mergeCell ref="A247:B247"/>
    <mergeCell ref="A153:B153"/>
    <mergeCell ref="A250:B250"/>
    <mergeCell ref="A253:B253"/>
    <mergeCell ref="A186:B186"/>
    <mergeCell ref="A190:B190"/>
  </mergeCells>
  <pageMargins left="0.51181102362204722" right="0.31496062992125984" top="0.19685039370078741" bottom="0.19685039370078741" header="0.31496062992125984" footer="0.31496062992125984"/>
  <pageSetup paperSize="9" scale="7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99"/>
  </sheetPr>
  <dimension ref="A1:AB488"/>
  <sheetViews>
    <sheetView zoomScale="90" zoomScaleNormal="90" workbookViewId="0">
      <pane xSplit="10" ySplit="7" topLeftCell="P46" activePane="bottomRight" state="frozen"/>
      <selection activeCell="A4" sqref="A4:C4"/>
      <selection pane="topRight" activeCell="A4" sqref="A4:C4"/>
      <selection pane="bottomLeft" activeCell="A4" sqref="A4:C4"/>
      <selection pane="bottomRight" activeCell="B57" sqref="B57"/>
    </sheetView>
  </sheetViews>
  <sheetFormatPr defaultRowHeight="12" x14ac:dyDescent="0.25"/>
  <cols>
    <col min="1" max="1" width="2.140625" style="69" customWidth="1"/>
    <col min="2" max="2" width="79.140625" style="69" customWidth="1"/>
    <col min="3" max="3" width="4" style="69" hidden="1" customWidth="1"/>
    <col min="4" max="4" width="4.140625" style="69" customWidth="1"/>
    <col min="5" max="5" width="3.5703125" style="69" customWidth="1"/>
    <col min="6" max="6" width="4.5703125" style="77" customWidth="1"/>
    <col min="7" max="8" width="4" style="77" hidden="1" customWidth="1"/>
    <col min="9" max="9" width="5.5703125" style="77" customWidth="1"/>
    <col min="10" max="10" width="5.140625" style="69" customWidth="1"/>
    <col min="11" max="11" width="14.5703125" style="69" hidden="1" customWidth="1"/>
    <col min="12" max="12" width="11.85546875" style="69" hidden="1" customWidth="1"/>
    <col min="13" max="13" width="13.28515625" style="69" hidden="1" customWidth="1"/>
    <col min="14" max="14" width="11.85546875" style="69" hidden="1" customWidth="1"/>
    <col min="15" max="15" width="13.28515625" style="69" hidden="1" customWidth="1"/>
    <col min="16" max="16" width="11.85546875" style="69" hidden="1" customWidth="1"/>
    <col min="17" max="17" width="13.28515625" style="69" hidden="1" customWidth="1"/>
    <col min="18" max="18" width="17.85546875" style="69" hidden="1" customWidth="1"/>
    <col min="19" max="19" width="13.140625" style="69" hidden="1" customWidth="1"/>
    <col min="20" max="22" width="9.140625" style="69" hidden="1" customWidth="1"/>
    <col min="23" max="23" width="18.7109375" style="69" customWidth="1"/>
    <col min="24" max="24" width="13.28515625" style="69" hidden="1" customWidth="1"/>
    <col min="25" max="229" width="9.140625" style="69"/>
    <col min="230" max="230" width="1.42578125" style="69" customWidth="1"/>
    <col min="231" max="231" width="59.5703125" style="69" customWidth="1"/>
    <col min="232" max="232" width="9.140625" style="69" customWidth="1"/>
    <col min="233" max="234" width="3.85546875" style="69" customWidth="1"/>
    <col min="235" max="235" width="10.5703125" style="69" customWidth="1"/>
    <col min="236" max="236" width="3.85546875" style="69" customWidth="1"/>
    <col min="237" max="239" width="14.42578125" style="69" customWidth="1"/>
    <col min="240" max="240" width="4.140625" style="69" customWidth="1"/>
    <col min="241" max="241" width="15" style="69" customWidth="1"/>
    <col min="242" max="243" width="9.140625" style="69" customWidth="1"/>
    <col min="244" max="244" width="11.5703125" style="69" customWidth="1"/>
    <col min="245" max="245" width="18.140625" style="69" customWidth="1"/>
    <col min="246" max="246" width="13.140625" style="69" customWidth="1"/>
    <col min="247" max="247" width="12.28515625" style="69" customWidth="1"/>
    <col min="248" max="485" width="9.140625" style="69"/>
    <col min="486" max="486" width="1.42578125" style="69" customWidth="1"/>
    <col min="487" max="487" width="59.5703125" style="69" customWidth="1"/>
    <col min="488" max="488" width="9.140625" style="69" customWidth="1"/>
    <col min="489" max="490" width="3.85546875" style="69" customWidth="1"/>
    <col min="491" max="491" width="10.5703125" style="69" customWidth="1"/>
    <col min="492" max="492" width="3.85546875" style="69" customWidth="1"/>
    <col min="493" max="495" width="14.42578125" style="69" customWidth="1"/>
    <col min="496" max="496" width="4.140625" style="69" customWidth="1"/>
    <col min="497" max="497" width="15" style="69" customWidth="1"/>
    <col min="498" max="499" width="9.140625" style="69" customWidth="1"/>
    <col min="500" max="500" width="11.5703125" style="69" customWidth="1"/>
    <col min="501" max="501" width="18.140625" style="69" customWidth="1"/>
    <col min="502" max="502" width="13.140625" style="69" customWidth="1"/>
    <col min="503" max="503" width="12.28515625" style="69" customWidth="1"/>
    <col min="504" max="741" width="9.140625" style="69"/>
    <col min="742" max="742" width="1.42578125" style="69" customWidth="1"/>
    <col min="743" max="743" width="59.5703125" style="69" customWidth="1"/>
    <col min="744" max="744" width="9.140625" style="69" customWidth="1"/>
    <col min="745" max="746" width="3.85546875" style="69" customWidth="1"/>
    <col min="747" max="747" width="10.5703125" style="69" customWidth="1"/>
    <col min="748" max="748" width="3.85546875" style="69" customWidth="1"/>
    <col min="749" max="751" width="14.42578125" style="69" customWidth="1"/>
    <col min="752" max="752" width="4.140625" style="69" customWidth="1"/>
    <col min="753" max="753" width="15" style="69" customWidth="1"/>
    <col min="754" max="755" width="9.140625" style="69" customWidth="1"/>
    <col min="756" max="756" width="11.5703125" style="69" customWidth="1"/>
    <col min="757" max="757" width="18.140625" style="69" customWidth="1"/>
    <col min="758" max="758" width="13.140625" style="69" customWidth="1"/>
    <col min="759" max="759" width="12.28515625" style="69" customWidth="1"/>
    <col min="760" max="997" width="9.140625" style="69"/>
    <col min="998" max="998" width="1.42578125" style="69" customWidth="1"/>
    <col min="999" max="999" width="59.5703125" style="69" customWidth="1"/>
    <col min="1000" max="1000" width="9.140625" style="69" customWidth="1"/>
    <col min="1001" max="1002" width="3.85546875" style="69" customWidth="1"/>
    <col min="1003" max="1003" width="10.5703125" style="69" customWidth="1"/>
    <col min="1004" max="1004" width="3.85546875" style="69" customWidth="1"/>
    <col min="1005" max="1007" width="14.42578125" style="69" customWidth="1"/>
    <col min="1008" max="1008" width="4.140625" style="69" customWidth="1"/>
    <col min="1009" max="1009" width="15" style="69" customWidth="1"/>
    <col min="1010" max="1011" width="9.140625" style="69" customWidth="1"/>
    <col min="1012" max="1012" width="11.5703125" style="69" customWidth="1"/>
    <col min="1013" max="1013" width="18.140625" style="69" customWidth="1"/>
    <col min="1014" max="1014" width="13.140625" style="69" customWidth="1"/>
    <col min="1015" max="1015" width="12.28515625" style="69" customWidth="1"/>
    <col min="1016" max="1253" width="9.140625" style="69"/>
    <col min="1254" max="1254" width="1.42578125" style="69" customWidth="1"/>
    <col min="1255" max="1255" width="59.5703125" style="69" customWidth="1"/>
    <col min="1256" max="1256" width="9.140625" style="69" customWidth="1"/>
    <col min="1257" max="1258" width="3.85546875" style="69" customWidth="1"/>
    <col min="1259" max="1259" width="10.5703125" style="69" customWidth="1"/>
    <col min="1260" max="1260" width="3.85546875" style="69" customWidth="1"/>
    <col min="1261" max="1263" width="14.42578125" style="69" customWidth="1"/>
    <col min="1264" max="1264" width="4.140625" style="69" customWidth="1"/>
    <col min="1265" max="1265" width="15" style="69" customWidth="1"/>
    <col min="1266" max="1267" width="9.140625" style="69" customWidth="1"/>
    <col min="1268" max="1268" width="11.5703125" style="69" customWidth="1"/>
    <col min="1269" max="1269" width="18.140625" style="69" customWidth="1"/>
    <col min="1270" max="1270" width="13.140625" style="69" customWidth="1"/>
    <col min="1271" max="1271" width="12.28515625" style="69" customWidth="1"/>
    <col min="1272" max="1509" width="9.140625" style="69"/>
    <col min="1510" max="1510" width="1.42578125" style="69" customWidth="1"/>
    <col min="1511" max="1511" width="59.5703125" style="69" customWidth="1"/>
    <col min="1512" max="1512" width="9.140625" style="69" customWidth="1"/>
    <col min="1513" max="1514" width="3.85546875" style="69" customWidth="1"/>
    <col min="1515" max="1515" width="10.5703125" style="69" customWidth="1"/>
    <col min="1516" max="1516" width="3.85546875" style="69" customWidth="1"/>
    <col min="1517" max="1519" width="14.42578125" style="69" customWidth="1"/>
    <col min="1520" max="1520" width="4.140625" style="69" customWidth="1"/>
    <col min="1521" max="1521" width="15" style="69" customWidth="1"/>
    <col min="1522" max="1523" width="9.140625" style="69" customWidth="1"/>
    <col min="1524" max="1524" width="11.5703125" style="69" customWidth="1"/>
    <col min="1525" max="1525" width="18.140625" style="69" customWidth="1"/>
    <col min="1526" max="1526" width="13.140625" style="69" customWidth="1"/>
    <col min="1527" max="1527" width="12.28515625" style="69" customWidth="1"/>
    <col min="1528" max="1765" width="9.140625" style="69"/>
    <col min="1766" max="1766" width="1.42578125" style="69" customWidth="1"/>
    <col min="1767" max="1767" width="59.5703125" style="69" customWidth="1"/>
    <col min="1768" max="1768" width="9.140625" style="69" customWidth="1"/>
    <col min="1769" max="1770" width="3.85546875" style="69" customWidth="1"/>
    <col min="1771" max="1771" width="10.5703125" style="69" customWidth="1"/>
    <col min="1772" max="1772" width="3.85546875" style="69" customWidth="1"/>
    <col min="1773" max="1775" width="14.42578125" style="69" customWidth="1"/>
    <col min="1776" max="1776" width="4.140625" style="69" customWidth="1"/>
    <col min="1777" max="1777" width="15" style="69" customWidth="1"/>
    <col min="1778" max="1779" width="9.140625" style="69" customWidth="1"/>
    <col min="1780" max="1780" width="11.5703125" style="69" customWidth="1"/>
    <col min="1781" max="1781" width="18.140625" style="69" customWidth="1"/>
    <col min="1782" max="1782" width="13.140625" style="69" customWidth="1"/>
    <col min="1783" max="1783" width="12.28515625" style="69" customWidth="1"/>
    <col min="1784" max="2021" width="9.140625" style="69"/>
    <col min="2022" max="2022" width="1.42578125" style="69" customWidth="1"/>
    <col min="2023" max="2023" width="59.5703125" style="69" customWidth="1"/>
    <col min="2024" max="2024" width="9.140625" style="69" customWidth="1"/>
    <col min="2025" max="2026" width="3.85546875" style="69" customWidth="1"/>
    <col min="2027" max="2027" width="10.5703125" style="69" customWidth="1"/>
    <col min="2028" max="2028" width="3.85546875" style="69" customWidth="1"/>
    <col min="2029" max="2031" width="14.42578125" style="69" customWidth="1"/>
    <col min="2032" max="2032" width="4.140625" style="69" customWidth="1"/>
    <col min="2033" max="2033" width="15" style="69" customWidth="1"/>
    <col min="2034" max="2035" width="9.140625" style="69" customWidth="1"/>
    <col min="2036" max="2036" width="11.5703125" style="69" customWidth="1"/>
    <col min="2037" max="2037" width="18.140625" style="69" customWidth="1"/>
    <col min="2038" max="2038" width="13.140625" style="69" customWidth="1"/>
    <col min="2039" max="2039" width="12.28515625" style="69" customWidth="1"/>
    <col min="2040" max="2277" width="9.140625" style="69"/>
    <col min="2278" max="2278" width="1.42578125" style="69" customWidth="1"/>
    <col min="2279" max="2279" width="59.5703125" style="69" customWidth="1"/>
    <col min="2280" max="2280" width="9.140625" style="69" customWidth="1"/>
    <col min="2281" max="2282" width="3.85546875" style="69" customWidth="1"/>
    <col min="2283" max="2283" width="10.5703125" style="69" customWidth="1"/>
    <col min="2284" max="2284" width="3.85546875" style="69" customWidth="1"/>
    <col min="2285" max="2287" width="14.42578125" style="69" customWidth="1"/>
    <col min="2288" max="2288" width="4.140625" style="69" customWidth="1"/>
    <col min="2289" max="2289" width="15" style="69" customWidth="1"/>
    <col min="2290" max="2291" width="9.140625" style="69" customWidth="1"/>
    <col min="2292" max="2292" width="11.5703125" style="69" customWidth="1"/>
    <col min="2293" max="2293" width="18.140625" style="69" customWidth="1"/>
    <col min="2294" max="2294" width="13.140625" style="69" customWidth="1"/>
    <col min="2295" max="2295" width="12.28515625" style="69" customWidth="1"/>
    <col min="2296" max="2533" width="9.140625" style="69"/>
    <col min="2534" max="2534" width="1.42578125" style="69" customWidth="1"/>
    <col min="2535" max="2535" width="59.5703125" style="69" customWidth="1"/>
    <col min="2536" max="2536" width="9.140625" style="69" customWidth="1"/>
    <col min="2537" max="2538" width="3.85546875" style="69" customWidth="1"/>
    <col min="2539" max="2539" width="10.5703125" style="69" customWidth="1"/>
    <col min="2540" max="2540" width="3.85546875" style="69" customWidth="1"/>
    <col min="2541" max="2543" width="14.42578125" style="69" customWidth="1"/>
    <col min="2544" max="2544" width="4.140625" style="69" customWidth="1"/>
    <col min="2545" max="2545" width="15" style="69" customWidth="1"/>
    <col min="2546" max="2547" width="9.140625" style="69" customWidth="1"/>
    <col min="2548" max="2548" width="11.5703125" style="69" customWidth="1"/>
    <col min="2549" max="2549" width="18.140625" style="69" customWidth="1"/>
    <col min="2550" max="2550" width="13.140625" style="69" customWidth="1"/>
    <col min="2551" max="2551" width="12.28515625" style="69" customWidth="1"/>
    <col min="2552" max="2789" width="9.140625" style="69"/>
    <col min="2790" max="2790" width="1.42578125" style="69" customWidth="1"/>
    <col min="2791" max="2791" width="59.5703125" style="69" customWidth="1"/>
    <col min="2792" max="2792" width="9.140625" style="69" customWidth="1"/>
    <col min="2793" max="2794" width="3.85546875" style="69" customWidth="1"/>
    <col min="2795" max="2795" width="10.5703125" style="69" customWidth="1"/>
    <col min="2796" max="2796" width="3.85546875" style="69" customWidth="1"/>
    <col min="2797" max="2799" width="14.42578125" style="69" customWidth="1"/>
    <col min="2800" max="2800" width="4.140625" style="69" customWidth="1"/>
    <col min="2801" max="2801" width="15" style="69" customWidth="1"/>
    <col min="2802" max="2803" width="9.140625" style="69" customWidth="1"/>
    <col min="2804" max="2804" width="11.5703125" style="69" customWidth="1"/>
    <col min="2805" max="2805" width="18.140625" style="69" customWidth="1"/>
    <col min="2806" max="2806" width="13.140625" style="69" customWidth="1"/>
    <col min="2807" max="2807" width="12.28515625" style="69" customWidth="1"/>
    <col min="2808" max="3045" width="9.140625" style="69"/>
    <col min="3046" max="3046" width="1.42578125" style="69" customWidth="1"/>
    <col min="3047" max="3047" width="59.5703125" style="69" customWidth="1"/>
    <col min="3048" max="3048" width="9.140625" style="69" customWidth="1"/>
    <col min="3049" max="3050" width="3.85546875" style="69" customWidth="1"/>
    <col min="3051" max="3051" width="10.5703125" style="69" customWidth="1"/>
    <col min="3052" max="3052" width="3.85546875" style="69" customWidth="1"/>
    <col min="3053" max="3055" width="14.42578125" style="69" customWidth="1"/>
    <col min="3056" max="3056" width="4.140625" style="69" customWidth="1"/>
    <col min="3057" max="3057" width="15" style="69" customWidth="1"/>
    <col min="3058" max="3059" width="9.140625" style="69" customWidth="1"/>
    <col min="3060" max="3060" width="11.5703125" style="69" customWidth="1"/>
    <col min="3061" max="3061" width="18.140625" style="69" customWidth="1"/>
    <col min="3062" max="3062" width="13.140625" style="69" customWidth="1"/>
    <col min="3063" max="3063" width="12.28515625" style="69" customWidth="1"/>
    <col min="3064" max="3301" width="9.140625" style="69"/>
    <col min="3302" max="3302" width="1.42578125" style="69" customWidth="1"/>
    <col min="3303" max="3303" width="59.5703125" style="69" customWidth="1"/>
    <col min="3304" max="3304" width="9.140625" style="69" customWidth="1"/>
    <col min="3305" max="3306" width="3.85546875" style="69" customWidth="1"/>
    <col min="3307" max="3307" width="10.5703125" style="69" customWidth="1"/>
    <col min="3308" max="3308" width="3.85546875" style="69" customWidth="1"/>
    <col min="3309" max="3311" width="14.42578125" style="69" customWidth="1"/>
    <col min="3312" max="3312" width="4.140625" style="69" customWidth="1"/>
    <col min="3313" max="3313" width="15" style="69" customWidth="1"/>
    <col min="3314" max="3315" width="9.140625" style="69" customWidth="1"/>
    <col min="3316" max="3316" width="11.5703125" style="69" customWidth="1"/>
    <col min="3317" max="3317" width="18.140625" style="69" customWidth="1"/>
    <col min="3318" max="3318" width="13.140625" style="69" customWidth="1"/>
    <col min="3319" max="3319" width="12.28515625" style="69" customWidth="1"/>
    <col min="3320" max="3557" width="9.140625" style="69"/>
    <col min="3558" max="3558" width="1.42578125" style="69" customWidth="1"/>
    <col min="3559" max="3559" width="59.5703125" style="69" customWidth="1"/>
    <col min="3560" max="3560" width="9.140625" style="69" customWidth="1"/>
    <col min="3561" max="3562" width="3.85546875" style="69" customWidth="1"/>
    <col min="3563" max="3563" width="10.5703125" style="69" customWidth="1"/>
    <col min="3564" max="3564" width="3.85546875" style="69" customWidth="1"/>
    <col min="3565" max="3567" width="14.42578125" style="69" customWidth="1"/>
    <col min="3568" max="3568" width="4.140625" style="69" customWidth="1"/>
    <col min="3569" max="3569" width="15" style="69" customWidth="1"/>
    <col min="3570" max="3571" width="9.140625" style="69" customWidth="1"/>
    <col min="3572" max="3572" width="11.5703125" style="69" customWidth="1"/>
    <col min="3573" max="3573" width="18.140625" style="69" customWidth="1"/>
    <col min="3574" max="3574" width="13.140625" style="69" customWidth="1"/>
    <col min="3575" max="3575" width="12.28515625" style="69" customWidth="1"/>
    <col min="3576" max="3813" width="9.140625" style="69"/>
    <col min="3814" max="3814" width="1.42578125" style="69" customWidth="1"/>
    <col min="3815" max="3815" width="59.5703125" style="69" customWidth="1"/>
    <col min="3816" max="3816" width="9.140625" style="69" customWidth="1"/>
    <col min="3817" max="3818" width="3.85546875" style="69" customWidth="1"/>
    <col min="3819" max="3819" width="10.5703125" style="69" customWidth="1"/>
    <col min="3820" max="3820" width="3.85546875" style="69" customWidth="1"/>
    <col min="3821" max="3823" width="14.42578125" style="69" customWidth="1"/>
    <col min="3824" max="3824" width="4.140625" style="69" customWidth="1"/>
    <col min="3825" max="3825" width="15" style="69" customWidth="1"/>
    <col min="3826" max="3827" width="9.140625" style="69" customWidth="1"/>
    <col min="3828" max="3828" width="11.5703125" style="69" customWidth="1"/>
    <col min="3829" max="3829" width="18.140625" style="69" customWidth="1"/>
    <col min="3830" max="3830" width="13.140625" style="69" customWidth="1"/>
    <col min="3831" max="3831" width="12.28515625" style="69" customWidth="1"/>
    <col min="3832" max="4069" width="9.140625" style="69"/>
    <col min="4070" max="4070" width="1.42578125" style="69" customWidth="1"/>
    <col min="4071" max="4071" width="59.5703125" style="69" customWidth="1"/>
    <col min="4072" max="4072" width="9.140625" style="69" customWidth="1"/>
    <col min="4073" max="4074" width="3.85546875" style="69" customWidth="1"/>
    <col min="4075" max="4075" width="10.5703125" style="69" customWidth="1"/>
    <col min="4076" max="4076" width="3.85546875" style="69" customWidth="1"/>
    <col min="4077" max="4079" width="14.42578125" style="69" customWidth="1"/>
    <col min="4080" max="4080" width="4.140625" style="69" customWidth="1"/>
    <col min="4081" max="4081" width="15" style="69" customWidth="1"/>
    <col min="4082" max="4083" width="9.140625" style="69" customWidth="1"/>
    <col min="4084" max="4084" width="11.5703125" style="69" customWidth="1"/>
    <col min="4085" max="4085" width="18.140625" style="69" customWidth="1"/>
    <col min="4086" max="4086" width="13.140625" style="69" customWidth="1"/>
    <col min="4087" max="4087" width="12.28515625" style="69" customWidth="1"/>
    <col min="4088" max="4325" width="9.140625" style="69"/>
    <col min="4326" max="4326" width="1.42578125" style="69" customWidth="1"/>
    <col min="4327" max="4327" width="59.5703125" style="69" customWidth="1"/>
    <col min="4328" max="4328" width="9.140625" style="69" customWidth="1"/>
    <col min="4329" max="4330" width="3.85546875" style="69" customWidth="1"/>
    <col min="4331" max="4331" width="10.5703125" style="69" customWidth="1"/>
    <col min="4332" max="4332" width="3.85546875" style="69" customWidth="1"/>
    <col min="4333" max="4335" width="14.42578125" style="69" customWidth="1"/>
    <col min="4336" max="4336" width="4.140625" style="69" customWidth="1"/>
    <col min="4337" max="4337" width="15" style="69" customWidth="1"/>
    <col min="4338" max="4339" width="9.140625" style="69" customWidth="1"/>
    <col min="4340" max="4340" width="11.5703125" style="69" customWidth="1"/>
    <col min="4341" max="4341" width="18.140625" style="69" customWidth="1"/>
    <col min="4342" max="4342" width="13.140625" style="69" customWidth="1"/>
    <col min="4343" max="4343" width="12.28515625" style="69" customWidth="1"/>
    <col min="4344" max="4581" width="9.140625" style="69"/>
    <col min="4582" max="4582" width="1.42578125" style="69" customWidth="1"/>
    <col min="4583" max="4583" width="59.5703125" style="69" customWidth="1"/>
    <col min="4584" max="4584" width="9.140625" style="69" customWidth="1"/>
    <col min="4585" max="4586" width="3.85546875" style="69" customWidth="1"/>
    <col min="4587" max="4587" width="10.5703125" style="69" customWidth="1"/>
    <col min="4588" max="4588" width="3.85546875" style="69" customWidth="1"/>
    <col min="4589" max="4591" width="14.42578125" style="69" customWidth="1"/>
    <col min="4592" max="4592" width="4.140625" style="69" customWidth="1"/>
    <col min="4593" max="4593" width="15" style="69" customWidth="1"/>
    <col min="4594" max="4595" width="9.140625" style="69" customWidth="1"/>
    <col min="4596" max="4596" width="11.5703125" style="69" customWidth="1"/>
    <col min="4597" max="4597" width="18.140625" style="69" customWidth="1"/>
    <col min="4598" max="4598" width="13.140625" style="69" customWidth="1"/>
    <col min="4599" max="4599" width="12.28515625" style="69" customWidth="1"/>
    <col min="4600" max="4837" width="9.140625" style="69"/>
    <col min="4838" max="4838" width="1.42578125" style="69" customWidth="1"/>
    <col min="4839" max="4839" width="59.5703125" style="69" customWidth="1"/>
    <col min="4840" max="4840" width="9.140625" style="69" customWidth="1"/>
    <col min="4841" max="4842" width="3.85546875" style="69" customWidth="1"/>
    <col min="4843" max="4843" width="10.5703125" style="69" customWidth="1"/>
    <col min="4844" max="4844" width="3.85546875" style="69" customWidth="1"/>
    <col min="4845" max="4847" width="14.42578125" style="69" customWidth="1"/>
    <col min="4848" max="4848" width="4.140625" style="69" customWidth="1"/>
    <col min="4849" max="4849" width="15" style="69" customWidth="1"/>
    <col min="4850" max="4851" width="9.140625" style="69" customWidth="1"/>
    <col min="4852" max="4852" width="11.5703125" style="69" customWidth="1"/>
    <col min="4853" max="4853" width="18.140625" style="69" customWidth="1"/>
    <col min="4854" max="4854" width="13.140625" style="69" customWidth="1"/>
    <col min="4855" max="4855" width="12.28515625" style="69" customWidth="1"/>
    <col min="4856" max="5093" width="9.140625" style="69"/>
    <col min="5094" max="5094" width="1.42578125" style="69" customWidth="1"/>
    <col min="5095" max="5095" width="59.5703125" style="69" customWidth="1"/>
    <col min="5096" max="5096" width="9.140625" style="69" customWidth="1"/>
    <col min="5097" max="5098" width="3.85546875" style="69" customWidth="1"/>
    <col min="5099" max="5099" width="10.5703125" style="69" customWidth="1"/>
    <col min="5100" max="5100" width="3.85546875" style="69" customWidth="1"/>
    <col min="5101" max="5103" width="14.42578125" style="69" customWidth="1"/>
    <col min="5104" max="5104" width="4.140625" style="69" customWidth="1"/>
    <col min="5105" max="5105" width="15" style="69" customWidth="1"/>
    <col min="5106" max="5107" width="9.140625" style="69" customWidth="1"/>
    <col min="5108" max="5108" width="11.5703125" style="69" customWidth="1"/>
    <col min="5109" max="5109" width="18.140625" style="69" customWidth="1"/>
    <col min="5110" max="5110" width="13.140625" style="69" customWidth="1"/>
    <col min="5111" max="5111" width="12.28515625" style="69" customWidth="1"/>
    <col min="5112" max="5349" width="9.140625" style="69"/>
    <col min="5350" max="5350" width="1.42578125" style="69" customWidth="1"/>
    <col min="5351" max="5351" width="59.5703125" style="69" customWidth="1"/>
    <col min="5352" max="5352" width="9.140625" style="69" customWidth="1"/>
    <col min="5353" max="5354" width="3.85546875" style="69" customWidth="1"/>
    <col min="5355" max="5355" width="10.5703125" style="69" customWidth="1"/>
    <col min="5356" max="5356" width="3.85546875" style="69" customWidth="1"/>
    <col min="5357" max="5359" width="14.42578125" style="69" customWidth="1"/>
    <col min="5360" max="5360" width="4.140625" style="69" customWidth="1"/>
    <col min="5361" max="5361" width="15" style="69" customWidth="1"/>
    <col min="5362" max="5363" width="9.140625" style="69" customWidth="1"/>
    <col min="5364" max="5364" width="11.5703125" style="69" customWidth="1"/>
    <col min="5365" max="5365" width="18.140625" style="69" customWidth="1"/>
    <col min="5366" max="5366" width="13.140625" style="69" customWidth="1"/>
    <col min="5367" max="5367" width="12.28515625" style="69" customWidth="1"/>
    <col min="5368" max="5605" width="9.140625" style="69"/>
    <col min="5606" max="5606" width="1.42578125" style="69" customWidth="1"/>
    <col min="5607" max="5607" width="59.5703125" style="69" customWidth="1"/>
    <col min="5608" max="5608" width="9.140625" style="69" customWidth="1"/>
    <col min="5609" max="5610" width="3.85546875" style="69" customWidth="1"/>
    <col min="5611" max="5611" width="10.5703125" style="69" customWidth="1"/>
    <col min="5612" max="5612" width="3.85546875" style="69" customWidth="1"/>
    <col min="5613" max="5615" width="14.42578125" style="69" customWidth="1"/>
    <col min="5616" max="5616" width="4.140625" style="69" customWidth="1"/>
    <col min="5617" max="5617" width="15" style="69" customWidth="1"/>
    <col min="5618" max="5619" width="9.140625" style="69" customWidth="1"/>
    <col min="5620" max="5620" width="11.5703125" style="69" customWidth="1"/>
    <col min="5621" max="5621" width="18.140625" style="69" customWidth="1"/>
    <col min="5622" max="5622" width="13.140625" style="69" customWidth="1"/>
    <col min="5623" max="5623" width="12.28515625" style="69" customWidth="1"/>
    <col min="5624" max="5861" width="9.140625" style="69"/>
    <col min="5862" max="5862" width="1.42578125" style="69" customWidth="1"/>
    <col min="5863" max="5863" width="59.5703125" style="69" customWidth="1"/>
    <col min="5864" max="5864" width="9.140625" style="69" customWidth="1"/>
    <col min="5865" max="5866" width="3.85546875" style="69" customWidth="1"/>
    <col min="5867" max="5867" width="10.5703125" style="69" customWidth="1"/>
    <col min="5868" max="5868" width="3.85546875" style="69" customWidth="1"/>
    <col min="5869" max="5871" width="14.42578125" style="69" customWidth="1"/>
    <col min="5872" max="5872" width="4.140625" style="69" customWidth="1"/>
    <col min="5873" max="5873" width="15" style="69" customWidth="1"/>
    <col min="5874" max="5875" width="9.140625" style="69" customWidth="1"/>
    <col min="5876" max="5876" width="11.5703125" style="69" customWidth="1"/>
    <col min="5877" max="5877" width="18.140625" style="69" customWidth="1"/>
    <col min="5878" max="5878" width="13.140625" style="69" customWidth="1"/>
    <col min="5879" max="5879" width="12.28515625" style="69" customWidth="1"/>
    <col min="5880" max="6117" width="9.140625" style="69"/>
    <col min="6118" max="6118" width="1.42578125" style="69" customWidth="1"/>
    <col min="6119" max="6119" width="59.5703125" style="69" customWidth="1"/>
    <col min="6120" max="6120" width="9.140625" style="69" customWidth="1"/>
    <col min="6121" max="6122" width="3.85546875" style="69" customWidth="1"/>
    <col min="6123" max="6123" width="10.5703125" style="69" customWidth="1"/>
    <col min="6124" max="6124" width="3.85546875" style="69" customWidth="1"/>
    <col min="6125" max="6127" width="14.42578125" style="69" customWidth="1"/>
    <col min="6128" max="6128" width="4.140625" style="69" customWidth="1"/>
    <col min="6129" max="6129" width="15" style="69" customWidth="1"/>
    <col min="6130" max="6131" width="9.140625" style="69" customWidth="1"/>
    <col min="6132" max="6132" width="11.5703125" style="69" customWidth="1"/>
    <col min="6133" max="6133" width="18.140625" style="69" customWidth="1"/>
    <col min="6134" max="6134" width="13.140625" style="69" customWidth="1"/>
    <col min="6135" max="6135" width="12.28515625" style="69" customWidth="1"/>
    <col min="6136" max="6373" width="9.140625" style="69"/>
    <col min="6374" max="6374" width="1.42578125" style="69" customWidth="1"/>
    <col min="6375" max="6375" width="59.5703125" style="69" customWidth="1"/>
    <col min="6376" max="6376" width="9.140625" style="69" customWidth="1"/>
    <col min="6377" max="6378" width="3.85546875" style="69" customWidth="1"/>
    <col min="6379" max="6379" width="10.5703125" style="69" customWidth="1"/>
    <col min="6380" max="6380" width="3.85546875" style="69" customWidth="1"/>
    <col min="6381" max="6383" width="14.42578125" style="69" customWidth="1"/>
    <col min="6384" max="6384" width="4.140625" style="69" customWidth="1"/>
    <col min="6385" max="6385" width="15" style="69" customWidth="1"/>
    <col min="6386" max="6387" width="9.140625" style="69" customWidth="1"/>
    <col min="6388" max="6388" width="11.5703125" style="69" customWidth="1"/>
    <col min="6389" max="6389" width="18.140625" style="69" customWidth="1"/>
    <col min="6390" max="6390" width="13.140625" style="69" customWidth="1"/>
    <col min="6391" max="6391" width="12.28515625" style="69" customWidth="1"/>
    <col min="6392" max="6629" width="9.140625" style="69"/>
    <col min="6630" max="6630" width="1.42578125" style="69" customWidth="1"/>
    <col min="6631" max="6631" width="59.5703125" style="69" customWidth="1"/>
    <col min="6632" max="6632" width="9.140625" style="69" customWidth="1"/>
    <col min="6633" max="6634" width="3.85546875" style="69" customWidth="1"/>
    <col min="6635" max="6635" width="10.5703125" style="69" customWidth="1"/>
    <col min="6636" max="6636" width="3.85546875" style="69" customWidth="1"/>
    <col min="6637" max="6639" width="14.42578125" style="69" customWidth="1"/>
    <col min="6640" max="6640" width="4.140625" style="69" customWidth="1"/>
    <col min="6641" max="6641" width="15" style="69" customWidth="1"/>
    <col min="6642" max="6643" width="9.140625" style="69" customWidth="1"/>
    <col min="6644" max="6644" width="11.5703125" style="69" customWidth="1"/>
    <col min="6645" max="6645" width="18.140625" style="69" customWidth="1"/>
    <col min="6646" max="6646" width="13.140625" style="69" customWidth="1"/>
    <col min="6647" max="6647" width="12.28515625" style="69" customWidth="1"/>
    <col min="6648" max="6885" width="9.140625" style="69"/>
    <col min="6886" max="6886" width="1.42578125" style="69" customWidth="1"/>
    <col min="6887" max="6887" width="59.5703125" style="69" customWidth="1"/>
    <col min="6888" max="6888" width="9.140625" style="69" customWidth="1"/>
    <col min="6889" max="6890" width="3.85546875" style="69" customWidth="1"/>
    <col min="6891" max="6891" width="10.5703125" style="69" customWidth="1"/>
    <col min="6892" max="6892" width="3.85546875" style="69" customWidth="1"/>
    <col min="6893" max="6895" width="14.42578125" style="69" customWidth="1"/>
    <col min="6896" max="6896" width="4.140625" style="69" customWidth="1"/>
    <col min="6897" max="6897" width="15" style="69" customWidth="1"/>
    <col min="6898" max="6899" width="9.140625" style="69" customWidth="1"/>
    <col min="6900" max="6900" width="11.5703125" style="69" customWidth="1"/>
    <col min="6901" max="6901" width="18.140625" style="69" customWidth="1"/>
    <col min="6902" max="6902" width="13.140625" style="69" customWidth="1"/>
    <col min="6903" max="6903" width="12.28515625" style="69" customWidth="1"/>
    <col min="6904" max="7141" width="9.140625" style="69"/>
    <col min="7142" max="7142" width="1.42578125" style="69" customWidth="1"/>
    <col min="7143" max="7143" width="59.5703125" style="69" customWidth="1"/>
    <col min="7144" max="7144" width="9.140625" style="69" customWidth="1"/>
    <col min="7145" max="7146" width="3.85546875" style="69" customWidth="1"/>
    <col min="7147" max="7147" width="10.5703125" style="69" customWidth="1"/>
    <col min="7148" max="7148" width="3.85546875" style="69" customWidth="1"/>
    <col min="7149" max="7151" width="14.42578125" style="69" customWidth="1"/>
    <col min="7152" max="7152" width="4.140625" style="69" customWidth="1"/>
    <col min="7153" max="7153" width="15" style="69" customWidth="1"/>
    <col min="7154" max="7155" width="9.140625" style="69" customWidth="1"/>
    <col min="7156" max="7156" width="11.5703125" style="69" customWidth="1"/>
    <col min="7157" max="7157" width="18.140625" style="69" customWidth="1"/>
    <col min="7158" max="7158" width="13.140625" style="69" customWidth="1"/>
    <col min="7159" max="7159" width="12.28515625" style="69" customWidth="1"/>
    <col min="7160" max="7397" width="9.140625" style="69"/>
    <col min="7398" max="7398" width="1.42578125" style="69" customWidth="1"/>
    <col min="7399" max="7399" width="59.5703125" style="69" customWidth="1"/>
    <col min="7400" max="7400" width="9.140625" style="69" customWidth="1"/>
    <col min="7401" max="7402" width="3.85546875" style="69" customWidth="1"/>
    <col min="7403" max="7403" width="10.5703125" style="69" customWidth="1"/>
    <col min="7404" max="7404" width="3.85546875" style="69" customWidth="1"/>
    <col min="7405" max="7407" width="14.42578125" style="69" customWidth="1"/>
    <col min="7408" max="7408" width="4.140625" style="69" customWidth="1"/>
    <col min="7409" max="7409" width="15" style="69" customWidth="1"/>
    <col min="7410" max="7411" width="9.140625" style="69" customWidth="1"/>
    <col min="7412" max="7412" width="11.5703125" style="69" customWidth="1"/>
    <col min="7413" max="7413" width="18.140625" style="69" customWidth="1"/>
    <col min="7414" max="7414" width="13.140625" style="69" customWidth="1"/>
    <col min="7415" max="7415" width="12.28515625" style="69" customWidth="1"/>
    <col min="7416" max="7653" width="9.140625" style="69"/>
    <col min="7654" max="7654" width="1.42578125" style="69" customWidth="1"/>
    <col min="7655" max="7655" width="59.5703125" style="69" customWidth="1"/>
    <col min="7656" max="7656" width="9.140625" style="69" customWidth="1"/>
    <col min="7657" max="7658" width="3.85546875" style="69" customWidth="1"/>
    <col min="7659" max="7659" width="10.5703125" style="69" customWidth="1"/>
    <col min="7660" max="7660" width="3.85546875" style="69" customWidth="1"/>
    <col min="7661" max="7663" width="14.42578125" style="69" customWidth="1"/>
    <col min="7664" max="7664" width="4.140625" style="69" customWidth="1"/>
    <col min="7665" max="7665" width="15" style="69" customWidth="1"/>
    <col min="7666" max="7667" width="9.140625" style="69" customWidth="1"/>
    <col min="7668" max="7668" width="11.5703125" style="69" customWidth="1"/>
    <col min="7669" max="7669" width="18.140625" style="69" customWidth="1"/>
    <col min="7670" max="7670" width="13.140625" style="69" customWidth="1"/>
    <col min="7671" max="7671" width="12.28515625" style="69" customWidth="1"/>
    <col min="7672" max="7909" width="9.140625" style="69"/>
    <col min="7910" max="7910" width="1.42578125" style="69" customWidth="1"/>
    <col min="7911" max="7911" width="59.5703125" style="69" customWidth="1"/>
    <col min="7912" max="7912" width="9.140625" style="69" customWidth="1"/>
    <col min="7913" max="7914" width="3.85546875" style="69" customWidth="1"/>
    <col min="7915" max="7915" width="10.5703125" style="69" customWidth="1"/>
    <col min="7916" max="7916" width="3.85546875" style="69" customWidth="1"/>
    <col min="7917" max="7919" width="14.42578125" style="69" customWidth="1"/>
    <col min="7920" max="7920" width="4.140625" style="69" customWidth="1"/>
    <col min="7921" max="7921" width="15" style="69" customWidth="1"/>
    <col min="7922" max="7923" width="9.140625" style="69" customWidth="1"/>
    <col min="7924" max="7924" width="11.5703125" style="69" customWidth="1"/>
    <col min="7925" max="7925" width="18.140625" style="69" customWidth="1"/>
    <col min="7926" max="7926" width="13.140625" style="69" customWidth="1"/>
    <col min="7927" max="7927" width="12.28515625" style="69" customWidth="1"/>
    <col min="7928" max="8165" width="9.140625" style="69"/>
    <col min="8166" max="8166" width="1.42578125" style="69" customWidth="1"/>
    <col min="8167" max="8167" width="59.5703125" style="69" customWidth="1"/>
    <col min="8168" max="8168" width="9.140625" style="69" customWidth="1"/>
    <col min="8169" max="8170" width="3.85546875" style="69" customWidth="1"/>
    <col min="8171" max="8171" width="10.5703125" style="69" customWidth="1"/>
    <col min="8172" max="8172" width="3.85546875" style="69" customWidth="1"/>
    <col min="8173" max="8175" width="14.42578125" style="69" customWidth="1"/>
    <col min="8176" max="8176" width="4.140625" style="69" customWidth="1"/>
    <col min="8177" max="8177" width="15" style="69" customWidth="1"/>
    <col min="8178" max="8179" width="9.140625" style="69" customWidth="1"/>
    <col min="8180" max="8180" width="11.5703125" style="69" customWidth="1"/>
    <col min="8181" max="8181" width="18.140625" style="69" customWidth="1"/>
    <col min="8182" max="8182" width="13.140625" style="69" customWidth="1"/>
    <col min="8183" max="8183" width="12.28515625" style="69" customWidth="1"/>
    <col min="8184" max="8421" width="9.140625" style="69"/>
    <col min="8422" max="8422" width="1.42578125" style="69" customWidth="1"/>
    <col min="8423" max="8423" width="59.5703125" style="69" customWidth="1"/>
    <col min="8424" max="8424" width="9.140625" style="69" customWidth="1"/>
    <col min="8425" max="8426" width="3.85546875" style="69" customWidth="1"/>
    <col min="8427" max="8427" width="10.5703125" style="69" customWidth="1"/>
    <col min="8428" max="8428" width="3.85546875" style="69" customWidth="1"/>
    <col min="8429" max="8431" width="14.42578125" style="69" customWidth="1"/>
    <col min="8432" max="8432" width="4.140625" style="69" customWidth="1"/>
    <col min="8433" max="8433" width="15" style="69" customWidth="1"/>
    <col min="8434" max="8435" width="9.140625" style="69" customWidth="1"/>
    <col min="8436" max="8436" width="11.5703125" style="69" customWidth="1"/>
    <col min="8437" max="8437" width="18.140625" style="69" customWidth="1"/>
    <col min="8438" max="8438" width="13.140625" style="69" customWidth="1"/>
    <col min="8439" max="8439" width="12.28515625" style="69" customWidth="1"/>
    <col min="8440" max="8677" width="9.140625" style="69"/>
    <col min="8678" max="8678" width="1.42578125" style="69" customWidth="1"/>
    <col min="8679" max="8679" width="59.5703125" style="69" customWidth="1"/>
    <col min="8680" max="8680" width="9.140625" style="69" customWidth="1"/>
    <col min="8681" max="8682" width="3.85546875" style="69" customWidth="1"/>
    <col min="8683" max="8683" width="10.5703125" style="69" customWidth="1"/>
    <col min="8684" max="8684" width="3.85546875" style="69" customWidth="1"/>
    <col min="8685" max="8687" width="14.42578125" style="69" customWidth="1"/>
    <col min="8688" max="8688" width="4.140625" style="69" customWidth="1"/>
    <col min="8689" max="8689" width="15" style="69" customWidth="1"/>
    <col min="8690" max="8691" width="9.140625" style="69" customWidth="1"/>
    <col min="8692" max="8692" width="11.5703125" style="69" customWidth="1"/>
    <col min="8693" max="8693" width="18.140625" style="69" customWidth="1"/>
    <col min="8694" max="8694" width="13.140625" style="69" customWidth="1"/>
    <col min="8695" max="8695" width="12.28515625" style="69" customWidth="1"/>
    <col min="8696" max="8933" width="9.140625" style="69"/>
    <col min="8934" max="8934" width="1.42578125" style="69" customWidth="1"/>
    <col min="8935" max="8935" width="59.5703125" style="69" customWidth="1"/>
    <col min="8936" max="8936" width="9.140625" style="69" customWidth="1"/>
    <col min="8937" max="8938" width="3.85546875" style="69" customWidth="1"/>
    <col min="8939" max="8939" width="10.5703125" style="69" customWidth="1"/>
    <col min="8940" max="8940" width="3.85546875" style="69" customWidth="1"/>
    <col min="8941" max="8943" width="14.42578125" style="69" customWidth="1"/>
    <col min="8944" max="8944" width="4.140625" style="69" customWidth="1"/>
    <col min="8945" max="8945" width="15" style="69" customWidth="1"/>
    <col min="8946" max="8947" width="9.140625" style="69" customWidth="1"/>
    <col min="8948" max="8948" width="11.5703125" style="69" customWidth="1"/>
    <col min="8949" max="8949" width="18.140625" style="69" customWidth="1"/>
    <col min="8950" max="8950" width="13.140625" style="69" customWidth="1"/>
    <col min="8951" max="8951" width="12.28515625" style="69" customWidth="1"/>
    <col min="8952" max="9189" width="9.140625" style="69"/>
    <col min="9190" max="9190" width="1.42578125" style="69" customWidth="1"/>
    <col min="9191" max="9191" width="59.5703125" style="69" customWidth="1"/>
    <col min="9192" max="9192" width="9.140625" style="69" customWidth="1"/>
    <col min="9193" max="9194" width="3.85546875" style="69" customWidth="1"/>
    <col min="9195" max="9195" width="10.5703125" style="69" customWidth="1"/>
    <col min="9196" max="9196" width="3.85546875" style="69" customWidth="1"/>
    <col min="9197" max="9199" width="14.42578125" style="69" customWidth="1"/>
    <col min="9200" max="9200" width="4.140625" style="69" customWidth="1"/>
    <col min="9201" max="9201" width="15" style="69" customWidth="1"/>
    <col min="9202" max="9203" width="9.140625" style="69" customWidth="1"/>
    <col min="9204" max="9204" width="11.5703125" style="69" customWidth="1"/>
    <col min="9205" max="9205" width="18.140625" style="69" customWidth="1"/>
    <col min="9206" max="9206" width="13.140625" style="69" customWidth="1"/>
    <col min="9207" max="9207" width="12.28515625" style="69" customWidth="1"/>
    <col min="9208" max="9445" width="9.140625" style="69"/>
    <col min="9446" max="9446" width="1.42578125" style="69" customWidth="1"/>
    <col min="9447" max="9447" width="59.5703125" style="69" customWidth="1"/>
    <col min="9448" max="9448" width="9.140625" style="69" customWidth="1"/>
    <col min="9449" max="9450" width="3.85546875" style="69" customWidth="1"/>
    <col min="9451" max="9451" width="10.5703125" style="69" customWidth="1"/>
    <col min="9452" max="9452" width="3.85546875" style="69" customWidth="1"/>
    <col min="9453" max="9455" width="14.42578125" style="69" customWidth="1"/>
    <col min="9456" max="9456" width="4.140625" style="69" customWidth="1"/>
    <col min="9457" max="9457" width="15" style="69" customWidth="1"/>
    <col min="9458" max="9459" width="9.140625" style="69" customWidth="1"/>
    <col min="9460" max="9460" width="11.5703125" style="69" customWidth="1"/>
    <col min="9461" max="9461" width="18.140625" style="69" customWidth="1"/>
    <col min="9462" max="9462" width="13.140625" style="69" customWidth="1"/>
    <col min="9463" max="9463" width="12.28515625" style="69" customWidth="1"/>
    <col min="9464" max="9701" width="9.140625" style="69"/>
    <col min="9702" max="9702" width="1.42578125" style="69" customWidth="1"/>
    <col min="9703" max="9703" width="59.5703125" style="69" customWidth="1"/>
    <col min="9704" max="9704" width="9.140625" style="69" customWidth="1"/>
    <col min="9705" max="9706" width="3.85546875" style="69" customWidth="1"/>
    <col min="9707" max="9707" width="10.5703125" style="69" customWidth="1"/>
    <col min="9708" max="9708" width="3.85546875" style="69" customWidth="1"/>
    <col min="9709" max="9711" width="14.42578125" style="69" customWidth="1"/>
    <col min="9712" max="9712" width="4.140625" style="69" customWidth="1"/>
    <col min="9713" max="9713" width="15" style="69" customWidth="1"/>
    <col min="9714" max="9715" width="9.140625" style="69" customWidth="1"/>
    <col min="9716" max="9716" width="11.5703125" style="69" customWidth="1"/>
    <col min="9717" max="9717" width="18.140625" style="69" customWidth="1"/>
    <col min="9718" max="9718" width="13.140625" style="69" customWidth="1"/>
    <col min="9719" max="9719" width="12.28515625" style="69" customWidth="1"/>
    <col min="9720" max="9957" width="9.140625" style="69"/>
    <col min="9958" max="9958" width="1.42578125" style="69" customWidth="1"/>
    <col min="9959" max="9959" width="59.5703125" style="69" customWidth="1"/>
    <col min="9960" max="9960" width="9.140625" style="69" customWidth="1"/>
    <col min="9961" max="9962" width="3.85546875" style="69" customWidth="1"/>
    <col min="9963" max="9963" width="10.5703125" style="69" customWidth="1"/>
    <col min="9964" max="9964" width="3.85546875" style="69" customWidth="1"/>
    <col min="9965" max="9967" width="14.42578125" style="69" customWidth="1"/>
    <col min="9968" max="9968" width="4.140625" style="69" customWidth="1"/>
    <col min="9969" max="9969" width="15" style="69" customWidth="1"/>
    <col min="9970" max="9971" width="9.140625" style="69" customWidth="1"/>
    <col min="9972" max="9972" width="11.5703125" style="69" customWidth="1"/>
    <col min="9973" max="9973" width="18.140625" style="69" customWidth="1"/>
    <col min="9974" max="9974" width="13.140625" style="69" customWidth="1"/>
    <col min="9975" max="9975" width="12.28515625" style="69" customWidth="1"/>
    <col min="9976" max="10213" width="9.140625" style="69"/>
    <col min="10214" max="10214" width="1.42578125" style="69" customWidth="1"/>
    <col min="10215" max="10215" width="59.5703125" style="69" customWidth="1"/>
    <col min="10216" max="10216" width="9.140625" style="69" customWidth="1"/>
    <col min="10217" max="10218" width="3.85546875" style="69" customWidth="1"/>
    <col min="10219" max="10219" width="10.5703125" style="69" customWidth="1"/>
    <col min="10220" max="10220" width="3.85546875" style="69" customWidth="1"/>
    <col min="10221" max="10223" width="14.42578125" style="69" customWidth="1"/>
    <col min="10224" max="10224" width="4.140625" style="69" customWidth="1"/>
    <col min="10225" max="10225" width="15" style="69" customWidth="1"/>
    <col min="10226" max="10227" width="9.140625" style="69" customWidth="1"/>
    <col min="10228" max="10228" width="11.5703125" style="69" customWidth="1"/>
    <col min="10229" max="10229" width="18.140625" style="69" customWidth="1"/>
    <col min="10230" max="10230" width="13.140625" style="69" customWidth="1"/>
    <col min="10231" max="10231" width="12.28515625" style="69" customWidth="1"/>
    <col min="10232" max="10469" width="9.140625" style="69"/>
    <col min="10470" max="10470" width="1.42578125" style="69" customWidth="1"/>
    <col min="10471" max="10471" width="59.5703125" style="69" customWidth="1"/>
    <col min="10472" max="10472" width="9.140625" style="69" customWidth="1"/>
    <col min="10473" max="10474" width="3.85546875" style="69" customWidth="1"/>
    <col min="10475" max="10475" width="10.5703125" style="69" customWidth="1"/>
    <col min="10476" max="10476" width="3.85546875" style="69" customWidth="1"/>
    <col min="10477" max="10479" width="14.42578125" style="69" customWidth="1"/>
    <col min="10480" max="10480" width="4.140625" style="69" customWidth="1"/>
    <col min="10481" max="10481" width="15" style="69" customWidth="1"/>
    <col min="10482" max="10483" width="9.140625" style="69" customWidth="1"/>
    <col min="10484" max="10484" width="11.5703125" style="69" customWidth="1"/>
    <col min="10485" max="10485" width="18.140625" style="69" customWidth="1"/>
    <col min="10486" max="10486" width="13.140625" style="69" customWidth="1"/>
    <col min="10487" max="10487" width="12.28515625" style="69" customWidth="1"/>
    <col min="10488" max="10725" width="9.140625" style="69"/>
    <col min="10726" max="10726" width="1.42578125" style="69" customWidth="1"/>
    <col min="10727" max="10727" width="59.5703125" style="69" customWidth="1"/>
    <col min="10728" max="10728" width="9.140625" style="69" customWidth="1"/>
    <col min="10729" max="10730" width="3.85546875" style="69" customWidth="1"/>
    <col min="10731" max="10731" width="10.5703125" style="69" customWidth="1"/>
    <col min="10732" max="10732" width="3.85546875" style="69" customWidth="1"/>
    <col min="10733" max="10735" width="14.42578125" style="69" customWidth="1"/>
    <col min="10736" max="10736" width="4.140625" style="69" customWidth="1"/>
    <col min="10737" max="10737" width="15" style="69" customWidth="1"/>
    <col min="10738" max="10739" width="9.140625" style="69" customWidth="1"/>
    <col min="10740" max="10740" width="11.5703125" style="69" customWidth="1"/>
    <col min="10741" max="10741" width="18.140625" style="69" customWidth="1"/>
    <col min="10742" max="10742" width="13.140625" style="69" customWidth="1"/>
    <col min="10743" max="10743" width="12.28515625" style="69" customWidth="1"/>
    <col min="10744" max="10981" width="9.140625" style="69"/>
    <col min="10982" max="10982" width="1.42578125" style="69" customWidth="1"/>
    <col min="10983" max="10983" width="59.5703125" style="69" customWidth="1"/>
    <col min="10984" max="10984" width="9.140625" style="69" customWidth="1"/>
    <col min="10985" max="10986" width="3.85546875" style="69" customWidth="1"/>
    <col min="10987" max="10987" width="10.5703125" style="69" customWidth="1"/>
    <col min="10988" max="10988" width="3.85546875" style="69" customWidth="1"/>
    <col min="10989" max="10991" width="14.42578125" style="69" customWidth="1"/>
    <col min="10992" max="10992" width="4.140625" style="69" customWidth="1"/>
    <col min="10993" max="10993" width="15" style="69" customWidth="1"/>
    <col min="10994" max="10995" width="9.140625" style="69" customWidth="1"/>
    <col min="10996" max="10996" width="11.5703125" style="69" customWidth="1"/>
    <col min="10997" max="10997" width="18.140625" style="69" customWidth="1"/>
    <col min="10998" max="10998" width="13.140625" style="69" customWidth="1"/>
    <col min="10999" max="10999" width="12.28515625" style="69" customWidth="1"/>
    <col min="11000" max="11237" width="9.140625" style="69"/>
    <col min="11238" max="11238" width="1.42578125" style="69" customWidth="1"/>
    <col min="11239" max="11239" width="59.5703125" style="69" customWidth="1"/>
    <col min="11240" max="11240" width="9.140625" style="69" customWidth="1"/>
    <col min="11241" max="11242" width="3.85546875" style="69" customWidth="1"/>
    <col min="11243" max="11243" width="10.5703125" style="69" customWidth="1"/>
    <col min="11244" max="11244" width="3.85546875" style="69" customWidth="1"/>
    <col min="11245" max="11247" width="14.42578125" style="69" customWidth="1"/>
    <col min="11248" max="11248" width="4.140625" style="69" customWidth="1"/>
    <col min="11249" max="11249" width="15" style="69" customWidth="1"/>
    <col min="11250" max="11251" width="9.140625" style="69" customWidth="1"/>
    <col min="11252" max="11252" width="11.5703125" style="69" customWidth="1"/>
    <col min="11253" max="11253" width="18.140625" style="69" customWidth="1"/>
    <col min="11254" max="11254" width="13.140625" style="69" customWidth="1"/>
    <col min="11255" max="11255" width="12.28515625" style="69" customWidth="1"/>
    <col min="11256" max="11493" width="9.140625" style="69"/>
    <col min="11494" max="11494" width="1.42578125" style="69" customWidth="1"/>
    <col min="11495" max="11495" width="59.5703125" style="69" customWidth="1"/>
    <col min="11496" max="11496" width="9.140625" style="69" customWidth="1"/>
    <col min="11497" max="11498" width="3.85546875" style="69" customWidth="1"/>
    <col min="11499" max="11499" width="10.5703125" style="69" customWidth="1"/>
    <col min="11500" max="11500" width="3.85546875" style="69" customWidth="1"/>
    <col min="11501" max="11503" width="14.42578125" style="69" customWidth="1"/>
    <col min="11504" max="11504" width="4.140625" style="69" customWidth="1"/>
    <col min="11505" max="11505" width="15" style="69" customWidth="1"/>
    <col min="11506" max="11507" width="9.140625" style="69" customWidth="1"/>
    <col min="11508" max="11508" width="11.5703125" style="69" customWidth="1"/>
    <col min="11509" max="11509" width="18.140625" style="69" customWidth="1"/>
    <col min="11510" max="11510" width="13.140625" style="69" customWidth="1"/>
    <col min="11511" max="11511" width="12.28515625" style="69" customWidth="1"/>
    <col min="11512" max="11749" width="9.140625" style="69"/>
    <col min="11750" max="11750" width="1.42578125" style="69" customWidth="1"/>
    <col min="11751" max="11751" width="59.5703125" style="69" customWidth="1"/>
    <col min="11752" max="11752" width="9.140625" style="69" customWidth="1"/>
    <col min="11753" max="11754" width="3.85546875" style="69" customWidth="1"/>
    <col min="11755" max="11755" width="10.5703125" style="69" customWidth="1"/>
    <col min="11756" max="11756" width="3.85546875" style="69" customWidth="1"/>
    <col min="11757" max="11759" width="14.42578125" style="69" customWidth="1"/>
    <col min="11760" max="11760" width="4.140625" style="69" customWidth="1"/>
    <col min="11761" max="11761" width="15" style="69" customWidth="1"/>
    <col min="11762" max="11763" width="9.140625" style="69" customWidth="1"/>
    <col min="11764" max="11764" width="11.5703125" style="69" customWidth="1"/>
    <col min="11765" max="11765" width="18.140625" style="69" customWidth="1"/>
    <col min="11766" max="11766" width="13.140625" style="69" customWidth="1"/>
    <col min="11767" max="11767" width="12.28515625" style="69" customWidth="1"/>
    <col min="11768" max="12005" width="9.140625" style="69"/>
    <col min="12006" max="12006" width="1.42578125" style="69" customWidth="1"/>
    <col min="12007" max="12007" width="59.5703125" style="69" customWidth="1"/>
    <col min="12008" max="12008" width="9.140625" style="69" customWidth="1"/>
    <col min="12009" max="12010" width="3.85546875" style="69" customWidth="1"/>
    <col min="12011" max="12011" width="10.5703125" style="69" customWidth="1"/>
    <col min="12012" max="12012" width="3.85546875" style="69" customWidth="1"/>
    <col min="12013" max="12015" width="14.42578125" style="69" customWidth="1"/>
    <col min="12016" max="12016" width="4.140625" style="69" customWidth="1"/>
    <col min="12017" max="12017" width="15" style="69" customWidth="1"/>
    <col min="12018" max="12019" width="9.140625" style="69" customWidth="1"/>
    <col min="12020" max="12020" width="11.5703125" style="69" customWidth="1"/>
    <col min="12021" max="12021" width="18.140625" style="69" customWidth="1"/>
    <col min="12022" max="12022" width="13.140625" style="69" customWidth="1"/>
    <col min="12023" max="12023" width="12.28515625" style="69" customWidth="1"/>
    <col min="12024" max="12261" width="9.140625" style="69"/>
    <col min="12262" max="12262" width="1.42578125" style="69" customWidth="1"/>
    <col min="12263" max="12263" width="59.5703125" style="69" customWidth="1"/>
    <col min="12264" max="12264" width="9.140625" style="69" customWidth="1"/>
    <col min="12265" max="12266" width="3.85546875" style="69" customWidth="1"/>
    <col min="12267" max="12267" width="10.5703125" style="69" customWidth="1"/>
    <col min="12268" max="12268" width="3.85546875" style="69" customWidth="1"/>
    <col min="12269" max="12271" width="14.42578125" style="69" customWidth="1"/>
    <col min="12272" max="12272" width="4.140625" style="69" customWidth="1"/>
    <col min="12273" max="12273" width="15" style="69" customWidth="1"/>
    <col min="12274" max="12275" width="9.140625" style="69" customWidth="1"/>
    <col min="12276" max="12276" width="11.5703125" style="69" customWidth="1"/>
    <col min="12277" max="12277" width="18.140625" style="69" customWidth="1"/>
    <col min="12278" max="12278" width="13.140625" style="69" customWidth="1"/>
    <col min="12279" max="12279" width="12.28515625" style="69" customWidth="1"/>
    <col min="12280" max="12517" width="9.140625" style="69"/>
    <col min="12518" max="12518" width="1.42578125" style="69" customWidth="1"/>
    <col min="12519" max="12519" width="59.5703125" style="69" customWidth="1"/>
    <col min="12520" max="12520" width="9.140625" style="69" customWidth="1"/>
    <col min="12521" max="12522" width="3.85546875" style="69" customWidth="1"/>
    <col min="12523" max="12523" width="10.5703125" style="69" customWidth="1"/>
    <col min="12524" max="12524" width="3.85546875" style="69" customWidth="1"/>
    <col min="12525" max="12527" width="14.42578125" style="69" customWidth="1"/>
    <col min="12528" max="12528" width="4.140625" style="69" customWidth="1"/>
    <col min="12529" max="12529" width="15" style="69" customWidth="1"/>
    <col min="12530" max="12531" width="9.140625" style="69" customWidth="1"/>
    <col min="12532" max="12532" width="11.5703125" style="69" customWidth="1"/>
    <col min="12533" max="12533" width="18.140625" style="69" customWidth="1"/>
    <col min="12534" max="12534" width="13.140625" style="69" customWidth="1"/>
    <col min="12535" max="12535" width="12.28515625" style="69" customWidth="1"/>
    <col min="12536" max="12773" width="9.140625" style="69"/>
    <col min="12774" max="12774" width="1.42578125" style="69" customWidth="1"/>
    <col min="12775" max="12775" width="59.5703125" style="69" customWidth="1"/>
    <col min="12776" max="12776" width="9.140625" style="69" customWidth="1"/>
    <col min="12777" max="12778" width="3.85546875" style="69" customWidth="1"/>
    <col min="12779" max="12779" width="10.5703125" style="69" customWidth="1"/>
    <col min="12780" max="12780" width="3.85546875" style="69" customWidth="1"/>
    <col min="12781" max="12783" width="14.42578125" style="69" customWidth="1"/>
    <col min="12784" max="12784" width="4.140625" style="69" customWidth="1"/>
    <col min="12785" max="12785" width="15" style="69" customWidth="1"/>
    <col min="12786" max="12787" width="9.140625" style="69" customWidth="1"/>
    <col min="12788" max="12788" width="11.5703125" style="69" customWidth="1"/>
    <col min="12789" max="12789" width="18.140625" style="69" customWidth="1"/>
    <col min="12790" max="12790" width="13.140625" style="69" customWidth="1"/>
    <col min="12791" max="12791" width="12.28515625" style="69" customWidth="1"/>
    <col min="12792" max="13029" width="9.140625" style="69"/>
    <col min="13030" max="13030" width="1.42578125" style="69" customWidth="1"/>
    <col min="13031" max="13031" width="59.5703125" style="69" customWidth="1"/>
    <col min="13032" max="13032" width="9.140625" style="69" customWidth="1"/>
    <col min="13033" max="13034" width="3.85546875" style="69" customWidth="1"/>
    <col min="13035" max="13035" width="10.5703125" style="69" customWidth="1"/>
    <col min="13036" max="13036" width="3.85546875" style="69" customWidth="1"/>
    <col min="13037" max="13039" width="14.42578125" style="69" customWidth="1"/>
    <col min="13040" max="13040" width="4.140625" style="69" customWidth="1"/>
    <col min="13041" max="13041" width="15" style="69" customWidth="1"/>
    <col min="13042" max="13043" width="9.140625" style="69" customWidth="1"/>
    <col min="13044" max="13044" width="11.5703125" style="69" customWidth="1"/>
    <col min="13045" max="13045" width="18.140625" style="69" customWidth="1"/>
    <col min="13046" max="13046" width="13.140625" style="69" customWidth="1"/>
    <col min="13047" max="13047" width="12.28515625" style="69" customWidth="1"/>
    <col min="13048" max="13285" width="9.140625" style="69"/>
    <col min="13286" max="13286" width="1.42578125" style="69" customWidth="1"/>
    <col min="13287" max="13287" width="59.5703125" style="69" customWidth="1"/>
    <col min="13288" max="13288" width="9.140625" style="69" customWidth="1"/>
    <col min="13289" max="13290" width="3.85546875" style="69" customWidth="1"/>
    <col min="13291" max="13291" width="10.5703125" style="69" customWidth="1"/>
    <col min="13292" max="13292" width="3.85546875" style="69" customWidth="1"/>
    <col min="13293" max="13295" width="14.42578125" style="69" customWidth="1"/>
    <col min="13296" max="13296" width="4.140625" style="69" customWidth="1"/>
    <col min="13297" max="13297" width="15" style="69" customWidth="1"/>
    <col min="13298" max="13299" width="9.140625" style="69" customWidth="1"/>
    <col min="13300" max="13300" width="11.5703125" style="69" customWidth="1"/>
    <col min="13301" max="13301" width="18.140625" style="69" customWidth="1"/>
    <col min="13302" max="13302" width="13.140625" style="69" customWidth="1"/>
    <col min="13303" max="13303" width="12.28515625" style="69" customWidth="1"/>
    <col min="13304" max="13541" width="9.140625" style="69"/>
    <col min="13542" max="13542" width="1.42578125" style="69" customWidth="1"/>
    <col min="13543" max="13543" width="59.5703125" style="69" customWidth="1"/>
    <col min="13544" max="13544" width="9.140625" style="69" customWidth="1"/>
    <col min="13545" max="13546" width="3.85546875" style="69" customWidth="1"/>
    <col min="13547" max="13547" width="10.5703125" style="69" customWidth="1"/>
    <col min="13548" max="13548" width="3.85546875" style="69" customWidth="1"/>
    <col min="13549" max="13551" width="14.42578125" style="69" customWidth="1"/>
    <col min="13552" max="13552" width="4.140625" style="69" customWidth="1"/>
    <col min="13553" max="13553" width="15" style="69" customWidth="1"/>
    <col min="13554" max="13555" width="9.140625" style="69" customWidth="1"/>
    <col min="13556" max="13556" width="11.5703125" style="69" customWidth="1"/>
    <col min="13557" max="13557" width="18.140625" style="69" customWidth="1"/>
    <col min="13558" max="13558" width="13.140625" style="69" customWidth="1"/>
    <col min="13559" max="13559" width="12.28515625" style="69" customWidth="1"/>
    <col min="13560" max="13797" width="9.140625" style="69"/>
    <col min="13798" max="13798" width="1.42578125" style="69" customWidth="1"/>
    <col min="13799" max="13799" width="59.5703125" style="69" customWidth="1"/>
    <col min="13800" max="13800" width="9.140625" style="69" customWidth="1"/>
    <col min="13801" max="13802" width="3.85546875" style="69" customWidth="1"/>
    <col min="13803" max="13803" width="10.5703125" style="69" customWidth="1"/>
    <col min="13804" max="13804" width="3.85546875" style="69" customWidth="1"/>
    <col min="13805" max="13807" width="14.42578125" style="69" customWidth="1"/>
    <col min="13808" max="13808" width="4.140625" style="69" customWidth="1"/>
    <col min="13809" max="13809" width="15" style="69" customWidth="1"/>
    <col min="13810" max="13811" width="9.140625" style="69" customWidth="1"/>
    <col min="13812" max="13812" width="11.5703125" style="69" customWidth="1"/>
    <col min="13813" max="13813" width="18.140625" style="69" customWidth="1"/>
    <col min="13814" max="13814" width="13.140625" style="69" customWidth="1"/>
    <col min="13815" max="13815" width="12.28515625" style="69" customWidth="1"/>
    <col min="13816" max="14053" width="9.140625" style="69"/>
    <col min="14054" max="14054" width="1.42578125" style="69" customWidth="1"/>
    <col min="14055" max="14055" width="59.5703125" style="69" customWidth="1"/>
    <col min="14056" max="14056" width="9.140625" style="69" customWidth="1"/>
    <col min="14057" max="14058" width="3.85546875" style="69" customWidth="1"/>
    <col min="14059" max="14059" width="10.5703125" style="69" customWidth="1"/>
    <col min="14060" max="14060" width="3.85546875" style="69" customWidth="1"/>
    <col min="14061" max="14063" width="14.42578125" style="69" customWidth="1"/>
    <col min="14064" max="14064" width="4.140625" style="69" customWidth="1"/>
    <col min="14065" max="14065" width="15" style="69" customWidth="1"/>
    <col min="14066" max="14067" width="9.140625" style="69" customWidth="1"/>
    <col min="14068" max="14068" width="11.5703125" style="69" customWidth="1"/>
    <col min="14069" max="14069" width="18.140625" style="69" customWidth="1"/>
    <col min="14070" max="14070" width="13.140625" style="69" customWidth="1"/>
    <col min="14071" max="14071" width="12.28515625" style="69" customWidth="1"/>
    <col min="14072" max="14309" width="9.140625" style="69"/>
    <col min="14310" max="14310" width="1.42578125" style="69" customWidth="1"/>
    <col min="14311" max="14311" width="59.5703125" style="69" customWidth="1"/>
    <col min="14312" max="14312" width="9.140625" style="69" customWidth="1"/>
    <col min="14313" max="14314" width="3.85546875" style="69" customWidth="1"/>
    <col min="14315" max="14315" width="10.5703125" style="69" customWidth="1"/>
    <col min="14316" max="14316" width="3.85546875" style="69" customWidth="1"/>
    <col min="14317" max="14319" width="14.42578125" style="69" customWidth="1"/>
    <col min="14320" max="14320" width="4.140625" style="69" customWidth="1"/>
    <col min="14321" max="14321" width="15" style="69" customWidth="1"/>
    <col min="14322" max="14323" width="9.140625" style="69" customWidth="1"/>
    <col min="14324" max="14324" width="11.5703125" style="69" customWidth="1"/>
    <col min="14325" max="14325" width="18.140625" style="69" customWidth="1"/>
    <col min="14326" max="14326" width="13.140625" style="69" customWidth="1"/>
    <col min="14327" max="14327" width="12.28515625" style="69" customWidth="1"/>
    <col min="14328" max="14565" width="9.140625" style="69"/>
    <col min="14566" max="14566" width="1.42578125" style="69" customWidth="1"/>
    <col min="14567" max="14567" width="59.5703125" style="69" customWidth="1"/>
    <col min="14568" max="14568" width="9.140625" style="69" customWidth="1"/>
    <col min="14569" max="14570" width="3.85546875" style="69" customWidth="1"/>
    <col min="14571" max="14571" width="10.5703125" style="69" customWidth="1"/>
    <col min="14572" max="14572" width="3.85546875" style="69" customWidth="1"/>
    <col min="14573" max="14575" width="14.42578125" style="69" customWidth="1"/>
    <col min="14576" max="14576" width="4.140625" style="69" customWidth="1"/>
    <col min="14577" max="14577" width="15" style="69" customWidth="1"/>
    <col min="14578" max="14579" width="9.140625" style="69" customWidth="1"/>
    <col min="14580" max="14580" width="11.5703125" style="69" customWidth="1"/>
    <col min="14581" max="14581" width="18.140625" style="69" customWidth="1"/>
    <col min="14582" max="14582" width="13.140625" style="69" customWidth="1"/>
    <col min="14583" max="14583" width="12.28515625" style="69" customWidth="1"/>
    <col min="14584" max="14821" width="9.140625" style="69"/>
    <col min="14822" max="14822" width="1.42578125" style="69" customWidth="1"/>
    <col min="14823" max="14823" width="59.5703125" style="69" customWidth="1"/>
    <col min="14824" max="14824" width="9.140625" style="69" customWidth="1"/>
    <col min="14825" max="14826" width="3.85546875" style="69" customWidth="1"/>
    <col min="14827" max="14827" width="10.5703125" style="69" customWidth="1"/>
    <col min="14828" max="14828" width="3.85546875" style="69" customWidth="1"/>
    <col min="14829" max="14831" width="14.42578125" style="69" customWidth="1"/>
    <col min="14832" max="14832" width="4.140625" style="69" customWidth="1"/>
    <col min="14833" max="14833" width="15" style="69" customWidth="1"/>
    <col min="14834" max="14835" width="9.140625" style="69" customWidth="1"/>
    <col min="14836" max="14836" width="11.5703125" style="69" customWidth="1"/>
    <col min="14837" max="14837" width="18.140625" style="69" customWidth="1"/>
    <col min="14838" max="14838" width="13.140625" style="69" customWidth="1"/>
    <col min="14839" max="14839" width="12.28515625" style="69" customWidth="1"/>
    <col min="14840" max="15077" width="9.140625" style="69"/>
    <col min="15078" max="15078" width="1.42578125" style="69" customWidth="1"/>
    <col min="15079" max="15079" width="59.5703125" style="69" customWidth="1"/>
    <col min="15080" max="15080" width="9.140625" style="69" customWidth="1"/>
    <col min="15081" max="15082" width="3.85546875" style="69" customWidth="1"/>
    <col min="15083" max="15083" width="10.5703125" style="69" customWidth="1"/>
    <col min="15084" max="15084" width="3.85546875" style="69" customWidth="1"/>
    <col min="15085" max="15087" width="14.42578125" style="69" customWidth="1"/>
    <col min="15088" max="15088" width="4.140625" style="69" customWidth="1"/>
    <col min="15089" max="15089" width="15" style="69" customWidth="1"/>
    <col min="15090" max="15091" width="9.140625" style="69" customWidth="1"/>
    <col min="15092" max="15092" width="11.5703125" style="69" customWidth="1"/>
    <col min="15093" max="15093" width="18.140625" style="69" customWidth="1"/>
    <col min="15094" max="15094" width="13.140625" style="69" customWidth="1"/>
    <col min="15095" max="15095" width="12.28515625" style="69" customWidth="1"/>
    <col min="15096" max="15333" width="9.140625" style="69"/>
    <col min="15334" max="15334" width="1.42578125" style="69" customWidth="1"/>
    <col min="15335" max="15335" width="59.5703125" style="69" customWidth="1"/>
    <col min="15336" max="15336" width="9.140625" style="69" customWidth="1"/>
    <col min="15337" max="15338" width="3.85546875" style="69" customWidth="1"/>
    <col min="15339" max="15339" width="10.5703125" style="69" customWidth="1"/>
    <col min="15340" max="15340" width="3.85546875" style="69" customWidth="1"/>
    <col min="15341" max="15343" width="14.42578125" style="69" customWidth="1"/>
    <col min="15344" max="15344" width="4.140625" style="69" customWidth="1"/>
    <col min="15345" max="15345" width="15" style="69" customWidth="1"/>
    <col min="15346" max="15347" width="9.140625" style="69" customWidth="1"/>
    <col min="15348" max="15348" width="11.5703125" style="69" customWidth="1"/>
    <col min="15349" max="15349" width="18.140625" style="69" customWidth="1"/>
    <col min="15350" max="15350" width="13.140625" style="69" customWidth="1"/>
    <col min="15351" max="15351" width="12.28515625" style="69" customWidth="1"/>
    <col min="15352" max="15589" width="9.140625" style="69"/>
    <col min="15590" max="15590" width="1.42578125" style="69" customWidth="1"/>
    <col min="15591" max="15591" width="59.5703125" style="69" customWidth="1"/>
    <col min="15592" max="15592" width="9.140625" style="69" customWidth="1"/>
    <col min="15593" max="15594" width="3.85546875" style="69" customWidth="1"/>
    <col min="15595" max="15595" width="10.5703125" style="69" customWidth="1"/>
    <col min="15596" max="15596" width="3.85546875" style="69" customWidth="1"/>
    <col min="15597" max="15599" width="14.42578125" style="69" customWidth="1"/>
    <col min="15600" max="15600" width="4.140625" style="69" customWidth="1"/>
    <col min="15601" max="15601" width="15" style="69" customWidth="1"/>
    <col min="15602" max="15603" width="9.140625" style="69" customWidth="1"/>
    <col min="15604" max="15604" width="11.5703125" style="69" customWidth="1"/>
    <col min="15605" max="15605" width="18.140625" style="69" customWidth="1"/>
    <col min="15606" max="15606" width="13.140625" style="69" customWidth="1"/>
    <col min="15607" max="15607" width="12.28515625" style="69" customWidth="1"/>
    <col min="15608" max="15845" width="9.140625" style="69"/>
    <col min="15846" max="15846" width="1.42578125" style="69" customWidth="1"/>
    <col min="15847" max="15847" width="59.5703125" style="69" customWidth="1"/>
    <col min="15848" max="15848" width="9.140625" style="69" customWidth="1"/>
    <col min="15849" max="15850" width="3.85546875" style="69" customWidth="1"/>
    <col min="15851" max="15851" width="10.5703125" style="69" customWidth="1"/>
    <col min="15852" max="15852" width="3.85546875" style="69" customWidth="1"/>
    <col min="15853" max="15855" width="14.42578125" style="69" customWidth="1"/>
    <col min="15856" max="15856" width="4.140625" style="69" customWidth="1"/>
    <col min="15857" max="15857" width="15" style="69" customWidth="1"/>
    <col min="15858" max="15859" width="9.140625" style="69" customWidth="1"/>
    <col min="15860" max="15860" width="11.5703125" style="69" customWidth="1"/>
    <col min="15861" max="15861" width="18.140625" style="69" customWidth="1"/>
    <col min="15862" max="15862" width="13.140625" style="69" customWidth="1"/>
    <col min="15863" max="15863" width="12.28515625" style="69" customWidth="1"/>
    <col min="15864" max="16101" width="9.140625" style="69"/>
    <col min="16102" max="16102" width="1.42578125" style="69" customWidth="1"/>
    <col min="16103" max="16103" width="59.5703125" style="69" customWidth="1"/>
    <col min="16104" max="16104" width="9.140625" style="69" customWidth="1"/>
    <col min="16105" max="16106" width="3.85546875" style="69" customWidth="1"/>
    <col min="16107" max="16107" width="10.5703125" style="69" customWidth="1"/>
    <col min="16108" max="16108" width="3.85546875" style="69" customWidth="1"/>
    <col min="16109" max="16111" width="14.42578125" style="69" customWidth="1"/>
    <col min="16112" max="16112" width="4.140625" style="69" customWidth="1"/>
    <col min="16113" max="16113" width="15" style="69" customWidth="1"/>
    <col min="16114" max="16115" width="9.140625" style="69" customWidth="1"/>
    <col min="16116" max="16116" width="11.5703125" style="69" customWidth="1"/>
    <col min="16117" max="16117" width="18.140625" style="69" customWidth="1"/>
    <col min="16118" max="16118" width="13.140625" style="69" customWidth="1"/>
    <col min="16119" max="16119" width="12.28515625" style="69" customWidth="1"/>
    <col min="16120" max="16384" width="9.140625" style="69"/>
  </cols>
  <sheetData>
    <row r="1" spans="1:27" x14ac:dyDescent="0.25">
      <c r="E1" s="359" t="s">
        <v>397</v>
      </c>
      <c r="F1" s="359"/>
      <c r="G1" s="359"/>
      <c r="H1" s="359"/>
      <c r="I1" s="359"/>
      <c r="J1" s="359"/>
      <c r="K1" s="359"/>
      <c r="L1" s="359"/>
    </row>
    <row r="2" spans="1:27" ht="73.5" customHeight="1" x14ac:dyDescent="0.25">
      <c r="E2" s="327" t="s">
        <v>592</v>
      </c>
      <c r="F2" s="327"/>
      <c r="G2" s="327"/>
      <c r="H2" s="327"/>
      <c r="I2" s="327"/>
      <c r="J2" s="327"/>
      <c r="K2" s="327"/>
      <c r="L2" s="327"/>
      <c r="M2" s="327"/>
      <c r="N2" s="327"/>
      <c r="O2" s="327"/>
      <c r="P2" s="327"/>
      <c r="Q2" s="327"/>
      <c r="R2" s="327"/>
      <c r="S2" s="327"/>
      <c r="T2" s="327"/>
      <c r="U2" s="327"/>
      <c r="V2" s="327"/>
      <c r="W2" s="327"/>
      <c r="X2" s="327"/>
    </row>
    <row r="3" spans="1:27" s="124" customFormat="1" ht="13.5" customHeight="1" x14ac:dyDescent="0.2">
      <c r="D3" s="151"/>
      <c r="E3" s="342" t="s">
        <v>770</v>
      </c>
      <c r="F3" s="342"/>
      <c r="G3" s="342"/>
      <c r="H3" s="342"/>
      <c r="I3" s="342"/>
      <c r="J3" s="342"/>
      <c r="K3" s="342"/>
      <c r="L3" s="233"/>
      <c r="M3" s="233"/>
      <c r="N3" s="233"/>
      <c r="O3" s="233"/>
      <c r="P3" s="233"/>
      <c r="Q3" s="233"/>
      <c r="R3" s="233"/>
      <c r="S3" s="233"/>
      <c r="T3" s="288"/>
      <c r="U3" s="288"/>
      <c r="V3" s="288"/>
      <c r="W3" s="288"/>
      <c r="X3" s="288"/>
    </row>
    <row r="4" spans="1:27" s="97" customFormat="1" ht="59.25" customHeight="1" x14ac:dyDescent="0.25">
      <c r="B4" s="127"/>
      <c r="C4" s="127"/>
      <c r="D4" s="142"/>
      <c r="E4" s="327" t="s">
        <v>431</v>
      </c>
      <c r="F4" s="327"/>
      <c r="G4" s="327"/>
      <c r="H4" s="327"/>
      <c r="I4" s="327"/>
      <c r="J4" s="327"/>
      <c r="K4" s="327"/>
      <c r="L4" s="327"/>
      <c r="M4" s="327"/>
      <c r="N4" s="327"/>
      <c r="O4" s="327"/>
      <c r="P4" s="327"/>
      <c r="Q4" s="327"/>
      <c r="R4" s="327"/>
      <c r="S4" s="327"/>
      <c r="T4" s="327"/>
      <c r="U4" s="327"/>
      <c r="V4" s="327"/>
      <c r="W4" s="327"/>
      <c r="X4" s="327"/>
    </row>
    <row r="5" spans="1:27" s="97" customFormat="1" ht="64.5" customHeight="1" x14ac:dyDescent="0.25">
      <c r="A5" s="326" t="s">
        <v>547</v>
      </c>
      <c r="B5" s="326"/>
      <c r="C5" s="326"/>
      <c r="D5" s="326"/>
      <c r="E5" s="326"/>
      <c r="F5" s="326"/>
      <c r="G5" s="326"/>
      <c r="H5" s="326"/>
      <c r="I5" s="326"/>
      <c r="J5" s="326"/>
      <c r="K5" s="326"/>
      <c r="L5" s="326"/>
      <c r="M5" s="326"/>
      <c r="N5" s="326"/>
      <c r="O5" s="326"/>
      <c r="P5" s="326"/>
      <c r="Q5" s="326"/>
      <c r="R5" s="326"/>
      <c r="S5" s="326"/>
      <c r="T5" s="326"/>
      <c r="U5" s="326"/>
      <c r="V5" s="326"/>
      <c r="W5" s="326"/>
      <c r="X5" s="326"/>
    </row>
    <row r="6" spans="1:27" s="5" customFormat="1" ht="7.5" customHeight="1" x14ac:dyDescent="0.25">
      <c r="A6" s="3"/>
      <c r="B6" s="3"/>
      <c r="C6" s="3"/>
      <c r="D6" s="3"/>
      <c r="E6" s="3"/>
      <c r="F6" s="4"/>
      <c r="G6" s="360" t="s">
        <v>493</v>
      </c>
      <c r="H6" s="360"/>
      <c r="I6" s="176"/>
      <c r="J6" s="3"/>
      <c r="K6" s="8"/>
    </row>
    <row r="7" spans="1:27" s="98" customFormat="1" ht="24.75" customHeight="1" x14ac:dyDescent="0.25">
      <c r="A7" s="336" t="s">
        <v>10</v>
      </c>
      <c r="B7" s="336"/>
      <c r="C7" s="293"/>
      <c r="D7" s="293" t="s">
        <v>519</v>
      </c>
      <c r="E7" s="293" t="s">
        <v>520</v>
      </c>
      <c r="F7" s="293" t="s">
        <v>312</v>
      </c>
      <c r="G7" s="161" t="s">
        <v>11</v>
      </c>
      <c r="H7" s="161" t="s">
        <v>12</v>
      </c>
      <c r="I7" s="93" t="s">
        <v>313</v>
      </c>
      <c r="J7" s="93" t="s">
        <v>14</v>
      </c>
      <c r="K7" s="293" t="s">
        <v>394</v>
      </c>
      <c r="L7" s="293" t="s">
        <v>611</v>
      </c>
      <c r="M7" s="293" t="s">
        <v>561</v>
      </c>
      <c r="N7" s="293" t="s">
        <v>612</v>
      </c>
      <c r="O7" s="293" t="s">
        <v>613</v>
      </c>
      <c r="P7" s="293" t="s">
        <v>655</v>
      </c>
      <c r="Q7" s="293" t="s">
        <v>700</v>
      </c>
      <c r="R7" s="293" t="s">
        <v>741</v>
      </c>
      <c r="S7" s="293" t="s">
        <v>695</v>
      </c>
      <c r="T7" s="293"/>
      <c r="U7" s="293"/>
      <c r="V7" s="312"/>
      <c r="W7" s="293" t="s">
        <v>773</v>
      </c>
      <c r="X7" s="293" t="s">
        <v>703</v>
      </c>
    </row>
    <row r="8" spans="1:27" s="5" customFormat="1" ht="26.25" customHeight="1" x14ac:dyDescent="0.25">
      <c r="A8" s="332" t="s">
        <v>501</v>
      </c>
      <c r="B8" s="332"/>
      <c r="C8" s="306"/>
      <c r="D8" s="306">
        <v>51</v>
      </c>
      <c r="E8" s="306"/>
      <c r="F8" s="306"/>
      <c r="G8" s="6"/>
      <c r="H8" s="6"/>
      <c r="I8" s="6"/>
      <c r="J8" s="6"/>
      <c r="K8" s="99">
        <f t="shared" ref="K8:X8" si="0">K9+K116+K124+K154+K159+K167+K180+K188</f>
        <v>64055337</v>
      </c>
      <c r="L8" s="99">
        <f t="shared" si="0"/>
        <v>8179526</v>
      </c>
      <c r="M8" s="99">
        <f t="shared" si="0"/>
        <v>72234863</v>
      </c>
      <c r="N8" s="99">
        <f t="shared" si="0"/>
        <v>-201418</v>
      </c>
      <c r="O8" s="99">
        <f t="shared" si="0"/>
        <v>72033445</v>
      </c>
      <c r="P8" s="99">
        <f t="shared" si="0"/>
        <v>-2787500</v>
      </c>
      <c r="Q8" s="99">
        <f t="shared" si="0"/>
        <v>69245945</v>
      </c>
      <c r="R8" s="99">
        <f t="shared" si="0"/>
        <v>12182878.25</v>
      </c>
      <c r="S8" s="99">
        <f t="shared" si="0"/>
        <v>81428823.25</v>
      </c>
      <c r="T8" s="99">
        <f t="shared" si="0"/>
        <v>0</v>
      </c>
      <c r="U8" s="99">
        <f t="shared" si="0"/>
        <v>0</v>
      </c>
      <c r="V8" s="313">
        <f t="shared" si="0"/>
        <v>0</v>
      </c>
      <c r="W8" s="99">
        <f t="shared" si="0"/>
        <v>4475177.04</v>
      </c>
      <c r="X8" s="99">
        <f t="shared" si="0"/>
        <v>85904000.289999992</v>
      </c>
      <c r="Z8" s="8"/>
      <c r="AA8" s="8"/>
    </row>
    <row r="9" spans="1:27" s="5" customFormat="1" ht="16.5" customHeight="1" x14ac:dyDescent="0.25">
      <c r="A9" s="357" t="s">
        <v>15</v>
      </c>
      <c r="B9" s="358"/>
      <c r="C9" s="79"/>
      <c r="D9" s="79">
        <v>51</v>
      </c>
      <c r="E9" s="79">
        <v>0</v>
      </c>
      <c r="F9" s="79">
        <v>851</v>
      </c>
      <c r="G9" s="10"/>
      <c r="H9" s="10"/>
      <c r="I9" s="1"/>
      <c r="J9" s="1"/>
      <c r="K9" s="35">
        <f t="shared" ref="K9:P9" si="1">K10+K13+K22+K25+K28+K31+K36+K41+K44+K47+K50+K58+K65+K68+K71+K76+K79+K82+K91+K96+K99+K104+K110+K113</f>
        <v>37033462</v>
      </c>
      <c r="L9" s="35">
        <f t="shared" si="1"/>
        <v>6274526</v>
      </c>
      <c r="M9" s="35">
        <f t="shared" si="1"/>
        <v>43307988</v>
      </c>
      <c r="N9" s="35">
        <f t="shared" si="1"/>
        <v>-316418</v>
      </c>
      <c r="O9" s="35">
        <f t="shared" si="1"/>
        <v>42991570</v>
      </c>
      <c r="P9" s="35">
        <f t="shared" si="1"/>
        <v>-2817500</v>
      </c>
      <c r="Q9" s="35">
        <f>Q10+Q13+Q22+Q25+Q28+Q31+Q36+Q41+Q44+Q47+Q50+Q58+Q65+Q68+Q71+Q76+Q79+Q82+Q85+Q88+Q91+Q96+Q99+Q104+Q107+Q110+Q113</f>
        <v>40174070</v>
      </c>
      <c r="R9" s="35">
        <f>R10+R13+R22+R25+R28+R31+R36+R41+R44+R47+R50+R58+R65+R68+R71+R76+R79+R82+R85+R88+R91+R96+R99+R104+R107+R110+R113</f>
        <v>9770653</v>
      </c>
      <c r="S9" s="35">
        <f t="shared" ref="S9:X9" si="2">S10+S13+S22+S25+S28+S31+S36+S41+S44+S47+S50+S55+S58+S65+S68+S71+S76+S79+S82+S85+S88+S91+S96+S99+S104+S107+S110+S113</f>
        <v>49944723</v>
      </c>
      <c r="T9" s="35">
        <f t="shared" si="2"/>
        <v>0</v>
      </c>
      <c r="U9" s="35">
        <f t="shared" si="2"/>
        <v>0</v>
      </c>
      <c r="V9" s="314">
        <f t="shared" si="2"/>
        <v>0</v>
      </c>
      <c r="W9" s="35">
        <f t="shared" si="2"/>
        <v>2970189.82</v>
      </c>
      <c r="X9" s="35">
        <f t="shared" si="2"/>
        <v>52914912.82</v>
      </c>
      <c r="Z9" s="8"/>
    </row>
    <row r="10" spans="1:27" s="5" customFormat="1" ht="27" hidden="1" customHeight="1" x14ac:dyDescent="0.25">
      <c r="A10" s="324" t="s">
        <v>19</v>
      </c>
      <c r="B10" s="324"/>
      <c r="C10" s="291"/>
      <c r="D10" s="173">
        <v>51</v>
      </c>
      <c r="E10" s="173">
        <v>0</v>
      </c>
      <c r="F10" s="173">
        <v>851</v>
      </c>
      <c r="G10" s="1" t="s">
        <v>17</v>
      </c>
      <c r="H10" s="1" t="s">
        <v>6</v>
      </c>
      <c r="I10" s="1" t="s">
        <v>314</v>
      </c>
      <c r="J10" s="1"/>
      <c r="K10" s="2">
        <f t="shared" ref="K10:X11" si="3">K11</f>
        <v>946200</v>
      </c>
      <c r="L10" s="2">
        <f t="shared" si="3"/>
        <v>0</v>
      </c>
      <c r="M10" s="2">
        <f t="shared" si="3"/>
        <v>946200</v>
      </c>
      <c r="N10" s="2">
        <f t="shared" si="3"/>
        <v>0</v>
      </c>
      <c r="O10" s="2">
        <f t="shared" si="3"/>
        <v>946200</v>
      </c>
      <c r="P10" s="2">
        <f t="shared" si="3"/>
        <v>0</v>
      </c>
      <c r="Q10" s="2">
        <f t="shared" si="3"/>
        <v>946200</v>
      </c>
      <c r="R10" s="2">
        <f t="shared" si="3"/>
        <v>0</v>
      </c>
      <c r="S10" s="2">
        <f t="shared" si="3"/>
        <v>946200</v>
      </c>
      <c r="T10" s="2">
        <f t="shared" si="3"/>
        <v>0</v>
      </c>
      <c r="U10" s="2">
        <f t="shared" si="3"/>
        <v>0</v>
      </c>
      <c r="V10" s="95">
        <f t="shared" si="3"/>
        <v>0</v>
      </c>
      <c r="W10" s="2">
        <f t="shared" si="3"/>
        <v>0</v>
      </c>
      <c r="X10" s="2">
        <f t="shared" si="3"/>
        <v>946200</v>
      </c>
      <c r="Z10" s="8"/>
    </row>
    <row r="11" spans="1:27" s="5" customFormat="1" ht="38.25" hidden="1" customHeight="1" x14ac:dyDescent="0.25">
      <c r="A11" s="291"/>
      <c r="B11" s="301" t="s">
        <v>21</v>
      </c>
      <c r="C11" s="291"/>
      <c r="D11" s="173">
        <v>51</v>
      </c>
      <c r="E11" s="173">
        <v>0</v>
      </c>
      <c r="F11" s="173">
        <v>851</v>
      </c>
      <c r="G11" s="1" t="s">
        <v>22</v>
      </c>
      <c r="H11" s="1" t="s">
        <v>6</v>
      </c>
      <c r="I11" s="1" t="s">
        <v>314</v>
      </c>
      <c r="J11" s="1" t="s">
        <v>23</v>
      </c>
      <c r="K11" s="2">
        <f t="shared" si="3"/>
        <v>946200</v>
      </c>
      <c r="L11" s="2">
        <f t="shared" si="3"/>
        <v>0</v>
      </c>
      <c r="M11" s="2">
        <f t="shared" si="3"/>
        <v>946200</v>
      </c>
      <c r="N11" s="2">
        <f t="shared" si="3"/>
        <v>0</v>
      </c>
      <c r="O11" s="2">
        <f t="shared" si="3"/>
        <v>946200</v>
      </c>
      <c r="P11" s="2">
        <f t="shared" si="3"/>
        <v>0</v>
      </c>
      <c r="Q11" s="2">
        <f t="shared" si="3"/>
        <v>946200</v>
      </c>
      <c r="R11" s="2">
        <f t="shared" si="3"/>
        <v>0</v>
      </c>
      <c r="S11" s="2">
        <f t="shared" si="3"/>
        <v>946200</v>
      </c>
      <c r="T11" s="2">
        <f t="shared" si="3"/>
        <v>0</v>
      </c>
      <c r="U11" s="2">
        <f t="shared" si="3"/>
        <v>0</v>
      </c>
      <c r="V11" s="95">
        <f t="shared" si="3"/>
        <v>0</v>
      </c>
      <c r="W11" s="2">
        <f t="shared" si="3"/>
        <v>0</v>
      </c>
      <c r="X11" s="2">
        <f t="shared" si="3"/>
        <v>946200</v>
      </c>
      <c r="Z11" s="8"/>
    </row>
    <row r="12" spans="1:27" s="5" customFormat="1" ht="25.5" hidden="1" customHeight="1" x14ac:dyDescent="0.25">
      <c r="A12" s="14"/>
      <c r="B12" s="301" t="s">
        <v>24</v>
      </c>
      <c r="C12" s="301"/>
      <c r="D12" s="173">
        <v>51</v>
      </c>
      <c r="E12" s="173">
        <v>0</v>
      </c>
      <c r="F12" s="173">
        <v>851</v>
      </c>
      <c r="G12" s="1" t="s">
        <v>17</v>
      </c>
      <c r="H12" s="1" t="s">
        <v>6</v>
      </c>
      <c r="I12" s="1" t="s">
        <v>314</v>
      </c>
      <c r="J12" s="1" t="s">
        <v>25</v>
      </c>
      <c r="K12" s="2">
        <f>'[2]6 Вед15'!J13</f>
        <v>946200</v>
      </c>
      <c r="L12" s="95">
        <f>'[2]6 Вед15'!K13</f>
        <v>0</v>
      </c>
      <c r="M12" s="2">
        <f>K12+L12</f>
        <v>946200</v>
      </c>
      <c r="N12" s="95">
        <f>'[2]6 Вед15'!M13</f>
        <v>0</v>
      </c>
      <c r="O12" s="2">
        <f t="shared" ref="O12:O78" si="4">M12+N12</f>
        <v>946200</v>
      </c>
      <c r="P12" s="95">
        <f>'[2]6 Вед15'!O13</f>
        <v>0</v>
      </c>
      <c r="Q12" s="2">
        <f t="shared" ref="Q12" si="5">O12+P12</f>
        <v>946200</v>
      </c>
      <c r="R12" s="95">
        <f>'[2]6 Вед15'!Q13</f>
        <v>0</v>
      </c>
      <c r="S12" s="2">
        <f t="shared" ref="S12" si="6">Q12+R12</f>
        <v>946200</v>
      </c>
      <c r="T12" s="95"/>
      <c r="U12" s="95"/>
      <c r="V12" s="95"/>
      <c r="W12" s="2">
        <f>'[2]6 Вед15'!V13</f>
        <v>0</v>
      </c>
      <c r="X12" s="2">
        <f t="shared" ref="X12:X78" si="7">S12+W12</f>
        <v>946200</v>
      </c>
      <c r="Z12" s="8"/>
    </row>
    <row r="13" spans="1:27" s="5" customFormat="1" ht="21" customHeight="1" x14ac:dyDescent="0.25">
      <c r="A13" s="324" t="s">
        <v>26</v>
      </c>
      <c r="B13" s="324"/>
      <c r="C13" s="173"/>
      <c r="D13" s="173">
        <v>51</v>
      </c>
      <c r="E13" s="173">
        <v>0</v>
      </c>
      <c r="F13" s="173">
        <v>851</v>
      </c>
      <c r="G13" s="1" t="s">
        <v>22</v>
      </c>
      <c r="H13" s="1" t="s">
        <v>6</v>
      </c>
      <c r="I13" s="1" t="s">
        <v>406</v>
      </c>
      <c r="J13" s="1"/>
      <c r="K13" s="2">
        <f t="shared" ref="K13:X13" si="8">K14+K16+K18</f>
        <v>16387680</v>
      </c>
      <c r="L13" s="2">
        <f t="shared" si="8"/>
        <v>0</v>
      </c>
      <c r="M13" s="2">
        <f t="shared" si="8"/>
        <v>16387680</v>
      </c>
      <c r="N13" s="2">
        <f t="shared" si="8"/>
        <v>0</v>
      </c>
      <c r="O13" s="2">
        <f t="shared" si="8"/>
        <v>16387680</v>
      </c>
      <c r="P13" s="2">
        <f t="shared" si="8"/>
        <v>0</v>
      </c>
      <c r="Q13" s="2">
        <f t="shared" si="8"/>
        <v>16387680</v>
      </c>
      <c r="R13" s="2">
        <f t="shared" si="8"/>
        <v>0</v>
      </c>
      <c r="S13" s="2">
        <f t="shared" si="8"/>
        <v>16387680</v>
      </c>
      <c r="T13" s="2">
        <f t="shared" si="8"/>
        <v>0</v>
      </c>
      <c r="U13" s="2">
        <f t="shared" si="8"/>
        <v>0</v>
      </c>
      <c r="V13" s="95">
        <f t="shared" si="8"/>
        <v>0</v>
      </c>
      <c r="W13" s="2">
        <f t="shared" si="8"/>
        <v>-762768.53</v>
      </c>
      <c r="X13" s="2">
        <f t="shared" si="8"/>
        <v>15624911.469999999</v>
      </c>
      <c r="Z13" s="8"/>
    </row>
    <row r="14" spans="1:27" s="5" customFormat="1" ht="36.75" customHeight="1" x14ac:dyDescent="0.25">
      <c r="A14" s="14"/>
      <c r="B14" s="301" t="s">
        <v>21</v>
      </c>
      <c r="C14" s="173"/>
      <c r="D14" s="173">
        <v>51</v>
      </c>
      <c r="E14" s="173">
        <v>0</v>
      </c>
      <c r="F14" s="173">
        <v>851</v>
      </c>
      <c r="G14" s="1" t="s">
        <v>17</v>
      </c>
      <c r="H14" s="1" t="s">
        <v>6</v>
      </c>
      <c r="I14" s="1" t="s">
        <v>406</v>
      </c>
      <c r="J14" s="1" t="s">
        <v>23</v>
      </c>
      <c r="K14" s="2">
        <f t="shared" ref="K14:X14" si="9">K15</f>
        <v>11544100</v>
      </c>
      <c r="L14" s="2">
        <f t="shared" si="9"/>
        <v>0</v>
      </c>
      <c r="M14" s="2">
        <f t="shared" si="9"/>
        <v>11544100</v>
      </c>
      <c r="N14" s="2">
        <f t="shared" si="9"/>
        <v>0</v>
      </c>
      <c r="O14" s="2">
        <f t="shared" si="9"/>
        <v>11544100</v>
      </c>
      <c r="P14" s="2">
        <f t="shared" si="9"/>
        <v>0</v>
      </c>
      <c r="Q14" s="2">
        <f t="shared" si="9"/>
        <v>11544100</v>
      </c>
      <c r="R14" s="2">
        <f t="shared" si="9"/>
        <v>76094</v>
      </c>
      <c r="S14" s="2">
        <f t="shared" si="9"/>
        <v>11620194</v>
      </c>
      <c r="T14" s="2">
        <f t="shared" si="9"/>
        <v>0</v>
      </c>
      <c r="U14" s="2">
        <f t="shared" si="9"/>
        <v>0</v>
      </c>
      <c r="V14" s="95">
        <f t="shared" si="9"/>
        <v>0</v>
      </c>
      <c r="W14" s="2">
        <f t="shared" si="9"/>
        <v>-288155.15000000002</v>
      </c>
      <c r="X14" s="2">
        <f t="shared" si="9"/>
        <v>11332038.85</v>
      </c>
      <c r="Z14" s="8"/>
    </row>
    <row r="15" spans="1:27" s="5" customFormat="1" ht="15" customHeight="1" x14ac:dyDescent="0.25">
      <c r="A15" s="14"/>
      <c r="B15" s="301" t="s">
        <v>24</v>
      </c>
      <c r="C15" s="173"/>
      <c r="D15" s="173">
        <v>51</v>
      </c>
      <c r="E15" s="173">
        <v>0</v>
      </c>
      <c r="F15" s="173">
        <v>851</v>
      </c>
      <c r="G15" s="1" t="s">
        <v>17</v>
      </c>
      <c r="H15" s="1" t="s">
        <v>6</v>
      </c>
      <c r="I15" s="1" t="s">
        <v>406</v>
      </c>
      <c r="J15" s="1" t="s">
        <v>25</v>
      </c>
      <c r="K15" s="2">
        <f>'[2]6 Вед15'!J16</f>
        <v>11544100</v>
      </c>
      <c r="L15" s="95">
        <f>'[2]6 Вед15'!K16</f>
        <v>0</v>
      </c>
      <c r="M15" s="2">
        <f t="shared" ref="M15:M81" si="10">K15+L15</f>
        <v>11544100</v>
      </c>
      <c r="N15" s="95">
        <f>'[2]6 Вед15'!M16</f>
        <v>0</v>
      </c>
      <c r="O15" s="2">
        <f t="shared" si="4"/>
        <v>11544100</v>
      </c>
      <c r="P15" s="95">
        <f>'[2]6 Вед15'!O16</f>
        <v>0</v>
      </c>
      <c r="Q15" s="2">
        <f t="shared" ref="Q15" si="11">O15+P15</f>
        <v>11544100</v>
      </c>
      <c r="R15" s="95">
        <f>'[2]6 Вед15'!Q16</f>
        <v>76094</v>
      </c>
      <c r="S15" s="2">
        <f t="shared" ref="S15" si="12">Q15+R15</f>
        <v>11620194</v>
      </c>
      <c r="T15" s="95"/>
      <c r="U15" s="95"/>
      <c r="V15" s="95"/>
      <c r="W15" s="2">
        <v>-288155.15000000002</v>
      </c>
      <c r="X15" s="2">
        <f t="shared" si="7"/>
        <v>11332038.85</v>
      </c>
      <c r="Z15" s="8"/>
    </row>
    <row r="16" spans="1:27" s="5" customFormat="1" ht="15" customHeight="1" x14ac:dyDescent="0.25">
      <c r="A16" s="14"/>
      <c r="B16" s="303" t="s">
        <v>27</v>
      </c>
      <c r="C16" s="173"/>
      <c r="D16" s="173">
        <v>51</v>
      </c>
      <c r="E16" s="173">
        <v>0</v>
      </c>
      <c r="F16" s="173">
        <v>851</v>
      </c>
      <c r="G16" s="1" t="s">
        <v>17</v>
      </c>
      <c r="H16" s="1" t="s">
        <v>6</v>
      </c>
      <c r="I16" s="1" t="s">
        <v>406</v>
      </c>
      <c r="J16" s="1" t="s">
        <v>28</v>
      </c>
      <c r="K16" s="2">
        <f t="shared" ref="K16:X16" si="13">K17</f>
        <v>3777580</v>
      </c>
      <c r="L16" s="2">
        <f t="shared" si="13"/>
        <v>0</v>
      </c>
      <c r="M16" s="2">
        <f t="shared" si="13"/>
        <v>3777580</v>
      </c>
      <c r="N16" s="2">
        <f t="shared" si="13"/>
        <v>0</v>
      </c>
      <c r="O16" s="2">
        <f t="shared" si="13"/>
        <v>3777580</v>
      </c>
      <c r="P16" s="2">
        <f t="shared" si="13"/>
        <v>0</v>
      </c>
      <c r="Q16" s="2">
        <f t="shared" si="13"/>
        <v>3777580</v>
      </c>
      <c r="R16" s="2">
        <f t="shared" si="13"/>
        <v>-39614</v>
      </c>
      <c r="S16" s="2">
        <f t="shared" si="13"/>
        <v>3737966</v>
      </c>
      <c r="T16" s="2">
        <f t="shared" si="13"/>
        <v>0</v>
      </c>
      <c r="U16" s="2">
        <f t="shared" si="13"/>
        <v>0</v>
      </c>
      <c r="V16" s="95">
        <f t="shared" si="13"/>
        <v>0</v>
      </c>
      <c r="W16" s="2">
        <f t="shared" si="13"/>
        <v>-114916.38</v>
      </c>
      <c r="X16" s="2">
        <f t="shared" si="13"/>
        <v>3623049.62</v>
      </c>
      <c r="Z16" s="8"/>
    </row>
    <row r="17" spans="1:26" s="5" customFormat="1" ht="15" customHeight="1" x14ac:dyDescent="0.25">
      <c r="A17" s="14"/>
      <c r="B17" s="303" t="s">
        <v>29</v>
      </c>
      <c r="C17" s="173"/>
      <c r="D17" s="173">
        <v>51</v>
      </c>
      <c r="E17" s="173">
        <v>0</v>
      </c>
      <c r="F17" s="173">
        <v>851</v>
      </c>
      <c r="G17" s="1" t="s">
        <v>17</v>
      </c>
      <c r="H17" s="1" t="s">
        <v>6</v>
      </c>
      <c r="I17" s="1" t="s">
        <v>406</v>
      </c>
      <c r="J17" s="1" t="s">
        <v>30</v>
      </c>
      <c r="K17" s="2">
        <f>'[2]6 Вед15'!J18</f>
        <v>3777580</v>
      </c>
      <c r="L17" s="95">
        <f>'[2]6 Вед15'!K18</f>
        <v>0</v>
      </c>
      <c r="M17" s="2">
        <f t="shared" si="10"/>
        <v>3777580</v>
      </c>
      <c r="N17" s="95">
        <f>'[2]6 Вед15'!M18</f>
        <v>0</v>
      </c>
      <c r="O17" s="2">
        <f t="shared" si="4"/>
        <v>3777580</v>
      </c>
      <c r="P17" s="95">
        <f>'[2]6 Вед15'!O18</f>
        <v>0</v>
      </c>
      <c r="Q17" s="2">
        <f t="shared" ref="Q17" si="14">O17+P17</f>
        <v>3777580</v>
      </c>
      <c r="R17" s="95">
        <f>'[2]6 Вед15'!Q18</f>
        <v>-39614</v>
      </c>
      <c r="S17" s="2">
        <f t="shared" ref="S17" si="15">Q17+R17</f>
        <v>3737966</v>
      </c>
      <c r="T17" s="95"/>
      <c r="U17" s="95"/>
      <c r="V17" s="95"/>
      <c r="W17" s="2">
        <v>-114916.38</v>
      </c>
      <c r="X17" s="2">
        <f t="shared" si="7"/>
        <v>3623049.62</v>
      </c>
      <c r="Z17" s="8"/>
    </row>
    <row r="18" spans="1:26" s="5" customFormat="1" ht="14.25" customHeight="1" x14ac:dyDescent="0.25">
      <c r="A18" s="14"/>
      <c r="B18" s="303" t="s">
        <v>31</v>
      </c>
      <c r="C18" s="173"/>
      <c r="D18" s="173">
        <v>51</v>
      </c>
      <c r="E18" s="173">
        <v>0</v>
      </c>
      <c r="F18" s="173">
        <v>851</v>
      </c>
      <c r="G18" s="1" t="s">
        <v>17</v>
      </c>
      <c r="H18" s="1" t="s">
        <v>6</v>
      </c>
      <c r="I18" s="1" t="s">
        <v>406</v>
      </c>
      <c r="J18" s="1" t="s">
        <v>32</v>
      </c>
      <c r="K18" s="2">
        <f>K19+K20+K21</f>
        <v>1066000</v>
      </c>
      <c r="L18" s="2">
        <f t="shared" ref="L18:X18" si="16">L19+L20+L21</f>
        <v>0</v>
      </c>
      <c r="M18" s="2">
        <f t="shared" si="16"/>
        <v>1066000</v>
      </c>
      <c r="N18" s="2">
        <f t="shared" si="16"/>
        <v>0</v>
      </c>
      <c r="O18" s="2">
        <f t="shared" si="16"/>
        <v>1066000</v>
      </c>
      <c r="P18" s="2">
        <f t="shared" si="16"/>
        <v>0</v>
      </c>
      <c r="Q18" s="2">
        <f t="shared" si="16"/>
        <v>1066000</v>
      </c>
      <c r="R18" s="2">
        <f t="shared" si="16"/>
        <v>-36480</v>
      </c>
      <c r="S18" s="2">
        <f t="shared" si="16"/>
        <v>1029520</v>
      </c>
      <c r="T18" s="2">
        <f t="shared" si="16"/>
        <v>0</v>
      </c>
      <c r="U18" s="2">
        <f t="shared" si="16"/>
        <v>0</v>
      </c>
      <c r="V18" s="95">
        <f t="shared" si="16"/>
        <v>0</v>
      </c>
      <c r="W18" s="2">
        <f t="shared" si="16"/>
        <v>-359697</v>
      </c>
      <c r="X18" s="2">
        <f t="shared" si="16"/>
        <v>669823</v>
      </c>
      <c r="Z18" s="8"/>
    </row>
    <row r="19" spans="1:26" s="5" customFormat="1" ht="14.25" customHeight="1" x14ac:dyDescent="0.25">
      <c r="A19" s="14"/>
      <c r="B19" s="291" t="s">
        <v>33</v>
      </c>
      <c r="C19" s="173"/>
      <c r="D19" s="173">
        <v>51</v>
      </c>
      <c r="E19" s="173">
        <v>0</v>
      </c>
      <c r="F19" s="173">
        <v>851</v>
      </c>
      <c r="G19" s="1" t="s">
        <v>17</v>
      </c>
      <c r="H19" s="1" t="s">
        <v>6</v>
      </c>
      <c r="I19" s="1" t="s">
        <v>406</v>
      </c>
      <c r="J19" s="1" t="s">
        <v>34</v>
      </c>
      <c r="K19" s="2">
        <f>'[2]6 Вед15'!J20</f>
        <v>945200</v>
      </c>
      <c r="L19" s="95">
        <f>'[2]6 Вед15'!K20</f>
        <v>0</v>
      </c>
      <c r="M19" s="2">
        <f t="shared" si="10"/>
        <v>945200</v>
      </c>
      <c r="N19" s="95">
        <f>'[2]6 Вед15'!M20</f>
        <v>0</v>
      </c>
      <c r="O19" s="2">
        <f t="shared" si="4"/>
        <v>945200</v>
      </c>
      <c r="P19" s="95">
        <f>'[2]6 Вед15'!O20</f>
        <v>0</v>
      </c>
      <c r="Q19" s="2">
        <f t="shared" ref="Q19:Q21" si="17">O19+P19</f>
        <v>945200</v>
      </c>
      <c r="R19" s="95">
        <f>'[2]6 Вед15'!Q20</f>
        <v>-36480</v>
      </c>
      <c r="S19" s="2">
        <f t="shared" ref="S19:S21" si="18">Q19+R19</f>
        <v>908720</v>
      </c>
      <c r="T19" s="95"/>
      <c r="U19" s="95"/>
      <c r="V19" s="95"/>
      <c r="W19" s="2">
        <v>-359697</v>
      </c>
      <c r="X19" s="2">
        <f t="shared" si="7"/>
        <v>549023</v>
      </c>
      <c r="Z19" s="8"/>
    </row>
    <row r="20" spans="1:26" s="5" customFormat="1" ht="14.25" hidden="1" customHeight="1" x14ac:dyDescent="0.25">
      <c r="A20" s="14"/>
      <c r="B20" s="301" t="s">
        <v>435</v>
      </c>
      <c r="C20" s="173"/>
      <c r="D20" s="173">
        <v>51</v>
      </c>
      <c r="E20" s="173">
        <v>0</v>
      </c>
      <c r="F20" s="173">
        <v>851</v>
      </c>
      <c r="G20" s="1" t="s">
        <v>22</v>
      </c>
      <c r="H20" s="1" t="s">
        <v>6</v>
      </c>
      <c r="I20" s="1" t="s">
        <v>406</v>
      </c>
      <c r="J20" s="1" t="s">
        <v>35</v>
      </c>
      <c r="K20" s="2">
        <f>'[2]6 Вед15'!J21</f>
        <v>70800</v>
      </c>
      <c r="L20" s="95">
        <f>'[2]6 Вед15'!K21</f>
        <v>0</v>
      </c>
      <c r="M20" s="2">
        <f t="shared" si="10"/>
        <v>70800</v>
      </c>
      <c r="N20" s="95">
        <f>'[2]6 Вед15'!M21</f>
        <v>0</v>
      </c>
      <c r="O20" s="2">
        <f t="shared" si="4"/>
        <v>70800</v>
      </c>
      <c r="P20" s="95">
        <f>'[2]6 Вед15'!O21</f>
        <v>0</v>
      </c>
      <c r="Q20" s="2">
        <f t="shared" si="17"/>
        <v>70800</v>
      </c>
      <c r="R20" s="95">
        <f>'[2]6 Вед15'!Q21</f>
        <v>0</v>
      </c>
      <c r="S20" s="2">
        <f t="shared" si="18"/>
        <v>70800</v>
      </c>
      <c r="T20" s="95"/>
      <c r="U20" s="95"/>
      <c r="V20" s="95"/>
      <c r="W20" s="2">
        <f>'[2]6 Вед15'!V21</f>
        <v>0</v>
      </c>
      <c r="X20" s="2">
        <f t="shared" si="7"/>
        <v>70800</v>
      </c>
      <c r="Z20" s="8"/>
    </row>
    <row r="21" spans="1:26" s="5" customFormat="1" ht="14.25" hidden="1" customHeight="1" x14ac:dyDescent="0.25">
      <c r="A21" s="14"/>
      <c r="B21" s="291" t="s">
        <v>434</v>
      </c>
      <c r="C21" s="173"/>
      <c r="D21" s="173">
        <v>51</v>
      </c>
      <c r="E21" s="173">
        <v>0</v>
      </c>
      <c r="F21" s="173">
        <v>851</v>
      </c>
      <c r="G21" s="1" t="s">
        <v>22</v>
      </c>
      <c r="H21" s="1" t="s">
        <v>6</v>
      </c>
      <c r="I21" s="1" t="s">
        <v>406</v>
      </c>
      <c r="J21" s="1" t="s">
        <v>433</v>
      </c>
      <c r="K21" s="2">
        <f>'[2]6 Вед15'!J22</f>
        <v>50000</v>
      </c>
      <c r="L21" s="95">
        <f>'[2]6 Вед15'!K22</f>
        <v>0</v>
      </c>
      <c r="M21" s="2">
        <f t="shared" si="10"/>
        <v>50000</v>
      </c>
      <c r="N21" s="95">
        <f>'[2]6 Вед15'!M22</f>
        <v>0</v>
      </c>
      <c r="O21" s="2">
        <f t="shared" si="4"/>
        <v>50000</v>
      </c>
      <c r="P21" s="95">
        <f>'[2]6 Вед15'!O22</f>
        <v>0</v>
      </c>
      <c r="Q21" s="2">
        <f t="shared" si="17"/>
        <v>50000</v>
      </c>
      <c r="R21" s="95">
        <f>'[2]6 Вед15'!Q22</f>
        <v>0</v>
      </c>
      <c r="S21" s="2">
        <f t="shared" si="18"/>
        <v>50000</v>
      </c>
      <c r="T21" s="95"/>
      <c r="U21" s="95"/>
      <c r="V21" s="95"/>
      <c r="W21" s="2">
        <f>'[2]6 Вед15'!V22</f>
        <v>0</v>
      </c>
      <c r="X21" s="2">
        <f t="shared" si="7"/>
        <v>50000</v>
      </c>
      <c r="Z21" s="8"/>
    </row>
    <row r="22" spans="1:26" s="5" customFormat="1" ht="37.5" hidden="1" customHeight="1" x14ac:dyDescent="0.25">
      <c r="A22" s="324" t="s">
        <v>445</v>
      </c>
      <c r="B22" s="324"/>
      <c r="C22" s="291"/>
      <c r="D22" s="173">
        <v>51</v>
      </c>
      <c r="E22" s="173">
        <v>0</v>
      </c>
      <c r="F22" s="173">
        <v>851</v>
      </c>
      <c r="G22" s="1" t="s">
        <v>17</v>
      </c>
      <c r="H22" s="1" t="s">
        <v>6</v>
      </c>
      <c r="I22" s="1" t="s">
        <v>450</v>
      </c>
      <c r="J22" s="1"/>
      <c r="K22" s="2">
        <f t="shared" ref="K22:X23" si="19">K23</f>
        <v>2500</v>
      </c>
      <c r="L22" s="2">
        <f t="shared" si="19"/>
        <v>0</v>
      </c>
      <c r="M22" s="2">
        <f t="shared" si="19"/>
        <v>2500</v>
      </c>
      <c r="N22" s="2">
        <f t="shared" si="19"/>
        <v>0</v>
      </c>
      <c r="O22" s="2">
        <f t="shared" si="19"/>
        <v>2500</v>
      </c>
      <c r="P22" s="2">
        <f t="shared" si="19"/>
        <v>0</v>
      </c>
      <c r="Q22" s="2">
        <f t="shared" si="19"/>
        <v>2500</v>
      </c>
      <c r="R22" s="2">
        <f t="shared" si="19"/>
        <v>0</v>
      </c>
      <c r="S22" s="2">
        <f t="shared" si="19"/>
        <v>2500</v>
      </c>
      <c r="T22" s="2">
        <f t="shared" si="19"/>
        <v>0</v>
      </c>
      <c r="U22" s="2">
        <f t="shared" si="19"/>
        <v>0</v>
      </c>
      <c r="V22" s="95">
        <f t="shared" si="19"/>
        <v>0</v>
      </c>
      <c r="W22" s="2">
        <f t="shared" si="19"/>
        <v>0</v>
      </c>
      <c r="X22" s="2">
        <f t="shared" si="19"/>
        <v>2500</v>
      </c>
      <c r="Z22" s="8"/>
    </row>
    <row r="23" spans="1:26" s="5" customFormat="1" ht="23.25" hidden="1" customHeight="1" x14ac:dyDescent="0.25">
      <c r="A23" s="14"/>
      <c r="B23" s="303" t="s">
        <v>27</v>
      </c>
      <c r="C23" s="301"/>
      <c r="D23" s="173">
        <v>51</v>
      </c>
      <c r="E23" s="173">
        <v>0</v>
      </c>
      <c r="F23" s="173">
        <v>851</v>
      </c>
      <c r="G23" s="1" t="s">
        <v>17</v>
      </c>
      <c r="H23" s="1" t="s">
        <v>6</v>
      </c>
      <c r="I23" s="1" t="s">
        <v>450</v>
      </c>
      <c r="J23" s="1" t="s">
        <v>28</v>
      </c>
      <c r="K23" s="2">
        <f t="shared" si="19"/>
        <v>2500</v>
      </c>
      <c r="L23" s="2">
        <f t="shared" si="19"/>
        <v>0</v>
      </c>
      <c r="M23" s="2">
        <f t="shared" si="19"/>
        <v>2500</v>
      </c>
      <c r="N23" s="2">
        <f t="shared" si="19"/>
        <v>0</v>
      </c>
      <c r="O23" s="2">
        <f t="shared" si="19"/>
        <v>2500</v>
      </c>
      <c r="P23" s="2">
        <f t="shared" si="19"/>
        <v>0</v>
      </c>
      <c r="Q23" s="2">
        <f t="shared" si="19"/>
        <v>2500</v>
      </c>
      <c r="R23" s="2">
        <f t="shared" si="19"/>
        <v>0</v>
      </c>
      <c r="S23" s="2">
        <f t="shared" si="19"/>
        <v>2500</v>
      </c>
      <c r="T23" s="2">
        <f t="shared" si="19"/>
        <v>0</v>
      </c>
      <c r="U23" s="2">
        <f t="shared" si="19"/>
        <v>0</v>
      </c>
      <c r="V23" s="95">
        <f t="shared" si="19"/>
        <v>0</v>
      </c>
      <c r="W23" s="2">
        <f t="shared" si="19"/>
        <v>0</v>
      </c>
      <c r="X23" s="2">
        <f t="shared" si="19"/>
        <v>2500</v>
      </c>
      <c r="Z23" s="8"/>
    </row>
    <row r="24" spans="1:26" s="5" customFormat="1" ht="24" hidden="1" customHeight="1" x14ac:dyDescent="0.25">
      <c r="A24" s="14"/>
      <c r="B24" s="303" t="s">
        <v>29</v>
      </c>
      <c r="C24" s="291"/>
      <c r="D24" s="173">
        <v>51</v>
      </c>
      <c r="E24" s="173">
        <v>0</v>
      </c>
      <c r="F24" s="173">
        <v>851</v>
      </c>
      <c r="G24" s="1" t="s">
        <v>17</v>
      </c>
      <c r="H24" s="1" t="s">
        <v>6</v>
      </c>
      <c r="I24" s="1" t="s">
        <v>450</v>
      </c>
      <c r="J24" s="1" t="s">
        <v>30</v>
      </c>
      <c r="K24" s="2">
        <f>'[2]6 Вед15'!J25</f>
        <v>2500</v>
      </c>
      <c r="L24" s="95">
        <f>'[2]6 Вед15'!K25</f>
        <v>0</v>
      </c>
      <c r="M24" s="2">
        <f t="shared" si="10"/>
        <v>2500</v>
      </c>
      <c r="N24" s="95">
        <f>'[2]6 Вед15'!M25</f>
        <v>0</v>
      </c>
      <c r="O24" s="2">
        <f t="shared" si="4"/>
        <v>2500</v>
      </c>
      <c r="P24" s="95">
        <f>'[2]6 Вед15'!O25</f>
        <v>0</v>
      </c>
      <c r="Q24" s="2">
        <f t="shared" ref="Q24" si="20">O24+P24</f>
        <v>2500</v>
      </c>
      <c r="R24" s="95">
        <f>'[2]6 Вед15'!Q25</f>
        <v>0</v>
      </c>
      <c r="S24" s="2">
        <f t="shared" ref="S24" si="21">Q24+R24</f>
        <v>2500</v>
      </c>
      <c r="T24" s="95"/>
      <c r="U24" s="95"/>
      <c r="V24" s="95"/>
      <c r="W24" s="2">
        <f>'[2]6 Вед15'!V25</f>
        <v>0</v>
      </c>
      <c r="X24" s="2">
        <f t="shared" si="7"/>
        <v>2500</v>
      </c>
      <c r="Z24" s="8"/>
    </row>
    <row r="25" spans="1:26" s="5" customFormat="1" ht="15" customHeight="1" x14ac:dyDescent="0.25">
      <c r="A25" s="330" t="s">
        <v>579</v>
      </c>
      <c r="B25" s="331"/>
      <c r="C25" s="291"/>
      <c r="D25" s="173">
        <v>51</v>
      </c>
      <c r="E25" s="173">
        <v>0</v>
      </c>
      <c r="F25" s="173">
        <v>851</v>
      </c>
      <c r="G25" s="1"/>
      <c r="H25" s="1"/>
      <c r="I25" s="1" t="s">
        <v>589</v>
      </c>
      <c r="J25" s="1"/>
      <c r="K25" s="2">
        <f>K26</f>
        <v>0</v>
      </c>
      <c r="L25" s="2">
        <f t="shared" ref="L25:X26" si="22">L26</f>
        <v>4802500</v>
      </c>
      <c r="M25" s="2">
        <f t="shared" si="22"/>
        <v>4802500</v>
      </c>
      <c r="N25" s="2">
        <f t="shared" si="22"/>
        <v>0</v>
      </c>
      <c r="O25" s="2">
        <f t="shared" si="22"/>
        <v>4802500</v>
      </c>
      <c r="P25" s="2">
        <f t="shared" si="22"/>
        <v>-4017500</v>
      </c>
      <c r="Q25" s="2">
        <f t="shared" si="22"/>
        <v>785000</v>
      </c>
      <c r="R25" s="2">
        <f t="shared" si="22"/>
        <v>11500000</v>
      </c>
      <c r="S25" s="2">
        <f t="shared" si="22"/>
        <v>12285000</v>
      </c>
      <c r="T25" s="2">
        <f t="shared" si="22"/>
        <v>0</v>
      </c>
      <c r="U25" s="2">
        <f t="shared" si="22"/>
        <v>0</v>
      </c>
      <c r="V25" s="95">
        <f t="shared" si="22"/>
        <v>0</v>
      </c>
      <c r="W25" s="2">
        <f t="shared" si="22"/>
        <v>-207</v>
      </c>
      <c r="X25" s="2">
        <f t="shared" si="22"/>
        <v>12284793</v>
      </c>
      <c r="Z25" s="8"/>
    </row>
    <row r="26" spans="1:26" s="5" customFormat="1" ht="15" customHeight="1" x14ac:dyDescent="0.25">
      <c r="A26" s="305"/>
      <c r="B26" s="291" t="s">
        <v>436</v>
      </c>
      <c r="C26" s="291"/>
      <c r="D26" s="173">
        <v>51</v>
      </c>
      <c r="E26" s="173">
        <v>0</v>
      </c>
      <c r="F26" s="173">
        <v>851</v>
      </c>
      <c r="G26" s="1"/>
      <c r="H26" s="1"/>
      <c r="I26" s="1" t="s">
        <v>589</v>
      </c>
      <c r="J26" s="1" t="s">
        <v>75</v>
      </c>
      <c r="K26" s="2">
        <f>K27</f>
        <v>0</v>
      </c>
      <c r="L26" s="2">
        <f t="shared" si="22"/>
        <v>4802500</v>
      </c>
      <c r="M26" s="2">
        <f t="shared" si="22"/>
        <v>4802500</v>
      </c>
      <c r="N26" s="2">
        <f t="shared" si="22"/>
        <v>0</v>
      </c>
      <c r="O26" s="2">
        <f t="shared" si="22"/>
        <v>4802500</v>
      </c>
      <c r="P26" s="2">
        <f t="shared" si="22"/>
        <v>-4017500</v>
      </c>
      <c r="Q26" s="2">
        <f t="shared" si="22"/>
        <v>785000</v>
      </c>
      <c r="R26" s="2">
        <f t="shared" si="22"/>
        <v>11500000</v>
      </c>
      <c r="S26" s="2">
        <f t="shared" si="22"/>
        <v>12285000</v>
      </c>
      <c r="T26" s="2">
        <f t="shared" si="22"/>
        <v>0</v>
      </c>
      <c r="U26" s="2">
        <f t="shared" si="22"/>
        <v>0</v>
      </c>
      <c r="V26" s="95">
        <f t="shared" si="22"/>
        <v>0</v>
      </c>
      <c r="W26" s="2">
        <f t="shared" si="22"/>
        <v>-207</v>
      </c>
      <c r="X26" s="2">
        <f t="shared" si="22"/>
        <v>12284793</v>
      </c>
      <c r="Z26" s="8"/>
    </row>
    <row r="27" spans="1:26" s="5" customFormat="1" ht="24" customHeight="1" x14ac:dyDescent="0.25">
      <c r="A27" s="305"/>
      <c r="B27" s="291" t="s">
        <v>76</v>
      </c>
      <c r="C27" s="291"/>
      <c r="D27" s="173">
        <v>51</v>
      </c>
      <c r="E27" s="173">
        <v>0</v>
      </c>
      <c r="F27" s="173">
        <v>851</v>
      </c>
      <c r="G27" s="1"/>
      <c r="H27" s="1"/>
      <c r="I27" s="1" t="s">
        <v>589</v>
      </c>
      <c r="J27" s="1" t="s">
        <v>77</v>
      </c>
      <c r="K27" s="2"/>
      <c r="L27" s="95">
        <f>'[2]6 Вед15'!K132+'[2]6 Вед15'!K152</f>
        <v>4802500</v>
      </c>
      <c r="M27" s="2">
        <f t="shared" si="10"/>
        <v>4802500</v>
      </c>
      <c r="N27" s="95">
        <f>'[2]6 Вед15'!M132+'[2]6 Вед15'!M152</f>
        <v>0</v>
      </c>
      <c r="O27" s="2">
        <f t="shared" si="4"/>
        <v>4802500</v>
      </c>
      <c r="P27" s="95">
        <f>'[2]6 Вед15'!O132+'[2]6 Вед15'!O152</f>
        <v>-4017500</v>
      </c>
      <c r="Q27" s="2">
        <f t="shared" ref="Q27" si="23">O27+P27</f>
        <v>785000</v>
      </c>
      <c r="R27" s="95">
        <f>'[2]6 Вед15'!Q132+'[2]6 Вед15'!Q152</f>
        <v>11500000</v>
      </c>
      <c r="S27" s="2">
        <f t="shared" ref="S27" si="24">Q27+R27</f>
        <v>12285000</v>
      </c>
      <c r="T27" s="95"/>
      <c r="U27" s="95"/>
      <c r="V27" s="95"/>
      <c r="W27" s="2">
        <v>-207</v>
      </c>
      <c r="X27" s="2">
        <f t="shared" si="7"/>
        <v>12284793</v>
      </c>
      <c r="Z27" s="8"/>
    </row>
    <row r="28" spans="1:26" s="5" customFormat="1" ht="24" hidden="1" customHeight="1" x14ac:dyDescent="0.25">
      <c r="A28" s="330" t="s">
        <v>626</v>
      </c>
      <c r="B28" s="331"/>
      <c r="C28" s="291"/>
      <c r="D28" s="173">
        <v>51</v>
      </c>
      <c r="E28" s="173">
        <v>0</v>
      </c>
      <c r="F28" s="173">
        <v>851</v>
      </c>
      <c r="G28" s="1"/>
      <c r="H28" s="1"/>
      <c r="I28" s="1" t="s">
        <v>627</v>
      </c>
      <c r="J28" s="1"/>
      <c r="K28" s="2"/>
      <c r="L28" s="95"/>
      <c r="M28" s="2">
        <f>M29</f>
        <v>0</v>
      </c>
      <c r="N28" s="2">
        <f t="shared" ref="N28:X29" si="25">N29</f>
        <v>700000</v>
      </c>
      <c r="O28" s="2">
        <f t="shared" si="25"/>
        <v>700000</v>
      </c>
      <c r="P28" s="2">
        <f t="shared" si="25"/>
        <v>0</v>
      </c>
      <c r="Q28" s="2">
        <f t="shared" si="25"/>
        <v>700000</v>
      </c>
      <c r="R28" s="2">
        <f t="shared" si="25"/>
        <v>0</v>
      </c>
      <c r="S28" s="2">
        <f t="shared" si="25"/>
        <v>700000</v>
      </c>
      <c r="T28" s="2">
        <f t="shared" si="25"/>
        <v>0</v>
      </c>
      <c r="U28" s="2">
        <f t="shared" si="25"/>
        <v>0</v>
      </c>
      <c r="V28" s="95">
        <f t="shared" si="25"/>
        <v>0</v>
      </c>
      <c r="W28" s="2">
        <f t="shared" si="25"/>
        <v>0</v>
      </c>
      <c r="X28" s="2">
        <f t="shared" si="25"/>
        <v>700000</v>
      </c>
      <c r="Z28" s="8"/>
    </row>
    <row r="29" spans="1:26" s="5" customFormat="1" ht="14.25" hidden="1" customHeight="1" x14ac:dyDescent="0.25">
      <c r="A29" s="296"/>
      <c r="B29" s="291" t="s">
        <v>31</v>
      </c>
      <c r="C29" s="291"/>
      <c r="D29" s="173">
        <v>51</v>
      </c>
      <c r="E29" s="173">
        <v>0</v>
      </c>
      <c r="F29" s="173">
        <v>851</v>
      </c>
      <c r="G29" s="1"/>
      <c r="H29" s="1"/>
      <c r="I29" s="1" t="s">
        <v>627</v>
      </c>
      <c r="J29" s="1" t="s">
        <v>32</v>
      </c>
      <c r="K29" s="2"/>
      <c r="L29" s="95"/>
      <c r="M29" s="2">
        <f>M30</f>
        <v>0</v>
      </c>
      <c r="N29" s="2">
        <f t="shared" si="25"/>
        <v>700000</v>
      </c>
      <c r="O29" s="2">
        <f t="shared" si="25"/>
        <v>700000</v>
      </c>
      <c r="P29" s="2">
        <f t="shared" si="25"/>
        <v>0</v>
      </c>
      <c r="Q29" s="2">
        <f t="shared" si="25"/>
        <v>700000</v>
      </c>
      <c r="R29" s="2">
        <f t="shared" si="25"/>
        <v>0</v>
      </c>
      <c r="S29" s="2">
        <f t="shared" si="25"/>
        <v>700000</v>
      </c>
      <c r="T29" s="2">
        <f t="shared" si="25"/>
        <v>0</v>
      </c>
      <c r="U29" s="2">
        <f t="shared" si="25"/>
        <v>0</v>
      </c>
      <c r="V29" s="95">
        <f t="shared" si="25"/>
        <v>0</v>
      </c>
      <c r="W29" s="2">
        <f t="shared" si="25"/>
        <v>0</v>
      </c>
      <c r="X29" s="2">
        <f t="shared" si="25"/>
        <v>700000</v>
      </c>
      <c r="Z29" s="8"/>
    </row>
    <row r="30" spans="1:26" s="5" customFormat="1" ht="36.75" hidden="1" customHeight="1" x14ac:dyDescent="0.25">
      <c r="A30" s="296"/>
      <c r="B30" s="291" t="s">
        <v>357</v>
      </c>
      <c r="C30" s="291"/>
      <c r="D30" s="173">
        <v>51</v>
      </c>
      <c r="E30" s="173">
        <v>0</v>
      </c>
      <c r="F30" s="173">
        <v>851</v>
      </c>
      <c r="G30" s="1"/>
      <c r="H30" s="1"/>
      <c r="I30" s="1" t="s">
        <v>627</v>
      </c>
      <c r="J30" s="1" t="s">
        <v>65</v>
      </c>
      <c r="K30" s="2"/>
      <c r="L30" s="95"/>
      <c r="M30" s="2">
        <f t="shared" si="10"/>
        <v>0</v>
      </c>
      <c r="N30" s="95">
        <f>'[2]6 Вед15'!M89</f>
        <v>700000</v>
      </c>
      <c r="O30" s="2">
        <f t="shared" si="4"/>
        <v>700000</v>
      </c>
      <c r="P30" s="95">
        <f>'[2]6 Вед15'!O89</f>
        <v>0</v>
      </c>
      <c r="Q30" s="2">
        <f t="shared" ref="Q30" si="26">O30+P30</f>
        <v>700000</v>
      </c>
      <c r="R30" s="95">
        <f>'[2]6 Вед15'!Q89</f>
        <v>0</v>
      </c>
      <c r="S30" s="2">
        <f t="shared" ref="S30" si="27">Q30+R30</f>
        <v>700000</v>
      </c>
      <c r="T30" s="95"/>
      <c r="U30" s="95"/>
      <c r="V30" s="95"/>
      <c r="W30" s="2">
        <f>'[2]6 Вед15'!V89</f>
        <v>0</v>
      </c>
      <c r="X30" s="2">
        <f t="shared" si="7"/>
        <v>700000</v>
      </c>
      <c r="Z30" s="8"/>
    </row>
    <row r="31" spans="1:26" s="12" customFormat="1" ht="14.25" customHeight="1" x14ac:dyDescent="0.25">
      <c r="A31" s="324" t="s">
        <v>414</v>
      </c>
      <c r="B31" s="324"/>
      <c r="C31" s="295"/>
      <c r="D31" s="173">
        <v>51</v>
      </c>
      <c r="E31" s="173">
        <v>0</v>
      </c>
      <c r="F31" s="173">
        <v>851</v>
      </c>
      <c r="G31" s="1" t="s">
        <v>3</v>
      </c>
      <c r="H31" s="1" t="s">
        <v>57</v>
      </c>
      <c r="I31" s="1" t="s">
        <v>320</v>
      </c>
      <c r="J31" s="10"/>
      <c r="K31" s="2">
        <f>K32+K34</f>
        <v>1332400</v>
      </c>
      <c r="L31" s="2">
        <f t="shared" ref="L31:S31" si="28">L32+L34</f>
        <v>10900</v>
      </c>
      <c r="M31" s="2">
        <f t="shared" si="28"/>
        <v>1343300</v>
      </c>
      <c r="N31" s="2">
        <f t="shared" si="28"/>
        <v>0</v>
      </c>
      <c r="O31" s="2">
        <f t="shared" si="28"/>
        <v>1343300</v>
      </c>
      <c r="P31" s="2">
        <f t="shared" si="28"/>
        <v>0</v>
      </c>
      <c r="Q31" s="2">
        <f t="shared" si="28"/>
        <v>1343300</v>
      </c>
      <c r="R31" s="2">
        <f t="shared" si="28"/>
        <v>0</v>
      </c>
      <c r="S31" s="2">
        <f t="shared" si="28"/>
        <v>1343300</v>
      </c>
      <c r="T31" s="2"/>
      <c r="U31" s="2"/>
      <c r="V31" s="95"/>
      <c r="W31" s="2">
        <f t="shared" ref="W31" si="29">W32+W34</f>
        <v>-5519.6500000000015</v>
      </c>
      <c r="X31" s="2">
        <f t="shared" si="7"/>
        <v>1337780.3500000001</v>
      </c>
      <c r="Z31" s="8"/>
    </row>
    <row r="32" spans="1:26" s="5" customFormat="1" ht="38.25" customHeight="1" x14ac:dyDescent="0.25">
      <c r="A32" s="248"/>
      <c r="B32" s="301" t="s">
        <v>21</v>
      </c>
      <c r="C32" s="291"/>
      <c r="D32" s="173">
        <v>51</v>
      </c>
      <c r="E32" s="173">
        <v>0</v>
      </c>
      <c r="F32" s="173">
        <v>851</v>
      </c>
      <c r="G32" s="1" t="s">
        <v>3</v>
      </c>
      <c r="H32" s="17" t="s">
        <v>57</v>
      </c>
      <c r="I32" s="17" t="s">
        <v>320</v>
      </c>
      <c r="J32" s="1" t="s">
        <v>23</v>
      </c>
      <c r="K32" s="2">
        <f t="shared" ref="K32:W32" si="30">K33</f>
        <v>1246000</v>
      </c>
      <c r="L32" s="2">
        <f t="shared" si="30"/>
        <v>0</v>
      </c>
      <c r="M32" s="2">
        <f t="shared" si="30"/>
        <v>1246000</v>
      </c>
      <c r="N32" s="2">
        <f t="shared" si="30"/>
        <v>0</v>
      </c>
      <c r="O32" s="2">
        <f t="shared" si="30"/>
        <v>1246000</v>
      </c>
      <c r="P32" s="2">
        <f t="shared" si="30"/>
        <v>0</v>
      </c>
      <c r="Q32" s="2">
        <f t="shared" si="30"/>
        <v>1246000</v>
      </c>
      <c r="R32" s="2">
        <f t="shared" si="30"/>
        <v>0</v>
      </c>
      <c r="S32" s="2">
        <f t="shared" si="30"/>
        <v>1246000</v>
      </c>
      <c r="T32" s="2"/>
      <c r="U32" s="2"/>
      <c r="V32" s="95"/>
      <c r="W32" s="2">
        <f t="shared" si="30"/>
        <v>34056.269999999997</v>
      </c>
      <c r="X32" s="2">
        <f t="shared" si="7"/>
        <v>1280056.27</v>
      </c>
      <c r="Z32" s="8"/>
    </row>
    <row r="33" spans="1:26" s="5" customFormat="1" x14ac:dyDescent="0.25">
      <c r="A33" s="248"/>
      <c r="B33" s="291" t="s">
        <v>59</v>
      </c>
      <c r="C33" s="291"/>
      <c r="D33" s="173">
        <v>51</v>
      </c>
      <c r="E33" s="173">
        <v>0</v>
      </c>
      <c r="F33" s="173">
        <v>851</v>
      </c>
      <c r="G33" s="1" t="s">
        <v>3</v>
      </c>
      <c r="H33" s="17" t="s">
        <v>57</v>
      </c>
      <c r="I33" s="17" t="s">
        <v>320</v>
      </c>
      <c r="J33" s="1" t="s">
        <v>60</v>
      </c>
      <c r="K33" s="2">
        <f>'[2]6 Вед15'!J82</f>
        <v>1246000</v>
      </c>
      <c r="L33" s="95">
        <f>'[2]6 Вед15'!K82</f>
        <v>0</v>
      </c>
      <c r="M33" s="2">
        <f t="shared" si="10"/>
        <v>1246000</v>
      </c>
      <c r="N33" s="95">
        <f>'[2]6 Вед15'!M82</f>
        <v>0</v>
      </c>
      <c r="O33" s="2">
        <f t="shared" si="4"/>
        <v>1246000</v>
      </c>
      <c r="P33" s="95">
        <f>'[2]6 Вед15'!O82</f>
        <v>0</v>
      </c>
      <c r="Q33" s="2">
        <f t="shared" ref="Q33" si="31">O33+P33</f>
        <v>1246000</v>
      </c>
      <c r="R33" s="95">
        <f>'[2]6 Вед15'!Q82</f>
        <v>0</v>
      </c>
      <c r="S33" s="2">
        <f t="shared" ref="S33" si="32">Q33+R33</f>
        <v>1246000</v>
      </c>
      <c r="T33" s="95"/>
      <c r="U33" s="95"/>
      <c r="V33" s="95"/>
      <c r="W33" s="2">
        <v>34056.269999999997</v>
      </c>
      <c r="X33" s="2">
        <f t="shared" si="7"/>
        <v>1280056.27</v>
      </c>
      <c r="Z33" s="8"/>
    </row>
    <row r="34" spans="1:26" s="5" customFormat="1" ht="15" customHeight="1" x14ac:dyDescent="0.25">
      <c r="A34" s="18"/>
      <c r="B34" s="303" t="s">
        <v>27</v>
      </c>
      <c r="C34" s="301"/>
      <c r="D34" s="173">
        <v>51</v>
      </c>
      <c r="E34" s="173">
        <v>0</v>
      </c>
      <c r="F34" s="173">
        <v>851</v>
      </c>
      <c r="G34" s="1" t="s">
        <v>3</v>
      </c>
      <c r="H34" s="17" t="s">
        <v>57</v>
      </c>
      <c r="I34" s="17" t="s">
        <v>320</v>
      </c>
      <c r="J34" s="1" t="s">
        <v>28</v>
      </c>
      <c r="K34" s="2">
        <f t="shared" ref="K34:W34" si="33">K35</f>
        <v>86400</v>
      </c>
      <c r="L34" s="2">
        <f t="shared" si="33"/>
        <v>10900</v>
      </c>
      <c r="M34" s="2">
        <f t="shared" si="33"/>
        <v>97300</v>
      </c>
      <c r="N34" s="2">
        <f t="shared" si="33"/>
        <v>0</v>
      </c>
      <c r="O34" s="2">
        <f t="shared" si="33"/>
        <v>97300</v>
      </c>
      <c r="P34" s="2">
        <f t="shared" si="33"/>
        <v>0</v>
      </c>
      <c r="Q34" s="2">
        <f t="shared" si="33"/>
        <v>97300</v>
      </c>
      <c r="R34" s="2">
        <f t="shared" si="33"/>
        <v>0</v>
      </c>
      <c r="S34" s="2">
        <f t="shared" si="33"/>
        <v>97300</v>
      </c>
      <c r="T34" s="2"/>
      <c r="U34" s="2"/>
      <c r="V34" s="95"/>
      <c r="W34" s="2">
        <f t="shared" si="33"/>
        <v>-39575.919999999998</v>
      </c>
      <c r="X34" s="2">
        <f t="shared" si="7"/>
        <v>57724.08</v>
      </c>
      <c r="Z34" s="8"/>
    </row>
    <row r="35" spans="1:26" s="5" customFormat="1" ht="15" customHeight="1" x14ac:dyDescent="0.25">
      <c r="A35" s="18"/>
      <c r="B35" s="303" t="s">
        <v>29</v>
      </c>
      <c r="C35" s="291"/>
      <c r="D35" s="173">
        <v>51</v>
      </c>
      <c r="E35" s="173">
        <v>0</v>
      </c>
      <c r="F35" s="173">
        <v>851</v>
      </c>
      <c r="G35" s="1" t="s">
        <v>3</v>
      </c>
      <c r="H35" s="17" t="s">
        <v>57</v>
      </c>
      <c r="I35" s="17" t="s">
        <v>320</v>
      </c>
      <c r="J35" s="1" t="s">
        <v>30</v>
      </c>
      <c r="K35" s="2">
        <f>'[2]6 Вед15'!J84</f>
        <v>86400</v>
      </c>
      <c r="L35" s="95">
        <f>'[2]6 Вед15'!K84</f>
        <v>10900</v>
      </c>
      <c r="M35" s="2">
        <f t="shared" si="10"/>
        <v>97300</v>
      </c>
      <c r="N35" s="95">
        <f>'[2]6 Вед15'!M84</f>
        <v>0</v>
      </c>
      <c r="O35" s="2">
        <f t="shared" si="4"/>
        <v>97300</v>
      </c>
      <c r="P35" s="95">
        <f>'[2]6 Вед15'!O84</f>
        <v>0</v>
      </c>
      <c r="Q35" s="2">
        <f t="shared" ref="Q35" si="34">O35+P35</f>
        <v>97300</v>
      </c>
      <c r="R35" s="95">
        <f>'[2]6 Вед15'!Q84</f>
        <v>0</v>
      </c>
      <c r="S35" s="2">
        <f t="shared" ref="S35" si="35">Q35+R35</f>
        <v>97300</v>
      </c>
      <c r="T35" s="95"/>
      <c r="U35" s="95"/>
      <c r="V35" s="95"/>
      <c r="W35" s="2">
        <v>-39575.919999999998</v>
      </c>
      <c r="X35" s="2">
        <f t="shared" si="7"/>
        <v>57724.08</v>
      </c>
      <c r="Z35" s="8"/>
    </row>
    <row r="36" spans="1:26" s="5" customFormat="1" ht="35.25" customHeight="1" x14ac:dyDescent="0.25">
      <c r="A36" s="324" t="s">
        <v>45</v>
      </c>
      <c r="B36" s="324"/>
      <c r="C36" s="173"/>
      <c r="D36" s="173">
        <v>51</v>
      </c>
      <c r="E36" s="173">
        <v>0</v>
      </c>
      <c r="F36" s="173">
        <v>851</v>
      </c>
      <c r="G36" s="1" t="s">
        <v>17</v>
      </c>
      <c r="H36" s="1" t="s">
        <v>44</v>
      </c>
      <c r="I36" s="1" t="s">
        <v>315</v>
      </c>
      <c r="J36" s="1"/>
      <c r="K36" s="2">
        <f t="shared" ref="K36:S36" si="36">K37+K39</f>
        <v>340700</v>
      </c>
      <c r="L36" s="2">
        <f t="shared" si="36"/>
        <v>0</v>
      </c>
      <c r="M36" s="2">
        <f t="shared" si="36"/>
        <v>340700</v>
      </c>
      <c r="N36" s="2">
        <f t="shared" si="36"/>
        <v>-23856</v>
      </c>
      <c r="O36" s="2">
        <f t="shared" si="36"/>
        <v>316844</v>
      </c>
      <c r="P36" s="2">
        <f t="shared" si="36"/>
        <v>0</v>
      </c>
      <c r="Q36" s="2">
        <f t="shared" si="36"/>
        <v>316844</v>
      </c>
      <c r="R36" s="2">
        <f t="shared" si="36"/>
        <v>0</v>
      </c>
      <c r="S36" s="2">
        <f t="shared" si="36"/>
        <v>316844</v>
      </c>
      <c r="T36" s="2"/>
      <c r="U36" s="2"/>
      <c r="V36" s="95"/>
      <c r="W36" s="2">
        <f t="shared" ref="W36" si="37">W37+W39</f>
        <v>0</v>
      </c>
      <c r="X36" s="2">
        <f t="shared" si="7"/>
        <v>316844</v>
      </c>
      <c r="Z36" s="8"/>
    </row>
    <row r="37" spans="1:26" s="5" customFormat="1" ht="38.25" customHeight="1" x14ac:dyDescent="0.25">
      <c r="A37" s="14"/>
      <c r="B37" s="301" t="s">
        <v>21</v>
      </c>
      <c r="C37" s="173"/>
      <c r="D37" s="173">
        <v>51</v>
      </c>
      <c r="E37" s="173">
        <v>0</v>
      </c>
      <c r="F37" s="173">
        <v>851</v>
      </c>
      <c r="G37" s="1" t="s">
        <v>17</v>
      </c>
      <c r="H37" s="1" t="s">
        <v>44</v>
      </c>
      <c r="I37" s="1" t="s">
        <v>315</v>
      </c>
      <c r="J37" s="1" t="s">
        <v>23</v>
      </c>
      <c r="K37" s="2">
        <f t="shared" ref="K37:W37" si="38">K38</f>
        <v>216840</v>
      </c>
      <c r="L37" s="2">
        <f t="shared" si="38"/>
        <v>0</v>
      </c>
      <c r="M37" s="2">
        <f t="shared" si="38"/>
        <v>216840</v>
      </c>
      <c r="N37" s="2">
        <f t="shared" si="38"/>
        <v>0</v>
      </c>
      <c r="O37" s="2">
        <f t="shared" si="38"/>
        <v>216840</v>
      </c>
      <c r="P37" s="2">
        <f t="shared" si="38"/>
        <v>0</v>
      </c>
      <c r="Q37" s="2">
        <f t="shared" si="38"/>
        <v>216840</v>
      </c>
      <c r="R37" s="2">
        <f t="shared" si="38"/>
        <v>0</v>
      </c>
      <c r="S37" s="2">
        <f t="shared" si="38"/>
        <v>216840</v>
      </c>
      <c r="T37" s="2"/>
      <c r="U37" s="2"/>
      <c r="V37" s="95"/>
      <c r="W37" s="2">
        <f t="shared" si="38"/>
        <v>-19769.82</v>
      </c>
      <c r="X37" s="2">
        <f t="shared" si="7"/>
        <v>197070.18</v>
      </c>
      <c r="Z37" s="8"/>
    </row>
    <row r="38" spans="1:26" s="5" customFormat="1" ht="15" customHeight="1" x14ac:dyDescent="0.25">
      <c r="A38" s="14"/>
      <c r="B38" s="301" t="s">
        <v>24</v>
      </c>
      <c r="C38" s="173"/>
      <c r="D38" s="173">
        <v>51</v>
      </c>
      <c r="E38" s="173">
        <v>0</v>
      </c>
      <c r="F38" s="173">
        <v>851</v>
      </c>
      <c r="G38" s="1" t="s">
        <v>17</v>
      </c>
      <c r="H38" s="1" t="s">
        <v>44</v>
      </c>
      <c r="I38" s="1" t="s">
        <v>315</v>
      </c>
      <c r="J38" s="1" t="s">
        <v>25</v>
      </c>
      <c r="K38" s="2">
        <f>'[2]6 Вед15'!J41</f>
        <v>216840</v>
      </c>
      <c r="L38" s="95">
        <f>'[2]6 Вед15'!K41</f>
        <v>0</v>
      </c>
      <c r="M38" s="2">
        <f t="shared" si="10"/>
        <v>216840</v>
      </c>
      <c r="N38" s="95">
        <f>'[2]6 Вед15'!M41</f>
        <v>0</v>
      </c>
      <c r="O38" s="2">
        <f t="shared" si="4"/>
        <v>216840</v>
      </c>
      <c r="P38" s="95">
        <f>'[2]6 Вед15'!O41</f>
        <v>0</v>
      </c>
      <c r="Q38" s="2">
        <f t="shared" ref="Q38" si="39">O38+P38</f>
        <v>216840</v>
      </c>
      <c r="R38" s="95">
        <f>'[2]6 Вед15'!Q41</f>
        <v>0</v>
      </c>
      <c r="S38" s="2">
        <f t="shared" ref="S38" si="40">Q38+R38</f>
        <v>216840</v>
      </c>
      <c r="T38" s="95"/>
      <c r="U38" s="95"/>
      <c r="V38" s="95"/>
      <c r="W38" s="2">
        <v>-19769.82</v>
      </c>
      <c r="X38" s="2">
        <f t="shared" si="7"/>
        <v>197070.18</v>
      </c>
      <c r="Z38" s="8"/>
    </row>
    <row r="39" spans="1:26" s="5" customFormat="1" ht="15" customHeight="1" x14ac:dyDescent="0.25">
      <c r="A39" s="14"/>
      <c r="B39" s="303" t="s">
        <v>27</v>
      </c>
      <c r="C39" s="173"/>
      <c r="D39" s="173">
        <v>51</v>
      </c>
      <c r="E39" s="173">
        <v>0</v>
      </c>
      <c r="F39" s="173">
        <v>851</v>
      </c>
      <c r="G39" s="1" t="s">
        <v>17</v>
      </c>
      <c r="H39" s="1" t="s">
        <v>44</v>
      </c>
      <c r="I39" s="1" t="s">
        <v>315</v>
      </c>
      <c r="J39" s="1" t="s">
        <v>28</v>
      </c>
      <c r="K39" s="2">
        <f t="shared" ref="K39:W39" si="41">K40</f>
        <v>123860</v>
      </c>
      <c r="L39" s="2">
        <f t="shared" si="41"/>
        <v>0</v>
      </c>
      <c r="M39" s="2">
        <f t="shared" si="41"/>
        <v>123860</v>
      </c>
      <c r="N39" s="2">
        <f t="shared" si="41"/>
        <v>-23856</v>
      </c>
      <c r="O39" s="2">
        <f t="shared" si="41"/>
        <v>100004</v>
      </c>
      <c r="P39" s="2">
        <f t="shared" si="41"/>
        <v>0</v>
      </c>
      <c r="Q39" s="2">
        <f t="shared" si="41"/>
        <v>100004</v>
      </c>
      <c r="R39" s="2">
        <f t="shared" si="41"/>
        <v>0</v>
      </c>
      <c r="S39" s="2">
        <f t="shared" si="41"/>
        <v>100004</v>
      </c>
      <c r="T39" s="2"/>
      <c r="U39" s="2"/>
      <c r="V39" s="95"/>
      <c r="W39" s="2">
        <f t="shared" si="41"/>
        <v>19769.82</v>
      </c>
      <c r="X39" s="2">
        <f t="shared" si="7"/>
        <v>119773.82</v>
      </c>
      <c r="Z39" s="8"/>
    </row>
    <row r="40" spans="1:26" s="5" customFormat="1" ht="15" customHeight="1" x14ac:dyDescent="0.25">
      <c r="A40" s="14"/>
      <c r="B40" s="303" t="s">
        <v>29</v>
      </c>
      <c r="C40" s="173"/>
      <c r="D40" s="173">
        <v>51</v>
      </c>
      <c r="E40" s="173">
        <v>0</v>
      </c>
      <c r="F40" s="173">
        <v>851</v>
      </c>
      <c r="G40" s="1" t="s">
        <v>17</v>
      </c>
      <c r="H40" s="1" t="s">
        <v>44</v>
      </c>
      <c r="I40" s="1" t="s">
        <v>315</v>
      </c>
      <c r="J40" s="1" t="s">
        <v>30</v>
      </c>
      <c r="K40" s="2">
        <f>'[2]6 Вед15'!J43</f>
        <v>123860</v>
      </c>
      <c r="L40" s="95">
        <f>'[2]6 Вед15'!K43</f>
        <v>0</v>
      </c>
      <c r="M40" s="2">
        <f t="shared" si="10"/>
        <v>123860</v>
      </c>
      <c r="N40" s="95">
        <f>'[2]6 Вед15'!M43</f>
        <v>-23856</v>
      </c>
      <c r="O40" s="2">
        <f t="shared" si="4"/>
        <v>100004</v>
      </c>
      <c r="P40" s="95">
        <f>'[2]6 Вед15'!O43</f>
        <v>0</v>
      </c>
      <c r="Q40" s="2">
        <f t="shared" ref="Q40" si="42">O40+P40</f>
        <v>100004</v>
      </c>
      <c r="R40" s="95">
        <f>'[2]6 Вед15'!Q43</f>
        <v>0</v>
      </c>
      <c r="S40" s="2">
        <f t="shared" ref="S40" si="43">Q40+R40</f>
        <v>100004</v>
      </c>
      <c r="T40" s="95"/>
      <c r="U40" s="95"/>
      <c r="V40" s="95"/>
      <c r="W40" s="2">
        <v>19769.82</v>
      </c>
      <c r="X40" s="2">
        <f t="shared" si="7"/>
        <v>119773.82</v>
      </c>
      <c r="Z40" s="8"/>
    </row>
    <row r="41" spans="1:26" s="12" customFormat="1" ht="57" customHeight="1" x14ac:dyDescent="0.25">
      <c r="A41" s="324" t="s">
        <v>439</v>
      </c>
      <c r="B41" s="324"/>
      <c r="C41" s="295"/>
      <c r="D41" s="62">
        <v>51</v>
      </c>
      <c r="E41" s="62">
        <v>0</v>
      </c>
      <c r="F41" s="173">
        <v>851</v>
      </c>
      <c r="G41" s="1" t="s">
        <v>6</v>
      </c>
      <c r="H41" s="1" t="s">
        <v>63</v>
      </c>
      <c r="I41" s="1" t="s">
        <v>453</v>
      </c>
      <c r="J41" s="1"/>
      <c r="K41" s="2">
        <f>K42</f>
        <v>11140</v>
      </c>
      <c r="L41" s="2">
        <f t="shared" ref="L41:W42" si="44">L42</f>
        <v>0</v>
      </c>
      <c r="M41" s="2">
        <f t="shared" si="44"/>
        <v>11140</v>
      </c>
      <c r="N41" s="2">
        <f t="shared" si="44"/>
        <v>0</v>
      </c>
      <c r="O41" s="2">
        <f t="shared" si="44"/>
        <v>11140</v>
      </c>
      <c r="P41" s="2">
        <f t="shared" si="44"/>
        <v>0</v>
      </c>
      <c r="Q41" s="2">
        <f t="shared" si="44"/>
        <v>11140</v>
      </c>
      <c r="R41" s="2">
        <f t="shared" si="44"/>
        <v>0</v>
      </c>
      <c r="S41" s="2">
        <f t="shared" si="44"/>
        <v>11140</v>
      </c>
      <c r="T41" s="2"/>
      <c r="U41" s="2"/>
      <c r="V41" s="95"/>
      <c r="W41" s="2">
        <f t="shared" si="44"/>
        <v>0</v>
      </c>
      <c r="X41" s="2">
        <f t="shared" si="7"/>
        <v>11140</v>
      </c>
      <c r="Z41" s="8"/>
    </row>
    <row r="42" spans="1:26" s="12" customFormat="1" ht="15" customHeight="1" x14ac:dyDescent="0.25">
      <c r="A42" s="295"/>
      <c r="B42" s="303" t="s">
        <v>27</v>
      </c>
      <c r="C42" s="301"/>
      <c r="D42" s="62">
        <v>51</v>
      </c>
      <c r="E42" s="62">
        <v>0</v>
      </c>
      <c r="F42" s="173">
        <v>851</v>
      </c>
      <c r="G42" s="1" t="s">
        <v>6</v>
      </c>
      <c r="H42" s="1" t="s">
        <v>63</v>
      </c>
      <c r="I42" s="1" t="s">
        <v>453</v>
      </c>
      <c r="J42" s="1" t="s">
        <v>28</v>
      </c>
      <c r="K42" s="2">
        <f>K43</f>
        <v>11140</v>
      </c>
      <c r="L42" s="2">
        <f t="shared" si="44"/>
        <v>0</v>
      </c>
      <c r="M42" s="2">
        <f t="shared" si="44"/>
        <v>11140</v>
      </c>
      <c r="N42" s="2">
        <f t="shared" si="44"/>
        <v>0</v>
      </c>
      <c r="O42" s="2">
        <f t="shared" si="44"/>
        <v>11140</v>
      </c>
      <c r="P42" s="2">
        <f t="shared" si="44"/>
        <v>0</v>
      </c>
      <c r="Q42" s="2">
        <f t="shared" si="44"/>
        <v>11140</v>
      </c>
      <c r="R42" s="2">
        <f t="shared" si="44"/>
        <v>0</v>
      </c>
      <c r="S42" s="2">
        <f t="shared" si="44"/>
        <v>11140</v>
      </c>
      <c r="T42" s="2"/>
      <c r="U42" s="2"/>
      <c r="V42" s="95"/>
      <c r="W42" s="2">
        <f t="shared" si="44"/>
        <v>0</v>
      </c>
      <c r="X42" s="2">
        <f t="shared" si="7"/>
        <v>11140</v>
      </c>
      <c r="Z42" s="8"/>
    </row>
    <row r="43" spans="1:26" s="12" customFormat="1" ht="15" customHeight="1" x14ac:dyDescent="0.25">
      <c r="A43" s="295"/>
      <c r="B43" s="303" t="s">
        <v>29</v>
      </c>
      <c r="C43" s="291"/>
      <c r="D43" s="62">
        <v>51</v>
      </c>
      <c r="E43" s="62">
        <v>0</v>
      </c>
      <c r="F43" s="173">
        <v>851</v>
      </c>
      <c r="G43" s="1" t="s">
        <v>6</v>
      </c>
      <c r="H43" s="1" t="s">
        <v>63</v>
      </c>
      <c r="I43" s="1" t="s">
        <v>453</v>
      </c>
      <c r="J43" s="1" t="s">
        <v>30</v>
      </c>
      <c r="K43" s="2">
        <f>'[2]6 Вед15'!J92</f>
        <v>11140</v>
      </c>
      <c r="L43" s="95">
        <f>'[2]6 Вед15'!K92</f>
        <v>0</v>
      </c>
      <c r="M43" s="2">
        <f t="shared" si="10"/>
        <v>11140</v>
      </c>
      <c r="N43" s="95">
        <f>'[2]6 Вед15'!M92</f>
        <v>0</v>
      </c>
      <c r="O43" s="2">
        <f t="shared" si="4"/>
        <v>11140</v>
      </c>
      <c r="P43" s="95">
        <f>'[2]6 Вед15'!O92</f>
        <v>0</v>
      </c>
      <c r="Q43" s="2">
        <f t="shared" ref="Q43" si="45">O43+P43</f>
        <v>11140</v>
      </c>
      <c r="R43" s="95">
        <f>'[2]6 Вед15'!Q92</f>
        <v>0</v>
      </c>
      <c r="S43" s="2">
        <f t="shared" ref="S43" si="46">Q43+R43</f>
        <v>11140</v>
      </c>
      <c r="T43" s="95"/>
      <c r="U43" s="95"/>
      <c r="V43" s="95"/>
      <c r="W43" s="2">
        <f>'[2]6 Вед15'!V92</f>
        <v>0</v>
      </c>
      <c r="X43" s="2">
        <f t="shared" si="7"/>
        <v>11140</v>
      </c>
      <c r="Z43" s="8"/>
    </row>
    <row r="44" spans="1:26" s="5" customFormat="1" ht="24" customHeight="1" x14ac:dyDescent="0.25">
      <c r="A44" s="324" t="s">
        <v>51</v>
      </c>
      <c r="B44" s="324"/>
      <c r="C44" s="291"/>
      <c r="D44" s="173">
        <v>51</v>
      </c>
      <c r="E44" s="173">
        <v>0</v>
      </c>
      <c r="F44" s="173">
        <v>851</v>
      </c>
      <c r="G44" s="1" t="s">
        <v>22</v>
      </c>
      <c r="H44" s="17" t="s">
        <v>44</v>
      </c>
      <c r="I44" s="17" t="s">
        <v>318</v>
      </c>
      <c r="J44" s="1"/>
      <c r="K44" s="2">
        <f t="shared" ref="K44:W45" si="47">K45</f>
        <v>450000</v>
      </c>
      <c r="L44" s="2">
        <f t="shared" si="47"/>
        <v>0</v>
      </c>
      <c r="M44" s="2">
        <f t="shared" si="47"/>
        <v>450000</v>
      </c>
      <c r="N44" s="2">
        <f t="shared" si="47"/>
        <v>0</v>
      </c>
      <c r="O44" s="2">
        <f t="shared" si="47"/>
        <v>450000</v>
      </c>
      <c r="P44" s="2">
        <f t="shared" si="47"/>
        <v>0</v>
      </c>
      <c r="Q44" s="2">
        <f t="shared" si="47"/>
        <v>450000</v>
      </c>
      <c r="R44" s="2">
        <f t="shared" si="47"/>
        <v>0</v>
      </c>
      <c r="S44" s="2">
        <f t="shared" si="47"/>
        <v>450000</v>
      </c>
      <c r="T44" s="2"/>
      <c r="U44" s="2"/>
      <c r="V44" s="95"/>
      <c r="W44" s="2">
        <f t="shared" si="47"/>
        <v>-108603</v>
      </c>
      <c r="X44" s="2">
        <f t="shared" si="7"/>
        <v>341397</v>
      </c>
      <c r="Z44" s="8"/>
    </row>
    <row r="45" spans="1:26" s="5" customFormat="1" ht="15" customHeight="1" x14ac:dyDescent="0.25">
      <c r="A45" s="14"/>
      <c r="B45" s="303" t="s">
        <v>27</v>
      </c>
      <c r="C45" s="301"/>
      <c r="D45" s="173">
        <v>51</v>
      </c>
      <c r="E45" s="173">
        <v>0</v>
      </c>
      <c r="F45" s="173">
        <v>851</v>
      </c>
      <c r="G45" s="1" t="s">
        <v>17</v>
      </c>
      <c r="H45" s="1" t="s">
        <v>44</v>
      </c>
      <c r="I45" s="1" t="s">
        <v>318</v>
      </c>
      <c r="J45" s="1" t="s">
        <v>28</v>
      </c>
      <c r="K45" s="2">
        <f t="shared" si="47"/>
        <v>450000</v>
      </c>
      <c r="L45" s="2">
        <f t="shared" si="47"/>
        <v>0</v>
      </c>
      <c r="M45" s="2">
        <f t="shared" si="47"/>
        <v>450000</v>
      </c>
      <c r="N45" s="2">
        <f t="shared" si="47"/>
        <v>0</v>
      </c>
      <c r="O45" s="2">
        <f t="shared" si="47"/>
        <v>450000</v>
      </c>
      <c r="P45" s="2">
        <f t="shared" si="47"/>
        <v>0</v>
      </c>
      <c r="Q45" s="2">
        <f t="shared" si="47"/>
        <v>450000</v>
      </c>
      <c r="R45" s="2">
        <f t="shared" si="47"/>
        <v>0</v>
      </c>
      <c r="S45" s="2">
        <f t="shared" si="47"/>
        <v>450000</v>
      </c>
      <c r="T45" s="2"/>
      <c r="U45" s="2"/>
      <c r="V45" s="95"/>
      <c r="W45" s="2">
        <f t="shared" si="47"/>
        <v>-108603</v>
      </c>
      <c r="X45" s="2">
        <f t="shared" si="7"/>
        <v>341397</v>
      </c>
      <c r="Z45" s="8"/>
    </row>
    <row r="46" spans="1:26" s="5" customFormat="1" ht="15" customHeight="1" x14ac:dyDescent="0.25">
      <c r="A46" s="14"/>
      <c r="B46" s="303" t="s">
        <v>29</v>
      </c>
      <c r="C46" s="291"/>
      <c r="D46" s="173">
        <v>51</v>
      </c>
      <c r="E46" s="173">
        <v>0</v>
      </c>
      <c r="F46" s="173">
        <v>851</v>
      </c>
      <c r="G46" s="1" t="s">
        <v>17</v>
      </c>
      <c r="H46" s="1" t="s">
        <v>44</v>
      </c>
      <c r="I46" s="1" t="s">
        <v>318</v>
      </c>
      <c r="J46" s="1" t="s">
        <v>30</v>
      </c>
      <c r="K46" s="2">
        <f>'[2]6 Вед15'!J46</f>
        <v>450000</v>
      </c>
      <c r="L46" s="95">
        <f>'[2]6 Вед15'!K46</f>
        <v>0</v>
      </c>
      <c r="M46" s="2">
        <f t="shared" si="10"/>
        <v>450000</v>
      </c>
      <c r="N46" s="95">
        <f>'[2]6 Вед15'!M46</f>
        <v>0</v>
      </c>
      <c r="O46" s="2">
        <f t="shared" si="4"/>
        <v>450000</v>
      </c>
      <c r="P46" s="95">
        <f>'[2]6 Вед15'!O46</f>
        <v>0</v>
      </c>
      <c r="Q46" s="2">
        <f t="shared" ref="Q46" si="48">O46+P46</f>
        <v>450000</v>
      </c>
      <c r="R46" s="95">
        <f>'[2]6 Вед15'!Q46</f>
        <v>0</v>
      </c>
      <c r="S46" s="2">
        <f t="shared" ref="S46" si="49">Q46+R46</f>
        <v>450000</v>
      </c>
      <c r="T46" s="95"/>
      <c r="U46" s="95"/>
      <c r="V46" s="95"/>
      <c r="W46" s="2">
        <v>-108603</v>
      </c>
      <c r="X46" s="2">
        <f t="shared" si="7"/>
        <v>341397</v>
      </c>
      <c r="Z46" s="8"/>
    </row>
    <row r="47" spans="1:26" s="5" customFormat="1" ht="15" customHeight="1" x14ac:dyDescent="0.25">
      <c r="A47" s="324" t="s">
        <v>53</v>
      </c>
      <c r="B47" s="324"/>
      <c r="C47" s="291"/>
      <c r="D47" s="173">
        <v>51</v>
      </c>
      <c r="E47" s="173">
        <v>0</v>
      </c>
      <c r="F47" s="173">
        <v>851</v>
      </c>
      <c r="G47" s="1" t="s">
        <v>17</v>
      </c>
      <c r="H47" s="1" t="s">
        <v>44</v>
      </c>
      <c r="I47" s="1" t="s">
        <v>319</v>
      </c>
      <c r="J47" s="1"/>
      <c r="K47" s="2">
        <f>K48</f>
        <v>1575000</v>
      </c>
      <c r="L47" s="2">
        <f t="shared" ref="L47:W47" si="50">L48</f>
        <v>0</v>
      </c>
      <c r="M47" s="2">
        <f t="shared" si="50"/>
        <v>1575000</v>
      </c>
      <c r="N47" s="2">
        <f t="shared" si="50"/>
        <v>0</v>
      </c>
      <c r="O47" s="2">
        <f t="shared" si="50"/>
        <v>1575000</v>
      </c>
      <c r="P47" s="2">
        <f t="shared" si="50"/>
        <v>0</v>
      </c>
      <c r="Q47" s="2">
        <f t="shared" si="50"/>
        <v>1575000</v>
      </c>
      <c r="R47" s="2">
        <f t="shared" si="50"/>
        <v>0</v>
      </c>
      <c r="S47" s="2">
        <f t="shared" si="50"/>
        <v>1575000</v>
      </c>
      <c r="T47" s="2"/>
      <c r="U47" s="2"/>
      <c r="V47" s="95"/>
      <c r="W47" s="2">
        <f t="shared" si="50"/>
        <v>106537.01</v>
      </c>
      <c r="X47" s="2">
        <f t="shared" si="7"/>
        <v>1681537.01</v>
      </c>
      <c r="Z47" s="8"/>
    </row>
    <row r="48" spans="1:26" s="5" customFormat="1" ht="15" customHeight="1" x14ac:dyDescent="0.25">
      <c r="A48" s="14"/>
      <c r="B48" s="303" t="s">
        <v>27</v>
      </c>
      <c r="C48" s="301"/>
      <c r="D48" s="173">
        <v>51</v>
      </c>
      <c r="E48" s="173">
        <v>0</v>
      </c>
      <c r="F48" s="173">
        <v>851</v>
      </c>
      <c r="G48" s="1" t="s">
        <v>17</v>
      </c>
      <c r="H48" s="1" t="s">
        <v>44</v>
      </c>
      <c r="I48" s="1" t="s">
        <v>319</v>
      </c>
      <c r="J48" s="1" t="s">
        <v>28</v>
      </c>
      <c r="K48" s="2">
        <f t="shared" ref="K48:W48" si="51">K49</f>
        <v>1575000</v>
      </c>
      <c r="L48" s="2">
        <f t="shared" si="51"/>
        <v>0</v>
      </c>
      <c r="M48" s="2">
        <f t="shared" si="51"/>
        <v>1575000</v>
      </c>
      <c r="N48" s="2">
        <f t="shared" si="51"/>
        <v>0</v>
      </c>
      <c r="O48" s="2">
        <f t="shared" si="51"/>
        <v>1575000</v>
      </c>
      <c r="P48" s="2">
        <f t="shared" si="51"/>
        <v>0</v>
      </c>
      <c r="Q48" s="2">
        <f t="shared" si="51"/>
        <v>1575000</v>
      </c>
      <c r="R48" s="2">
        <f t="shared" si="51"/>
        <v>0</v>
      </c>
      <c r="S48" s="2">
        <f t="shared" si="51"/>
        <v>1575000</v>
      </c>
      <c r="T48" s="2"/>
      <c r="U48" s="2"/>
      <c r="V48" s="95"/>
      <c r="W48" s="2">
        <f t="shared" si="51"/>
        <v>106537.01</v>
      </c>
      <c r="X48" s="2">
        <f t="shared" si="7"/>
        <v>1681537.01</v>
      </c>
      <c r="Z48" s="8"/>
    </row>
    <row r="49" spans="1:26" s="5" customFormat="1" ht="15" customHeight="1" x14ac:dyDescent="0.25">
      <c r="A49" s="14"/>
      <c r="B49" s="303" t="s">
        <v>29</v>
      </c>
      <c r="C49" s="291"/>
      <c r="D49" s="173">
        <v>51</v>
      </c>
      <c r="E49" s="173">
        <v>0</v>
      </c>
      <c r="F49" s="173">
        <v>851</v>
      </c>
      <c r="G49" s="1" t="s">
        <v>17</v>
      </c>
      <c r="H49" s="1" t="s">
        <v>44</v>
      </c>
      <c r="I49" s="1" t="s">
        <v>319</v>
      </c>
      <c r="J49" s="1" t="s">
        <v>30</v>
      </c>
      <c r="K49" s="2">
        <f>'[2]6 Вед15'!J49</f>
        <v>1575000</v>
      </c>
      <c r="L49" s="95">
        <f>'[2]6 Вед15'!K49</f>
        <v>0</v>
      </c>
      <c r="M49" s="2">
        <f t="shared" si="10"/>
        <v>1575000</v>
      </c>
      <c r="N49" s="95">
        <f>'[2]6 Вед15'!M49</f>
        <v>0</v>
      </c>
      <c r="O49" s="2">
        <f t="shared" si="4"/>
        <v>1575000</v>
      </c>
      <c r="P49" s="95">
        <f>'[2]6 Вед15'!O49</f>
        <v>0</v>
      </c>
      <c r="Q49" s="2">
        <f t="shared" ref="Q49" si="52">O49+P49</f>
        <v>1575000</v>
      </c>
      <c r="R49" s="95">
        <f>'[2]6 Вед15'!Q49</f>
        <v>0</v>
      </c>
      <c r="S49" s="2">
        <f t="shared" ref="S49" si="53">Q49+R49</f>
        <v>1575000</v>
      </c>
      <c r="T49" s="95"/>
      <c r="U49" s="95"/>
      <c r="V49" s="95"/>
      <c r="W49" s="2">
        <v>106537.01</v>
      </c>
      <c r="X49" s="2">
        <f t="shared" si="7"/>
        <v>1681537.01</v>
      </c>
      <c r="Z49" s="8"/>
    </row>
    <row r="50" spans="1:26" s="5" customFormat="1" ht="24.75" customHeight="1" x14ac:dyDescent="0.25">
      <c r="A50" s="324" t="s">
        <v>68</v>
      </c>
      <c r="B50" s="324"/>
      <c r="C50" s="291"/>
      <c r="D50" s="173">
        <v>51</v>
      </c>
      <c r="E50" s="173">
        <v>0</v>
      </c>
      <c r="F50" s="173">
        <v>851</v>
      </c>
      <c r="G50" s="17" t="s">
        <v>6</v>
      </c>
      <c r="H50" s="17" t="s">
        <v>67</v>
      </c>
      <c r="I50" s="17" t="s">
        <v>322</v>
      </c>
      <c r="J50" s="17"/>
      <c r="K50" s="2">
        <f t="shared" ref="K50:S50" si="54">K51+K53</f>
        <v>173500</v>
      </c>
      <c r="L50" s="2">
        <f t="shared" si="54"/>
        <v>0</v>
      </c>
      <c r="M50" s="2">
        <f t="shared" si="54"/>
        <v>173500</v>
      </c>
      <c r="N50" s="2">
        <f t="shared" si="54"/>
        <v>-12145</v>
      </c>
      <c r="O50" s="2">
        <f t="shared" si="54"/>
        <v>161355</v>
      </c>
      <c r="P50" s="2">
        <f t="shared" si="54"/>
        <v>0</v>
      </c>
      <c r="Q50" s="2">
        <f t="shared" si="54"/>
        <v>161355</v>
      </c>
      <c r="R50" s="2">
        <f t="shared" si="54"/>
        <v>0</v>
      </c>
      <c r="S50" s="2">
        <f t="shared" si="54"/>
        <v>161355</v>
      </c>
      <c r="T50" s="2"/>
      <c r="U50" s="2"/>
      <c r="V50" s="95"/>
      <c r="W50" s="2">
        <f t="shared" ref="W50" si="55">W51+W53</f>
        <v>0</v>
      </c>
      <c r="X50" s="2">
        <f t="shared" si="7"/>
        <v>161355</v>
      </c>
      <c r="Z50" s="8"/>
    </row>
    <row r="51" spans="1:26" s="5" customFormat="1" ht="36.75" customHeight="1" x14ac:dyDescent="0.25">
      <c r="A51" s="291"/>
      <c r="B51" s="301" t="s">
        <v>21</v>
      </c>
      <c r="C51" s="291"/>
      <c r="D51" s="173">
        <v>51</v>
      </c>
      <c r="E51" s="173">
        <v>0</v>
      </c>
      <c r="F51" s="173">
        <v>851</v>
      </c>
      <c r="G51" s="17" t="s">
        <v>6</v>
      </c>
      <c r="H51" s="17" t="s">
        <v>67</v>
      </c>
      <c r="I51" s="17" t="s">
        <v>322</v>
      </c>
      <c r="J51" s="1" t="s">
        <v>23</v>
      </c>
      <c r="K51" s="2">
        <f t="shared" ref="K51:W51" si="56">K52</f>
        <v>97615</v>
      </c>
      <c r="L51" s="2">
        <f t="shared" si="56"/>
        <v>0</v>
      </c>
      <c r="M51" s="2">
        <f t="shared" si="56"/>
        <v>97615</v>
      </c>
      <c r="N51" s="2">
        <f t="shared" si="56"/>
        <v>0</v>
      </c>
      <c r="O51" s="2">
        <f t="shared" si="56"/>
        <v>97615</v>
      </c>
      <c r="P51" s="2">
        <f t="shared" si="56"/>
        <v>0</v>
      </c>
      <c r="Q51" s="2">
        <f t="shared" si="56"/>
        <v>97615</v>
      </c>
      <c r="R51" s="2">
        <f t="shared" si="56"/>
        <v>0</v>
      </c>
      <c r="S51" s="2">
        <f t="shared" si="56"/>
        <v>97615</v>
      </c>
      <c r="T51" s="2"/>
      <c r="U51" s="2"/>
      <c r="V51" s="95"/>
      <c r="W51" s="2">
        <f t="shared" si="56"/>
        <v>-3663.77</v>
      </c>
      <c r="X51" s="2">
        <f t="shared" si="7"/>
        <v>93951.23</v>
      </c>
      <c r="Z51" s="8"/>
    </row>
    <row r="52" spans="1:26" s="5" customFormat="1" ht="15" customHeight="1" x14ac:dyDescent="0.25">
      <c r="A52" s="14"/>
      <c r="B52" s="301" t="s">
        <v>24</v>
      </c>
      <c r="C52" s="301"/>
      <c r="D52" s="173">
        <v>51</v>
      </c>
      <c r="E52" s="173">
        <v>0</v>
      </c>
      <c r="F52" s="173">
        <v>851</v>
      </c>
      <c r="G52" s="17" t="s">
        <v>6</v>
      </c>
      <c r="H52" s="17" t="s">
        <v>67</v>
      </c>
      <c r="I52" s="17" t="s">
        <v>322</v>
      </c>
      <c r="J52" s="1" t="s">
        <v>25</v>
      </c>
      <c r="K52" s="2">
        <f>'[2]6 Вед15'!J112</f>
        <v>97615</v>
      </c>
      <c r="L52" s="95">
        <f>'[2]6 Вед15'!K112</f>
        <v>0</v>
      </c>
      <c r="M52" s="2">
        <f t="shared" si="10"/>
        <v>97615</v>
      </c>
      <c r="N52" s="95">
        <f>'[2]6 Вед15'!M112</f>
        <v>0</v>
      </c>
      <c r="O52" s="2">
        <f t="shared" si="4"/>
        <v>97615</v>
      </c>
      <c r="P52" s="95">
        <f>'[2]6 Вед15'!O112</f>
        <v>0</v>
      </c>
      <c r="Q52" s="2">
        <f t="shared" ref="Q52" si="57">O52+P52</f>
        <v>97615</v>
      </c>
      <c r="R52" s="95">
        <f>'[2]6 Вед15'!Q112</f>
        <v>0</v>
      </c>
      <c r="S52" s="2">
        <f t="shared" ref="S52" si="58">Q52+R52</f>
        <v>97615</v>
      </c>
      <c r="T52" s="95"/>
      <c r="U52" s="95"/>
      <c r="V52" s="95"/>
      <c r="W52" s="2">
        <v>-3663.77</v>
      </c>
      <c r="X52" s="2">
        <f t="shared" si="7"/>
        <v>93951.23</v>
      </c>
      <c r="Z52" s="8"/>
    </row>
    <row r="53" spans="1:26" s="5" customFormat="1" ht="15" customHeight="1" x14ac:dyDescent="0.25">
      <c r="A53" s="14"/>
      <c r="B53" s="303" t="s">
        <v>27</v>
      </c>
      <c r="C53" s="301"/>
      <c r="D53" s="173">
        <v>51</v>
      </c>
      <c r="E53" s="173">
        <v>0</v>
      </c>
      <c r="F53" s="173">
        <v>851</v>
      </c>
      <c r="G53" s="17" t="s">
        <v>6</v>
      </c>
      <c r="H53" s="17" t="s">
        <v>67</v>
      </c>
      <c r="I53" s="17" t="s">
        <v>322</v>
      </c>
      <c r="J53" s="1" t="s">
        <v>28</v>
      </c>
      <c r="K53" s="2">
        <f>K54</f>
        <v>75885</v>
      </c>
      <c r="L53" s="2">
        <f t="shared" ref="L53:W53" si="59">L54</f>
        <v>0</v>
      </c>
      <c r="M53" s="2">
        <f t="shared" si="59"/>
        <v>75885</v>
      </c>
      <c r="N53" s="2">
        <f t="shared" si="59"/>
        <v>-12145</v>
      </c>
      <c r="O53" s="2">
        <f t="shared" si="59"/>
        <v>63740</v>
      </c>
      <c r="P53" s="2">
        <f t="shared" si="59"/>
        <v>0</v>
      </c>
      <c r="Q53" s="2">
        <f t="shared" si="59"/>
        <v>63740</v>
      </c>
      <c r="R53" s="2">
        <f t="shared" si="59"/>
        <v>0</v>
      </c>
      <c r="S53" s="2">
        <f t="shared" si="59"/>
        <v>63740</v>
      </c>
      <c r="T53" s="2"/>
      <c r="U53" s="2"/>
      <c r="V53" s="95"/>
      <c r="W53" s="2">
        <f t="shared" si="59"/>
        <v>3663.77</v>
      </c>
      <c r="X53" s="2">
        <f t="shared" si="7"/>
        <v>67403.77</v>
      </c>
      <c r="Z53" s="8"/>
    </row>
    <row r="54" spans="1:26" s="5" customFormat="1" ht="15" customHeight="1" x14ac:dyDescent="0.25">
      <c r="A54" s="14"/>
      <c r="B54" s="303" t="s">
        <v>29</v>
      </c>
      <c r="C54" s="291"/>
      <c r="D54" s="173">
        <v>51</v>
      </c>
      <c r="E54" s="173">
        <v>0</v>
      </c>
      <c r="F54" s="173">
        <v>851</v>
      </c>
      <c r="G54" s="17" t="s">
        <v>6</v>
      </c>
      <c r="H54" s="17" t="s">
        <v>67</v>
      </c>
      <c r="I54" s="17" t="s">
        <v>322</v>
      </c>
      <c r="J54" s="1" t="s">
        <v>30</v>
      </c>
      <c r="K54" s="2">
        <f>'[2]6 Вед15'!J114</f>
        <v>75885</v>
      </c>
      <c r="L54" s="95">
        <f>'[2]6 Вед15'!K114</f>
        <v>0</v>
      </c>
      <c r="M54" s="2">
        <f t="shared" si="10"/>
        <v>75885</v>
      </c>
      <c r="N54" s="95">
        <f>'[2]6 Вед15'!M114</f>
        <v>-12145</v>
      </c>
      <c r="O54" s="2">
        <f t="shared" si="4"/>
        <v>63740</v>
      </c>
      <c r="P54" s="95">
        <f>'[2]6 Вед15'!O114</f>
        <v>0</v>
      </c>
      <c r="Q54" s="2">
        <f t="shared" ref="Q54" si="60">O54+P54</f>
        <v>63740</v>
      </c>
      <c r="R54" s="95">
        <f>'[2]6 Вед15'!Q114</f>
        <v>0</v>
      </c>
      <c r="S54" s="2">
        <f t="shared" ref="S54" si="61">Q54+R54</f>
        <v>63740</v>
      </c>
      <c r="T54" s="95"/>
      <c r="U54" s="95"/>
      <c r="V54" s="95"/>
      <c r="W54" s="2">
        <v>3663.77</v>
      </c>
      <c r="X54" s="2">
        <f t="shared" si="7"/>
        <v>67403.77</v>
      </c>
      <c r="Z54" s="8"/>
    </row>
    <row r="55" spans="1:26" s="5" customFormat="1" ht="25.5" customHeight="1" x14ac:dyDescent="0.25">
      <c r="A55" s="330" t="s">
        <v>742</v>
      </c>
      <c r="B55" s="331"/>
      <c r="C55" s="291"/>
      <c r="D55" s="173">
        <v>51</v>
      </c>
      <c r="E55" s="173">
        <v>0</v>
      </c>
      <c r="F55" s="173">
        <v>851</v>
      </c>
      <c r="G55" s="1" t="s">
        <v>17</v>
      </c>
      <c r="H55" s="1" t="s">
        <v>44</v>
      </c>
      <c r="I55" s="1" t="s">
        <v>757</v>
      </c>
      <c r="J55" s="1"/>
      <c r="K55" s="2"/>
      <c r="L55" s="95"/>
      <c r="M55" s="2"/>
      <c r="N55" s="95"/>
      <c r="O55" s="2"/>
      <c r="P55" s="95"/>
      <c r="Q55" s="2"/>
      <c r="R55" s="95"/>
      <c r="S55" s="2">
        <f t="shared" ref="S55:W56" si="62">S56</f>
        <v>0</v>
      </c>
      <c r="T55" s="2"/>
      <c r="U55" s="2"/>
      <c r="V55" s="95"/>
      <c r="W55" s="2">
        <f t="shared" ref="W55" si="63">W56</f>
        <v>2291920</v>
      </c>
      <c r="X55" s="2">
        <f t="shared" si="7"/>
        <v>2291920</v>
      </c>
      <c r="Z55" s="8"/>
    </row>
    <row r="56" spans="1:26" s="5" customFormat="1" ht="15" customHeight="1" x14ac:dyDescent="0.25">
      <c r="A56" s="300"/>
      <c r="B56" s="291" t="s">
        <v>27</v>
      </c>
      <c r="C56" s="291"/>
      <c r="D56" s="173">
        <v>51</v>
      </c>
      <c r="E56" s="173">
        <v>0</v>
      </c>
      <c r="F56" s="173">
        <v>851</v>
      </c>
      <c r="G56" s="1" t="s">
        <v>17</v>
      </c>
      <c r="H56" s="1" t="s">
        <v>44</v>
      </c>
      <c r="I56" s="1" t="s">
        <v>757</v>
      </c>
      <c r="J56" s="1" t="s">
        <v>28</v>
      </c>
      <c r="K56" s="2"/>
      <c r="L56" s="95"/>
      <c r="M56" s="2"/>
      <c r="N56" s="95"/>
      <c r="O56" s="2"/>
      <c r="P56" s="95"/>
      <c r="Q56" s="2"/>
      <c r="R56" s="95"/>
      <c r="S56" s="2">
        <f t="shared" si="62"/>
        <v>0</v>
      </c>
      <c r="T56" s="2"/>
      <c r="U56" s="2"/>
      <c r="V56" s="95"/>
      <c r="W56" s="2">
        <f t="shared" si="62"/>
        <v>2291920</v>
      </c>
      <c r="X56" s="2">
        <f t="shared" si="7"/>
        <v>2291920</v>
      </c>
      <c r="Z56" s="8"/>
    </row>
    <row r="57" spans="1:26" s="5" customFormat="1" ht="15" customHeight="1" x14ac:dyDescent="0.25">
      <c r="A57" s="300"/>
      <c r="B57" s="291" t="s">
        <v>29</v>
      </c>
      <c r="C57" s="291"/>
      <c r="D57" s="173">
        <v>51</v>
      </c>
      <c r="E57" s="173">
        <v>0</v>
      </c>
      <c r="F57" s="173">
        <v>851</v>
      </c>
      <c r="G57" s="1" t="s">
        <v>17</v>
      </c>
      <c r="H57" s="1" t="s">
        <v>44</v>
      </c>
      <c r="I57" s="1" t="s">
        <v>757</v>
      </c>
      <c r="J57" s="1" t="s">
        <v>30</v>
      </c>
      <c r="K57" s="2"/>
      <c r="L57" s="95"/>
      <c r="M57" s="2"/>
      <c r="N57" s="95"/>
      <c r="O57" s="2"/>
      <c r="P57" s="95"/>
      <c r="Q57" s="2"/>
      <c r="R57" s="95"/>
      <c r="S57" s="2">
        <f t="shared" ref="S57" si="64">Q57+R57</f>
        <v>0</v>
      </c>
      <c r="T57" s="95"/>
      <c r="U57" s="95"/>
      <c r="V57" s="95"/>
      <c r="W57" s="2">
        <v>2291920</v>
      </c>
      <c r="X57" s="2">
        <f t="shared" si="7"/>
        <v>2291920</v>
      </c>
      <c r="Z57" s="8"/>
    </row>
    <row r="58" spans="1:26" s="145" customFormat="1" ht="15" customHeight="1" x14ac:dyDescent="0.2">
      <c r="A58" s="330" t="s">
        <v>412</v>
      </c>
      <c r="B58" s="331"/>
      <c r="C58" s="144"/>
      <c r="D58" s="173">
        <v>51</v>
      </c>
      <c r="E58" s="173">
        <v>0</v>
      </c>
      <c r="F58" s="173">
        <v>851</v>
      </c>
      <c r="G58" s="17" t="s">
        <v>17</v>
      </c>
      <c r="H58" s="17" t="s">
        <v>44</v>
      </c>
      <c r="I58" s="17" t="s">
        <v>415</v>
      </c>
      <c r="J58" s="17"/>
      <c r="K58" s="20">
        <f>K59+K61</f>
        <v>1572000</v>
      </c>
      <c r="L58" s="20">
        <f t="shared" ref="L58:R58" si="65">L59+L61</f>
        <v>763089</v>
      </c>
      <c r="M58" s="20">
        <f t="shared" si="65"/>
        <v>2335089</v>
      </c>
      <c r="N58" s="20">
        <f t="shared" si="65"/>
        <v>0</v>
      </c>
      <c r="O58" s="20">
        <f t="shared" si="65"/>
        <v>2335089</v>
      </c>
      <c r="P58" s="20">
        <f t="shared" si="65"/>
        <v>0</v>
      </c>
      <c r="Q58" s="20">
        <f t="shared" si="65"/>
        <v>2335089</v>
      </c>
      <c r="R58" s="20">
        <f t="shared" si="65"/>
        <v>0</v>
      </c>
      <c r="S58" s="20">
        <f>S59+S61+S63</f>
        <v>2335089</v>
      </c>
      <c r="T58" s="20">
        <f t="shared" ref="T58:X58" si="66">T59+T61+T63</f>
        <v>0</v>
      </c>
      <c r="U58" s="20">
        <f t="shared" si="66"/>
        <v>0</v>
      </c>
      <c r="V58" s="166">
        <f t="shared" si="66"/>
        <v>0</v>
      </c>
      <c r="W58" s="20">
        <f t="shared" si="66"/>
        <v>-1415884.98</v>
      </c>
      <c r="X58" s="20">
        <f t="shared" si="66"/>
        <v>919204.02</v>
      </c>
      <c r="Z58" s="8"/>
    </row>
    <row r="59" spans="1:26" s="5" customFormat="1" ht="15" customHeight="1" x14ac:dyDescent="0.25">
      <c r="A59" s="14"/>
      <c r="B59" s="303" t="s">
        <v>27</v>
      </c>
      <c r="C59" s="301"/>
      <c r="D59" s="173">
        <v>51</v>
      </c>
      <c r="E59" s="173">
        <v>0</v>
      </c>
      <c r="F59" s="173">
        <v>851</v>
      </c>
      <c r="G59" s="17" t="s">
        <v>17</v>
      </c>
      <c r="H59" s="17" t="s">
        <v>44</v>
      </c>
      <c r="I59" s="17" t="s">
        <v>415</v>
      </c>
      <c r="J59" s="1" t="s">
        <v>28</v>
      </c>
      <c r="K59" s="2">
        <f>K60</f>
        <v>172000</v>
      </c>
      <c r="L59" s="2">
        <f t="shared" ref="L59:W59" si="67">L60</f>
        <v>0</v>
      </c>
      <c r="M59" s="2">
        <f t="shared" si="67"/>
        <v>172000</v>
      </c>
      <c r="N59" s="2">
        <f t="shared" si="67"/>
        <v>0</v>
      </c>
      <c r="O59" s="2">
        <f t="shared" si="67"/>
        <v>172000</v>
      </c>
      <c r="P59" s="2">
        <f t="shared" si="67"/>
        <v>0</v>
      </c>
      <c r="Q59" s="2">
        <f t="shared" si="67"/>
        <v>172000</v>
      </c>
      <c r="R59" s="2">
        <f t="shared" si="67"/>
        <v>2150404</v>
      </c>
      <c r="S59" s="2">
        <f t="shared" si="67"/>
        <v>2322404</v>
      </c>
      <c r="T59" s="2"/>
      <c r="U59" s="2"/>
      <c r="V59" s="95"/>
      <c r="W59" s="2">
        <f t="shared" si="67"/>
        <v>-1449484</v>
      </c>
      <c r="X59" s="2">
        <f t="shared" si="7"/>
        <v>872920</v>
      </c>
      <c r="Z59" s="8"/>
    </row>
    <row r="60" spans="1:26" s="5" customFormat="1" ht="15" customHeight="1" x14ac:dyDescent="0.25">
      <c r="A60" s="14"/>
      <c r="B60" s="303" t="s">
        <v>29</v>
      </c>
      <c r="C60" s="291"/>
      <c r="D60" s="173">
        <v>51</v>
      </c>
      <c r="E60" s="173">
        <v>0</v>
      </c>
      <c r="F60" s="173">
        <v>851</v>
      </c>
      <c r="G60" s="17" t="s">
        <v>17</v>
      </c>
      <c r="H60" s="17" t="s">
        <v>44</v>
      </c>
      <c r="I60" s="17" t="s">
        <v>415</v>
      </c>
      <c r="J60" s="1" t="s">
        <v>30</v>
      </c>
      <c r="K60" s="2">
        <f>'[2]6 Вед15'!J55</f>
        <v>172000</v>
      </c>
      <c r="L60" s="95">
        <f>'[2]6 Вед15'!K55</f>
        <v>0</v>
      </c>
      <c r="M60" s="2">
        <f t="shared" si="10"/>
        <v>172000</v>
      </c>
      <c r="N60" s="95">
        <f>'[2]6 Вед15'!M55</f>
        <v>0</v>
      </c>
      <c r="O60" s="2">
        <f t="shared" si="4"/>
        <v>172000</v>
      </c>
      <c r="P60" s="95">
        <f>'[2]6 Вед15'!O55</f>
        <v>0</v>
      </c>
      <c r="Q60" s="2">
        <f t="shared" ref="Q60" si="68">O60+P60</f>
        <v>172000</v>
      </c>
      <c r="R60" s="95">
        <f>'[2]6 Вед15'!Q55</f>
        <v>2150404</v>
      </c>
      <c r="S60" s="2">
        <f t="shared" ref="S60" si="69">Q60+R60</f>
        <v>2322404</v>
      </c>
      <c r="T60" s="95"/>
      <c r="U60" s="95"/>
      <c r="V60" s="95"/>
      <c r="W60" s="2">
        <v>-1449484</v>
      </c>
      <c r="X60" s="2">
        <f t="shared" si="7"/>
        <v>872920</v>
      </c>
      <c r="Z60" s="8"/>
    </row>
    <row r="61" spans="1:26" s="145" customFormat="1" ht="14.25" hidden="1" customHeight="1" x14ac:dyDescent="0.2">
      <c r="A61" s="146"/>
      <c r="B61" s="291" t="s">
        <v>436</v>
      </c>
      <c r="C61" s="144"/>
      <c r="D61" s="173">
        <v>51</v>
      </c>
      <c r="E61" s="173">
        <v>0</v>
      </c>
      <c r="F61" s="173">
        <v>851</v>
      </c>
      <c r="G61" s="17" t="s">
        <v>17</v>
      </c>
      <c r="H61" s="17" t="s">
        <v>44</v>
      </c>
      <c r="I61" s="17" t="s">
        <v>415</v>
      </c>
      <c r="J61" s="17" t="s">
        <v>75</v>
      </c>
      <c r="K61" s="20">
        <f t="shared" ref="K61:W61" si="70">K62</f>
        <v>1400000</v>
      </c>
      <c r="L61" s="20">
        <f t="shared" si="70"/>
        <v>763089</v>
      </c>
      <c r="M61" s="20">
        <f t="shared" si="70"/>
        <v>2163089</v>
      </c>
      <c r="N61" s="20">
        <f t="shared" si="70"/>
        <v>0</v>
      </c>
      <c r="O61" s="20">
        <f t="shared" si="70"/>
        <v>2163089</v>
      </c>
      <c r="P61" s="20">
        <f t="shared" si="70"/>
        <v>0</v>
      </c>
      <c r="Q61" s="20">
        <f t="shared" si="70"/>
        <v>2163089</v>
      </c>
      <c r="R61" s="20">
        <f t="shared" si="70"/>
        <v>-2150404</v>
      </c>
      <c r="S61" s="20">
        <f t="shared" si="70"/>
        <v>12685</v>
      </c>
      <c r="T61" s="20"/>
      <c r="U61" s="20"/>
      <c r="V61" s="166"/>
      <c r="W61" s="20">
        <f t="shared" si="70"/>
        <v>0</v>
      </c>
      <c r="X61" s="2">
        <f t="shared" si="7"/>
        <v>12685</v>
      </c>
      <c r="Z61" s="8"/>
    </row>
    <row r="62" spans="1:26" s="145" customFormat="1" ht="25.5" hidden="1" customHeight="1" x14ac:dyDescent="0.2">
      <c r="A62" s="146"/>
      <c r="B62" s="291" t="s">
        <v>76</v>
      </c>
      <c r="C62" s="144"/>
      <c r="D62" s="173">
        <v>51</v>
      </c>
      <c r="E62" s="173">
        <v>0</v>
      </c>
      <c r="F62" s="173">
        <v>851</v>
      </c>
      <c r="G62" s="17" t="s">
        <v>17</v>
      </c>
      <c r="H62" s="17" t="s">
        <v>44</v>
      </c>
      <c r="I62" s="17" t="s">
        <v>415</v>
      </c>
      <c r="J62" s="17" t="s">
        <v>77</v>
      </c>
      <c r="K62" s="20">
        <f>'[2]6 Вед15'!J57</f>
        <v>1400000</v>
      </c>
      <c r="L62" s="166">
        <f>'[2]6 Вед15'!K57</f>
        <v>763089</v>
      </c>
      <c r="M62" s="2">
        <f t="shared" si="10"/>
        <v>2163089</v>
      </c>
      <c r="N62" s="166">
        <f>'[2]6 Вед15'!M57</f>
        <v>0</v>
      </c>
      <c r="O62" s="2">
        <f t="shared" si="4"/>
        <v>2163089</v>
      </c>
      <c r="P62" s="166">
        <f>'[2]6 Вед15'!O57</f>
        <v>0</v>
      </c>
      <c r="Q62" s="2">
        <f t="shared" ref="Q62" si="71">O62+P62</f>
        <v>2163089</v>
      </c>
      <c r="R62" s="166">
        <f>'[2]6 Вед15'!Q57</f>
        <v>-2150404</v>
      </c>
      <c r="S62" s="2">
        <f t="shared" ref="S62" si="72">Q62+R62</f>
        <v>12685</v>
      </c>
      <c r="T62" s="95"/>
      <c r="U62" s="95"/>
      <c r="V62" s="95"/>
      <c r="W62" s="20">
        <f>'[2]6 Вед15'!V57</f>
        <v>0</v>
      </c>
      <c r="X62" s="2">
        <f t="shared" si="7"/>
        <v>12685</v>
      </c>
      <c r="Z62" s="8"/>
    </row>
    <row r="63" spans="1:26" s="145" customFormat="1" ht="24" x14ac:dyDescent="0.2">
      <c r="A63" s="146"/>
      <c r="B63" s="170" t="s">
        <v>90</v>
      </c>
      <c r="C63" s="144"/>
      <c r="D63" s="173">
        <v>51</v>
      </c>
      <c r="E63" s="173">
        <v>0</v>
      </c>
      <c r="F63" s="173">
        <v>851</v>
      </c>
      <c r="G63" s="17" t="s">
        <v>17</v>
      </c>
      <c r="H63" s="17" t="s">
        <v>44</v>
      </c>
      <c r="I63" s="17" t="s">
        <v>415</v>
      </c>
      <c r="J63" s="17" t="s">
        <v>86</v>
      </c>
      <c r="K63" s="20"/>
      <c r="L63" s="166"/>
      <c r="M63" s="2"/>
      <c r="N63" s="166"/>
      <c r="O63" s="2"/>
      <c r="P63" s="166"/>
      <c r="Q63" s="2"/>
      <c r="R63" s="166"/>
      <c r="S63" s="2">
        <f>S64</f>
        <v>0</v>
      </c>
      <c r="T63" s="2">
        <f t="shared" ref="T63:X63" si="73">T64</f>
        <v>0</v>
      </c>
      <c r="U63" s="2">
        <f t="shared" si="73"/>
        <v>0</v>
      </c>
      <c r="V63" s="95">
        <f t="shared" si="73"/>
        <v>0</v>
      </c>
      <c r="W63" s="2">
        <f t="shared" si="73"/>
        <v>33599.019999999997</v>
      </c>
      <c r="X63" s="2">
        <f t="shared" si="73"/>
        <v>33599.019999999997</v>
      </c>
      <c r="Z63" s="8"/>
    </row>
    <row r="64" spans="1:26" s="145" customFormat="1" ht="36" customHeight="1" x14ac:dyDescent="0.2">
      <c r="A64" s="146"/>
      <c r="B64" s="291" t="s">
        <v>87</v>
      </c>
      <c r="C64" s="144"/>
      <c r="D64" s="173">
        <v>51</v>
      </c>
      <c r="E64" s="173">
        <v>0</v>
      </c>
      <c r="F64" s="173">
        <v>851</v>
      </c>
      <c r="G64" s="17" t="s">
        <v>17</v>
      </c>
      <c r="H64" s="17" t="s">
        <v>44</v>
      </c>
      <c r="I64" s="17" t="s">
        <v>415</v>
      </c>
      <c r="J64" s="17" t="s">
        <v>88</v>
      </c>
      <c r="K64" s="20"/>
      <c r="L64" s="166"/>
      <c r="M64" s="2"/>
      <c r="N64" s="166"/>
      <c r="O64" s="2"/>
      <c r="P64" s="166"/>
      <c r="Q64" s="2"/>
      <c r="R64" s="166"/>
      <c r="S64" s="2"/>
      <c r="T64" s="95"/>
      <c r="U64" s="95"/>
      <c r="V64" s="95"/>
      <c r="W64" s="20">
        <v>33599.019999999997</v>
      </c>
      <c r="X64" s="2">
        <f>S64+W64</f>
        <v>33599.019999999997</v>
      </c>
      <c r="Z64" s="8"/>
    </row>
    <row r="65" spans="1:26" s="5" customFormat="1" ht="24" customHeight="1" x14ac:dyDescent="0.25">
      <c r="A65" s="324" t="s">
        <v>47</v>
      </c>
      <c r="B65" s="324"/>
      <c r="C65" s="291"/>
      <c r="D65" s="173">
        <v>51</v>
      </c>
      <c r="E65" s="173">
        <v>0</v>
      </c>
      <c r="F65" s="173">
        <v>851</v>
      </c>
      <c r="G65" s="1" t="s">
        <v>17</v>
      </c>
      <c r="H65" s="1" t="s">
        <v>44</v>
      </c>
      <c r="I65" s="1" t="s">
        <v>316</v>
      </c>
      <c r="J65" s="1"/>
      <c r="K65" s="2">
        <f t="shared" ref="K65:W66" si="74">K66</f>
        <v>2000000</v>
      </c>
      <c r="L65" s="2">
        <f t="shared" si="74"/>
        <v>39999</v>
      </c>
      <c r="M65" s="2">
        <f t="shared" si="74"/>
        <v>2039999</v>
      </c>
      <c r="N65" s="2">
        <f t="shared" si="74"/>
        <v>0</v>
      </c>
      <c r="O65" s="2">
        <f t="shared" si="74"/>
        <v>2039999</v>
      </c>
      <c r="P65" s="2">
        <f t="shared" si="74"/>
        <v>0</v>
      </c>
      <c r="Q65" s="2">
        <f t="shared" si="74"/>
        <v>2039999</v>
      </c>
      <c r="R65" s="2">
        <f t="shared" si="74"/>
        <v>243839</v>
      </c>
      <c r="S65" s="2">
        <f t="shared" si="74"/>
        <v>2283838</v>
      </c>
      <c r="T65" s="2"/>
      <c r="U65" s="2"/>
      <c r="V65" s="95"/>
      <c r="W65" s="2">
        <f t="shared" si="74"/>
        <v>-32536.39</v>
      </c>
      <c r="X65" s="2">
        <f t="shared" si="7"/>
        <v>2251301.61</v>
      </c>
      <c r="Z65" s="8"/>
    </row>
    <row r="66" spans="1:26" s="5" customFormat="1" ht="15" customHeight="1" x14ac:dyDescent="0.25">
      <c r="A66" s="14"/>
      <c r="B66" s="303" t="s">
        <v>27</v>
      </c>
      <c r="C66" s="301"/>
      <c r="D66" s="173">
        <v>51</v>
      </c>
      <c r="E66" s="173">
        <v>0</v>
      </c>
      <c r="F66" s="173">
        <v>851</v>
      </c>
      <c r="G66" s="1" t="s">
        <v>17</v>
      </c>
      <c r="H66" s="17" t="s">
        <v>44</v>
      </c>
      <c r="I66" s="17" t="s">
        <v>316</v>
      </c>
      <c r="J66" s="1" t="s">
        <v>28</v>
      </c>
      <c r="K66" s="2">
        <f t="shared" si="74"/>
        <v>2000000</v>
      </c>
      <c r="L66" s="2">
        <f t="shared" si="74"/>
        <v>39999</v>
      </c>
      <c r="M66" s="2">
        <f t="shared" si="74"/>
        <v>2039999</v>
      </c>
      <c r="N66" s="2">
        <f t="shared" si="74"/>
        <v>0</v>
      </c>
      <c r="O66" s="2">
        <f t="shared" si="74"/>
        <v>2039999</v>
      </c>
      <c r="P66" s="2">
        <f t="shared" si="74"/>
        <v>0</v>
      </c>
      <c r="Q66" s="2">
        <f t="shared" si="74"/>
        <v>2039999</v>
      </c>
      <c r="R66" s="2">
        <f t="shared" si="74"/>
        <v>243839</v>
      </c>
      <c r="S66" s="2">
        <f t="shared" si="74"/>
        <v>2283838</v>
      </c>
      <c r="T66" s="2"/>
      <c r="U66" s="2"/>
      <c r="V66" s="95"/>
      <c r="W66" s="2">
        <f t="shared" si="74"/>
        <v>-32536.39</v>
      </c>
      <c r="X66" s="2">
        <f t="shared" si="7"/>
        <v>2251301.61</v>
      </c>
      <c r="Z66" s="8"/>
    </row>
    <row r="67" spans="1:26" s="5" customFormat="1" ht="15" customHeight="1" x14ac:dyDescent="0.25">
      <c r="A67" s="14"/>
      <c r="B67" s="303" t="s">
        <v>29</v>
      </c>
      <c r="C67" s="291"/>
      <c r="D67" s="173">
        <v>51</v>
      </c>
      <c r="E67" s="173">
        <v>0</v>
      </c>
      <c r="F67" s="173">
        <v>851</v>
      </c>
      <c r="G67" s="1" t="s">
        <v>17</v>
      </c>
      <c r="H67" s="17" t="s">
        <v>44</v>
      </c>
      <c r="I67" s="17" t="s">
        <v>316</v>
      </c>
      <c r="J67" s="1" t="s">
        <v>30</v>
      </c>
      <c r="K67" s="2">
        <f>'[2]6 Вед15'!J62</f>
        <v>2000000</v>
      </c>
      <c r="L67" s="95">
        <f>'[2]6 Вед15'!K62</f>
        <v>39999</v>
      </c>
      <c r="M67" s="2">
        <f t="shared" si="10"/>
        <v>2039999</v>
      </c>
      <c r="N67" s="95">
        <f>'[2]6 Вед15'!M62</f>
        <v>0</v>
      </c>
      <c r="O67" s="2">
        <f t="shared" si="4"/>
        <v>2039999</v>
      </c>
      <c r="P67" s="95">
        <f>'[2]6 Вед15'!O62</f>
        <v>0</v>
      </c>
      <c r="Q67" s="2">
        <f t="shared" ref="Q67" si="75">O67+P67</f>
        <v>2039999</v>
      </c>
      <c r="R67" s="95">
        <f>'[2]6 Вед15'!Q62</f>
        <v>243839</v>
      </c>
      <c r="S67" s="2">
        <f t="shared" ref="S67" si="76">Q67+R67</f>
        <v>2283838</v>
      </c>
      <c r="T67" s="95"/>
      <c r="U67" s="95"/>
      <c r="V67" s="95"/>
      <c r="W67" s="2">
        <v>-32536.39</v>
      </c>
      <c r="X67" s="2">
        <f t="shared" si="7"/>
        <v>2251301.61</v>
      </c>
      <c r="Z67" s="8"/>
    </row>
    <row r="68" spans="1:26" s="5" customFormat="1" ht="14.25" hidden="1" customHeight="1" x14ac:dyDescent="0.25">
      <c r="A68" s="324" t="s">
        <v>49</v>
      </c>
      <c r="B68" s="324"/>
      <c r="C68" s="291"/>
      <c r="D68" s="173">
        <v>51</v>
      </c>
      <c r="E68" s="173">
        <v>0</v>
      </c>
      <c r="F68" s="173">
        <v>851</v>
      </c>
      <c r="G68" s="1" t="s">
        <v>17</v>
      </c>
      <c r="H68" s="17" t="s">
        <v>44</v>
      </c>
      <c r="I68" s="17" t="s">
        <v>317</v>
      </c>
      <c r="J68" s="1"/>
      <c r="K68" s="2">
        <f t="shared" ref="K68:W69" si="77">K69</f>
        <v>300000</v>
      </c>
      <c r="L68" s="2">
        <f t="shared" si="77"/>
        <v>0</v>
      </c>
      <c r="M68" s="2">
        <f t="shared" si="77"/>
        <v>300000</v>
      </c>
      <c r="N68" s="2">
        <f t="shared" si="77"/>
        <v>0</v>
      </c>
      <c r="O68" s="2">
        <f t="shared" si="77"/>
        <v>300000</v>
      </c>
      <c r="P68" s="2">
        <f t="shared" si="77"/>
        <v>0</v>
      </c>
      <c r="Q68" s="2">
        <f t="shared" si="77"/>
        <v>300000</v>
      </c>
      <c r="R68" s="2">
        <f t="shared" si="77"/>
        <v>-258323</v>
      </c>
      <c r="S68" s="2">
        <f t="shared" si="77"/>
        <v>41677</v>
      </c>
      <c r="T68" s="2"/>
      <c r="U68" s="2"/>
      <c r="V68" s="95"/>
      <c r="W68" s="2">
        <f t="shared" si="77"/>
        <v>0</v>
      </c>
      <c r="X68" s="2">
        <f t="shared" si="7"/>
        <v>41677</v>
      </c>
      <c r="Z68" s="8"/>
    </row>
    <row r="69" spans="1:26" s="5" customFormat="1" ht="27" hidden="1" customHeight="1" x14ac:dyDescent="0.25">
      <c r="A69" s="14"/>
      <c r="B69" s="303" t="s">
        <v>27</v>
      </c>
      <c r="C69" s="301"/>
      <c r="D69" s="173">
        <v>51</v>
      </c>
      <c r="E69" s="173">
        <v>0</v>
      </c>
      <c r="F69" s="173">
        <v>851</v>
      </c>
      <c r="G69" s="1" t="s">
        <v>17</v>
      </c>
      <c r="H69" s="17" t="s">
        <v>44</v>
      </c>
      <c r="I69" s="17" t="s">
        <v>317</v>
      </c>
      <c r="J69" s="1" t="s">
        <v>28</v>
      </c>
      <c r="K69" s="2">
        <f t="shared" si="77"/>
        <v>300000</v>
      </c>
      <c r="L69" s="2">
        <f t="shared" si="77"/>
        <v>0</v>
      </c>
      <c r="M69" s="2">
        <f t="shared" si="77"/>
        <v>300000</v>
      </c>
      <c r="N69" s="2">
        <f t="shared" si="77"/>
        <v>0</v>
      </c>
      <c r="O69" s="2">
        <f t="shared" si="77"/>
        <v>300000</v>
      </c>
      <c r="P69" s="2">
        <f t="shared" si="77"/>
        <v>0</v>
      </c>
      <c r="Q69" s="2">
        <f t="shared" si="77"/>
        <v>300000</v>
      </c>
      <c r="R69" s="2">
        <f t="shared" si="77"/>
        <v>-258323</v>
      </c>
      <c r="S69" s="2">
        <f t="shared" si="77"/>
        <v>41677</v>
      </c>
      <c r="T69" s="2"/>
      <c r="U69" s="2"/>
      <c r="V69" s="95"/>
      <c r="W69" s="2">
        <f t="shared" si="77"/>
        <v>0</v>
      </c>
      <c r="X69" s="2">
        <f t="shared" si="7"/>
        <v>41677</v>
      </c>
      <c r="Z69" s="8"/>
    </row>
    <row r="70" spans="1:26" s="5" customFormat="1" ht="24" hidden="1" x14ac:dyDescent="0.25">
      <c r="A70" s="14"/>
      <c r="B70" s="303" t="s">
        <v>29</v>
      </c>
      <c r="C70" s="291"/>
      <c r="D70" s="173">
        <v>51</v>
      </c>
      <c r="E70" s="173">
        <v>0</v>
      </c>
      <c r="F70" s="173">
        <v>851</v>
      </c>
      <c r="G70" s="1" t="s">
        <v>17</v>
      </c>
      <c r="H70" s="17" t="s">
        <v>44</v>
      </c>
      <c r="I70" s="17" t="s">
        <v>317</v>
      </c>
      <c r="J70" s="1" t="s">
        <v>30</v>
      </c>
      <c r="K70" s="2">
        <f>'[2]6 Вед15'!J65</f>
        <v>300000</v>
      </c>
      <c r="L70" s="95">
        <f>'[2]6 Вед15'!K65</f>
        <v>0</v>
      </c>
      <c r="M70" s="2">
        <f t="shared" si="10"/>
        <v>300000</v>
      </c>
      <c r="N70" s="95">
        <f>'[2]6 Вед15'!M65</f>
        <v>0</v>
      </c>
      <c r="O70" s="2">
        <f t="shared" si="4"/>
        <v>300000</v>
      </c>
      <c r="P70" s="95">
        <f>'[2]6 Вед15'!O65</f>
        <v>0</v>
      </c>
      <c r="Q70" s="2">
        <f t="shared" ref="Q70" si="78">O70+P70</f>
        <v>300000</v>
      </c>
      <c r="R70" s="95">
        <f>'[2]6 Вед15'!Q65</f>
        <v>-258323</v>
      </c>
      <c r="S70" s="2">
        <f t="shared" ref="S70" si="79">Q70+R70</f>
        <v>41677</v>
      </c>
      <c r="T70" s="95"/>
      <c r="U70" s="95"/>
      <c r="V70" s="95"/>
      <c r="W70" s="2">
        <f>'[2]6 Вед15'!V65</f>
        <v>0</v>
      </c>
      <c r="X70" s="2">
        <f t="shared" si="7"/>
        <v>41677</v>
      </c>
      <c r="Z70" s="8"/>
    </row>
    <row r="71" spans="1:26" s="5" customFormat="1" ht="13.5" customHeight="1" x14ac:dyDescent="0.25">
      <c r="A71" s="324" t="s">
        <v>116</v>
      </c>
      <c r="B71" s="324"/>
      <c r="C71" s="291"/>
      <c r="D71" s="173">
        <v>51</v>
      </c>
      <c r="E71" s="173">
        <v>0</v>
      </c>
      <c r="F71" s="173">
        <v>851</v>
      </c>
      <c r="G71" s="1" t="s">
        <v>36</v>
      </c>
      <c r="H71" s="17" t="s">
        <v>72</v>
      </c>
      <c r="I71" s="17" t="s">
        <v>324</v>
      </c>
      <c r="J71" s="1"/>
      <c r="K71" s="2">
        <f>K72+K74</f>
        <v>8214000</v>
      </c>
      <c r="L71" s="2">
        <f t="shared" ref="L71:S71" si="80">L72+L74</f>
        <v>0</v>
      </c>
      <c r="M71" s="2">
        <f t="shared" si="80"/>
        <v>8214000</v>
      </c>
      <c r="N71" s="2">
        <f t="shared" si="80"/>
        <v>-940718</v>
      </c>
      <c r="O71" s="2">
        <f t="shared" si="80"/>
        <v>7273282</v>
      </c>
      <c r="P71" s="2">
        <f t="shared" si="80"/>
        <v>0</v>
      </c>
      <c r="Q71" s="2">
        <f t="shared" si="80"/>
        <v>7273282</v>
      </c>
      <c r="R71" s="2">
        <f t="shared" si="80"/>
        <v>0</v>
      </c>
      <c r="S71" s="2">
        <f t="shared" si="80"/>
        <v>7273282</v>
      </c>
      <c r="T71" s="2"/>
      <c r="U71" s="2"/>
      <c r="V71" s="95"/>
      <c r="W71" s="2">
        <f t="shared" ref="W71" si="81">W72+W74</f>
        <v>3210097</v>
      </c>
      <c r="X71" s="2">
        <f t="shared" si="7"/>
        <v>10483379</v>
      </c>
      <c r="Z71" s="8"/>
    </row>
    <row r="72" spans="1:26" s="5" customFormat="1" ht="15.75" hidden="1" customHeight="1" x14ac:dyDescent="0.25">
      <c r="A72" s="291"/>
      <c r="B72" s="291" t="s">
        <v>27</v>
      </c>
      <c r="C72" s="291"/>
      <c r="D72" s="173">
        <v>51</v>
      </c>
      <c r="E72" s="173">
        <v>0</v>
      </c>
      <c r="F72" s="173">
        <v>851</v>
      </c>
      <c r="G72" s="1" t="s">
        <v>36</v>
      </c>
      <c r="H72" s="17" t="s">
        <v>72</v>
      </c>
      <c r="I72" s="17" t="s">
        <v>324</v>
      </c>
      <c r="J72" s="1" t="s">
        <v>28</v>
      </c>
      <c r="K72" s="2">
        <f t="shared" ref="K72:W72" si="82">K73</f>
        <v>0</v>
      </c>
      <c r="L72" s="2">
        <f t="shared" si="82"/>
        <v>0</v>
      </c>
      <c r="M72" s="2">
        <f t="shared" si="82"/>
        <v>0</v>
      </c>
      <c r="N72" s="2">
        <f t="shared" si="82"/>
        <v>0</v>
      </c>
      <c r="O72" s="2">
        <f t="shared" si="82"/>
        <v>0</v>
      </c>
      <c r="P72" s="2">
        <f t="shared" si="82"/>
        <v>0</v>
      </c>
      <c r="Q72" s="2">
        <f t="shared" si="82"/>
        <v>0</v>
      </c>
      <c r="R72" s="2">
        <f t="shared" si="82"/>
        <v>0</v>
      </c>
      <c r="S72" s="2">
        <f t="shared" si="82"/>
        <v>0</v>
      </c>
      <c r="T72" s="2"/>
      <c r="U72" s="2"/>
      <c r="V72" s="95"/>
      <c r="W72" s="2">
        <f t="shared" si="82"/>
        <v>0</v>
      </c>
      <c r="X72" s="2">
        <f t="shared" si="7"/>
        <v>0</v>
      </c>
      <c r="Z72" s="8"/>
    </row>
    <row r="73" spans="1:26" s="5" customFormat="1" ht="24" hidden="1" x14ac:dyDescent="0.25">
      <c r="A73" s="291"/>
      <c r="B73" s="291" t="s">
        <v>29</v>
      </c>
      <c r="C73" s="291"/>
      <c r="D73" s="173">
        <v>51</v>
      </c>
      <c r="E73" s="173">
        <v>0</v>
      </c>
      <c r="F73" s="173">
        <v>851</v>
      </c>
      <c r="G73" s="1" t="s">
        <v>36</v>
      </c>
      <c r="H73" s="17" t="s">
        <v>72</v>
      </c>
      <c r="I73" s="17" t="s">
        <v>324</v>
      </c>
      <c r="J73" s="1" t="s">
        <v>30</v>
      </c>
      <c r="K73" s="2">
        <f>'[2]6 Вед15'!J155</f>
        <v>0</v>
      </c>
      <c r="L73" s="2">
        <f>'[2]6 Вед15'!K155</f>
        <v>0</v>
      </c>
      <c r="M73" s="2">
        <f>'[2]6 Вед15'!L155</f>
        <v>0</v>
      </c>
      <c r="N73" s="2">
        <f>'[2]6 Вед15'!M155</f>
        <v>0</v>
      </c>
      <c r="O73" s="2">
        <f>'[2]6 Вед15'!N155</f>
        <v>0</v>
      </c>
      <c r="P73" s="2">
        <f>'[2]6 Вед15'!O155</f>
        <v>0</v>
      </c>
      <c r="Q73" s="2">
        <f>'[2]6 Вед15'!P155</f>
        <v>0</v>
      </c>
      <c r="R73" s="2">
        <f>'[2]6 Вед15'!Q155</f>
        <v>0</v>
      </c>
      <c r="S73" s="2">
        <f>'[2]6 Вед15'!U155</f>
        <v>0</v>
      </c>
      <c r="T73" s="2"/>
      <c r="U73" s="2"/>
      <c r="V73" s="95"/>
      <c r="W73" s="2">
        <f>'[2]6 Вед15'!V155</f>
        <v>0</v>
      </c>
      <c r="X73" s="2">
        <f t="shared" si="7"/>
        <v>0</v>
      </c>
      <c r="Z73" s="8"/>
    </row>
    <row r="74" spans="1:26" s="5" customFormat="1" ht="15" customHeight="1" x14ac:dyDescent="0.25">
      <c r="A74" s="291"/>
      <c r="B74" s="291" t="s">
        <v>436</v>
      </c>
      <c r="C74" s="291"/>
      <c r="D74" s="173">
        <v>51</v>
      </c>
      <c r="E74" s="173">
        <v>0</v>
      </c>
      <c r="F74" s="173">
        <v>851</v>
      </c>
      <c r="G74" s="1" t="s">
        <v>36</v>
      </c>
      <c r="H74" s="17" t="s">
        <v>72</v>
      </c>
      <c r="I74" s="17" t="s">
        <v>324</v>
      </c>
      <c r="J74" s="1" t="s">
        <v>75</v>
      </c>
      <c r="K74" s="2">
        <f>K75</f>
        <v>8214000</v>
      </c>
      <c r="L74" s="2">
        <f t="shared" ref="L74:W74" si="83">L75</f>
        <v>0</v>
      </c>
      <c r="M74" s="2">
        <f t="shared" si="83"/>
        <v>8214000</v>
      </c>
      <c r="N74" s="2">
        <f t="shared" si="83"/>
        <v>-940718</v>
      </c>
      <c r="O74" s="2">
        <f t="shared" si="83"/>
        <v>7273282</v>
      </c>
      <c r="P74" s="2">
        <f t="shared" si="83"/>
        <v>0</v>
      </c>
      <c r="Q74" s="2">
        <f t="shared" si="83"/>
        <v>7273282</v>
      </c>
      <c r="R74" s="2">
        <f t="shared" si="83"/>
        <v>0</v>
      </c>
      <c r="S74" s="2">
        <f t="shared" si="83"/>
        <v>7273282</v>
      </c>
      <c r="T74" s="2"/>
      <c r="U74" s="2"/>
      <c r="V74" s="95"/>
      <c r="W74" s="2">
        <f t="shared" si="83"/>
        <v>3210097</v>
      </c>
      <c r="X74" s="2">
        <f t="shared" si="7"/>
        <v>10483379</v>
      </c>
      <c r="Z74" s="8"/>
    </row>
    <row r="75" spans="1:26" s="5" customFormat="1" ht="24" customHeight="1" x14ac:dyDescent="0.25">
      <c r="A75" s="291"/>
      <c r="B75" s="303" t="s">
        <v>76</v>
      </c>
      <c r="C75" s="291"/>
      <c r="D75" s="173">
        <v>51</v>
      </c>
      <c r="E75" s="173">
        <v>0</v>
      </c>
      <c r="F75" s="173">
        <v>851</v>
      </c>
      <c r="G75" s="1" t="s">
        <v>36</v>
      </c>
      <c r="H75" s="17" t="s">
        <v>72</v>
      </c>
      <c r="I75" s="17" t="s">
        <v>324</v>
      </c>
      <c r="J75" s="1" t="s">
        <v>77</v>
      </c>
      <c r="K75" s="2">
        <f>'[2]6 Вед15'!J157</f>
        <v>8214000</v>
      </c>
      <c r="L75" s="95">
        <f>'[2]6 Вед15'!K157</f>
        <v>0</v>
      </c>
      <c r="M75" s="2">
        <f t="shared" si="10"/>
        <v>8214000</v>
      </c>
      <c r="N75" s="95">
        <f>'[2]6 Вед15'!M157</f>
        <v>-940718</v>
      </c>
      <c r="O75" s="2">
        <f t="shared" si="4"/>
        <v>7273282</v>
      </c>
      <c r="P75" s="95">
        <f>'[2]6 Вед15'!O157</f>
        <v>0</v>
      </c>
      <c r="Q75" s="2">
        <f t="shared" ref="Q75" si="84">O75+P75</f>
        <v>7273282</v>
      </c>
      <c r="R75" s="95">
        <f>'[2]6 Вед15'!Q157</f>
        <v>0</v>
      </c>
      <c r="S75" s="2">
        <f t="shared" ref="S75" si="85">Q75+R75</f>
        <v>7273282</v>
      </c>
      <c r="T75" s="95"/>
      <c r="U75" s="95"/>
      <c r="V75" s="95"/>
      <c r="W75" s="2">
        <v>3210097</v>
      </c>
      <c r="X75" s="2">
        <f t="shared" si="7"/>
        <v>10483379</v>
      </c>
      <c r="Z75" s="8"/>
    </row>
    <row r="76" spans="1:26" s="5" customFormat="1" ht="15" customHeight="1" x14ac:dyDescent="0.25">
      <c r="A76" s="324" t="s">
        <v>73</v>
      </c>
      <c r="B76" s="324"/>
      <c r="C76" s="291"/>
      <c r="D76" s="173">
        <v>51</v>
      </c>
      <c r="E76" s="173">
        <v>0</v>
      </c>
      <c r="F76" s="173">
        <v>851</v>
      </c>
      <c r="G76" s="17" t="s">
        <v>63</v>
      </c>
      <c r="H76" s="17" t="s">
        <v>72</v>
      </c>
      <c r="I76" s="17" t="s">
        <v>323</v>
      </c>
      <c r="J76" s="1"/>
      <c r="K76" s="2">
        <f t="shared" ref="K76:S76" si="86">K78</f>
        <v>700000</v>
      </c>
      <c r="L76" s="2">
        <f t="shared" si="86"/>
        <v>10570</v>
      </c>
      <c r="M76" s="2">
        <f t="shared" si="86"/>
        <v>710570</v>
      </c>
      <c r="N76" s="2">
        <f t="shared" si="86"/>
        <v>0</v>
      </c>
      <c r="O76" s="2">
        <f t="shared" si="86"/>
        <v>710570</v>
      </c>
      <c r="P76" s="2">
        <f t="shared" si="86"/>
        <v>0</v>
      </c>
      <c r="Q76" s="2">
        <f t="shared" si="86"/>
        <v>710570</v>
      </c>
      <c r="R76" s="2">
        <f t="shared" si="86"/>
        <v>0</v>
      </c>
      <c r="S76" s="2">
        <f t="shared" si="86"/>
        <v>710570</v>
      </c>
      <c r="T76" s="2"/>
      <c r="U76" s="2"/>
      <c r="V76" s="95"/>
      <c r="W76" s="2">
        <f t="shared" ref="W76" si="87">W78</f>
        <v>-127601.5</v>
      </c>
      <c r="X76" s="2">
        <f t="shared" si="7"/>
        <v>582968.5</v>
      </c>
      <c r="Z76" s="8"/>
    </row>
    <row r="77" spans="1:26" s="5" customFormat="1" ht="15" customHeight="1" x14ac:dyDescent="0.25">
      <c r="A77" s="291"/>
      <c r="B77" s="291" t="s">
        <v>436</v>
      </c>
      <c r="C77" s="291"/>
      <c r="D77" s="173">
        <v>51</v>
      </c>
      <c r="E77" s="173">
        <v>0</v>
      </c>
      <c r="F77" s="173">
        <v>851</v>
      </c>
      <c r="G77" s="17" t="s">
        <v>63</v>
      </c>
      <c r="H77" s="17" t="s">
        <v>72</v>
      </c>
      <c r="I77" s="17" t="s">
        <v>323</v>
      </c>
      <c r="J77" s="1" t="s">
        <v>75</v>
      </c>
      <c r="K77" s="2">
        <f t="shared" ref="K77:W77" si="88">K78</f>
        <v>700000</v>
      </c>
      <c r="L77" s="2">
        <f t="shared" si="88"/>
        <v>10570</v>
      </c>
      <c r="M77" s="2">
        <f t="shared" si="88"/>
        <v>710570</v>
      </c>
      <c r="N77" s="2">
        <f t="shared" si="88"/>
        <v>0</v>
      </c>
      <c r="O77" s="2">
        <f t="shared" si="88"/>
        <v>710570</v>
      </c>
      <c r="P77" s="2">
        <f t="shared" si="88"/>
        <v>0</v>
      </c>
      <c r="Q77" s="2">
        <f t="shared" si="88"/>
        <v>710570</v>
      </c>
      <c r="R77" s="2">
        <f t="shared" si="88"/>
        <v>0</v>
      </c>
      <c r="S77" s="2">
        <f t="shared" si="88"/>
        <v>710570</v>
      </c>
      <c r="T77" s="2"/>
      <c r="U77" s="2"/>
      <c r="V77" s="95"/>
      <c r="W77" s="2">
        <f t="shared" si="88"/>
        <v>-127601.5</v>
      </c>
      <c r="X77" s="2">
        <f t="shared" si="7"/>
        <v>582968.5</v>
      </c>
      <c r="Z77" s="8"/>
    </row>
    <row r="78" spans="1:26" s="5" customFormat="1" ht="23.25" customHeight="1" x14ac:dyDescent="0.25">
      <c r="A78" s="14"/>
      <c r="B78" s="303" t="s">
        <v>76</v>
      </c>
      <c r="C78" s="291"/>
      <c r="D78" s="173">
        <v>51</v>
      </c>
      <c r="E78" s="173">
        <v>0</v>
      </c>
      <c r="F78" s="173">
        <v>851</v>
      </c>
      <c r="G78" s="17" t="s">
        <v>63</v>
      </c>
      <c r="H78" s="17" t="s">
        <v>72</v>
      </c>
      <c r="I78" s="17" t="s">
        <v>323</v>
      </c>
      <c r="J78" s="1" t="s">
        <v>77</v>
      </c>
      <c r="K78" s="2">
        <f>'[2]6 Вед15'!J135</f>
        <v>700000</v>
      </c>
      <c r="L78" s="95">
        <f>'[2]6 Вед15'!K135</f>
        <v>10570</v>
      </c>
      <c r="M78" s="2">
        <f t="shared" si="10"/>
        <v>710570</v>
      </c>
      <c r="N78" s="95">
        <f>'[2]6 Вед15'!M135</f>
        <v>0</v>
      </c>
      <c r="O78" s="2">
        <f t="shared" si="4"/>
        <v>710570</v>
      </c>
      <c r="P78" s="95">
        <f>'[2]6 Вед15'!O135</f>
        <v>0</v>
      </c>
      <c r="Q78" s="2">
        <f t="shared" ref="Q78" si="89">O78+P78</f>
        <v>710570</v>
      </c>
      <c r="R78" s="95">
        <f>'[2]6 Вед15'!Q135</f>
        <v>0</v>
      </c>
      <c r="S78" s="2">
        <f t="shared" ref="S78" si="90">Q78+R78</f>
        <v>710570</v>
      </c>
      <c r="T78" s="95"/>
      <c r="U78" s="95"/>
      <c r="V78" s="95"/>
      <c r="W78" s="2">
        <v>-127601.5</v>
      </c>
      <c r="X78" s="2">
        <f t="shared" si="7"/>
        <v>582968.5</v>
      </c>
      <c r="Z78" s="8"/>
    </row>
    <row r="79" spans="1:26" s="5" customFormat="1" hidden="1" x14ac:dyDescent="0.25">
      <c r="A79" s="324" t="s">
        <v>563</v>
      </c>
      <c r="B79" s="324"/>
      <c r="C79" s="291"/>
      <c r="D79" s="173">
        <v>51</v>
      </c>
      <c r="E79" s="173">
        <v>0</v>
      </c>
      <c r="F79" s="173">
        <v>851</v>
      </c>
      <c r="G79" s="17"/>
      <c r="H79" s="17"/>
      <c r="I79" s="17" t="s">
        <v>565</v>
      </c>
      <c r="J79" s="1"/>
      <c r="K79" s="2">
        <f t="shared" ref="K79:S79" si="91">K81</f>
        <v>0</v>
      </c>
      <c r="L79" s="2">
        <f t="shared" si="91"/>
        <v>15000</v>
      </c>
      <c r="M79" s="2">
        <f t="shared" si="91"/>
        <v>15000</v>
      </c>
      <c r="N79" s="2">
        <f t="shared" si="91"/>
        <v>0</v>
      </c>
      <c r="O79" s="2">
        <f t="shared" si="91"/>
        <v>15000</v>
      </c>
      <c r="P79" s="2">
        <f t="shared" si="91"/>
        <v>0</v>
      </c>
      <c r="Q79" s="2">
        <f t="shared" si="91"/>
        <v>15000</v>
      </c>
      <c r="R79" s="2">
        <f t="shared" si="91"/>
        <v>0</v>
      </c>
      <c r="S79" s="2">
        <f t="shared" si="91"/>
        <v>15000</v>
      </c>
      <c r="T79" s="2"/>
      <c r="U79" s="2"/>
      <c r="V79" s="95"/>
      <c r="W79" s="2">
        <f t="shared" ref="W79" si="92">W81</f>
        <v>0</v>
      </c>
      <c r="X79" s="2">
        <f t="shared" ref="X79:X142" si="93">S79+W79</f>
        <v>15000</v>
      </c>
      <c r="Z79" s="8"/>
    </row>
    <row r="80" spans="1:26" s="5" customFormat="1" hidden="1" x14ac:dyDescent="0.25">
      <c r="A80" s="291"/>
      <c r="B80" s="291" t="s">
        <v>436</v>
      </c>
      <c r="C80" s="291"/>
      <c r="D80" s="173">
        <v>51</v>
      </c>
      <c r="E80" s="173">
        <v>0</v>
      </c>
      <c r="F80" s="173">
        <v>851</v>
      </c>
      <c r="G80" s="17" t="s">
        <v>63</v>
      </c>
      <c r="H80" s="17" t="s">
        <v>72</v>
      </c>
      <c r="I80" s="17" t="s">
        <v>565</v>
      </c>
      <c r="J80" s="1" t="s">
        <v>75</v>
      </c>
      <c r="K80" s="2">
        <f t="shared" ref="K80:W80" si="94">K81</f>
        <v>0</v>
      </c>
      <c r="L80" s="2">
        <f t="shared" si="94"/>
        <v>15000</v>
      </c>
      <c r="M80" s="2">
        <f t="shared" si="94"/>
        <v>15000</v>
      </c>
      <c r="N80" s="2">
        <f t="shared" si="94"/>
        <v>0</v>
      </c>
      <c r="O80" s="2">
        <f t="shared" si="94"/>
        <v>15000</v>
      </c>
      <c r="P80" s="2">
        <f t="shared" si="94"/>
        <v>0</v>
      </c>
      <c r="Q80" s="2">
        <f t="shared" si="94"/>
        <v>15000</v>
      </c>
      <c r="R80" s="2">
        <f t="shared" si="94"/>
        <v>0</v>
      </c>
      <c r="S80" s="2">
        <f t="shared" si="94"/>
        <v>15000</v>
      </c>
      <c r="T80" s="2"/>
      <c r="U80" s="2"/>
      <c r="V80" s="95"/>
      <c r="W80" s="2">
        <f t="shared" si="94"/>
        <v>0</v>
      </c>
      <c r="X80" s="2">
        <f t="shared" si="93"/>
        <v>15000</v>
      </c>
      <c r="Z80" s="8"/>
    </row>
    <row r="81" spans="1:26" s="5" customFormat="1" ht="24" hidden="1" customHeight="1" x14ac:dyDescent="0.25">
      <c r="A81" s="14"/>
      <c r="B81" s="291" t="s">
        <v>76</v>
      </c>
      <c r="C81" s="291"/>
      <c r="D81" s="173">
        <v>51</v>
      </c>
      <c r="E81" s="173">
        <v>0</v>
      </c>
      <c r="F81" s="173">
        <v>851</v>
      </c>
      <c r="G81" s="17" t="s">
        <v>63</v>
      </c>
      <c r="H81" s="17" t="s">
        <v>72</v>
      </c>
      <c r="I81" s="17" t="s">
        <v>565</v>
      </c>
      <c r="J81" s="1" t="s">
        <v>77</v>
      </c>
      <c r="K81" s="2">
        <v>0</v>
      </c>
      <c r="L81" s="2">
        <f>'[2]6 Вед15'!K138</f>
        <v>15000</v>
      </c>
      <c r="M81" s="2">
        <f t="shared" si="10"/>
        <v>15000</v>
      </c>
      <c r="N81" s="2">
        <f>'[2]6 Вед15'!M138</f>
        <v>0</v>
      </c>
      <c r="O81" s="2">
        <f t="shared" ref="O81:O158" si="95">M81+N81</f>
        <v>15000</v>
      </c>
      <c r="P81" s="2">
        <f>'[2]6 Вед15'!O138</f>
        <v>0</v>
      </c>
      <c r="Q81" s="2">
        <f t="shared" ref="Q81" si="96">O81+P81</f>
        <v>15000</v>
      </c>
      <c r="R81" s="2">
        <f>'[2]6 Вед15'!Q138</f>
        <v>0</v>
      </c>
      <c r="S81" s="2">
        <f t="shared" ref="S81" si="97">Q81+R81</f>
        <v>15000</v>
      </c>
      <c r="T81" s="2"/>
      <c r="U81" s="2"/>
      <c r="V81" s="95"/>
      <c r="W81" s="2">
        <f>'[2]6 Вед15'!V138</f>
        <v>0</v>
      </c>
      <c r="X81" s="2">
        <f t="shared" si="93"/>
        <v>15000</v>
      </c>
      <c r="Z81" s="8"/>
    </row>
    <row r="82" spans="1:26" s="5" customFormat="1" ht="18" hidden="1" customHeight="1" x14ac:dyDescent="0.25">
      <c r="A82" s="333" t="s">
        <v>582</v>
      </c>
      <c r="B82" s="334"/>
      <c r="C82" s="291"/>
      <c r="D82" s="173">
        <v>51</v>
      </c>
      <c r="E82" s="173">
        <v>0</v>
      </c>
      <c r="F82" s="173">
        <v>851</v>
      </c>
      <c r="G82" s="17"/>
      <c r="H82" s="17"/>
      <c r="I82" s="17" t="s">
        <v>596</v>
      </c>
      <c r="J82" s="1"/>
      <c r="K82" s="2">
        <f>K83</f>
        <v>0</v>
      </c>
      <c r="L82" s="2">
        <f t="shared" ref="L82:W89" si="98">L83</f>
        <v>632468</v>
      </c>
      <c r="M82" s="2">
        <f t="shared" si="98"/>
        <v>632468</v>
      </c>
      <c r="N82" s="2">
        <f t="shared" si="98"/>
        <v>0</v>
      </c>
      <c r="O82" s="2">
        <f t="shared" si="98"/>
        <v>632468</v>
      </c>
      <c r="P82" s="2">
        <f t="shared" si="98"/>
        <v>0</v>
      </c>
      <c r="Q82" s="2">
        <f t="shared" si="98"/>
        <v>632468</v>
      </c>
      <c r="R82" s="2">
        <f t="shared" si="98"/>
        <v>-632468</v>
      </c>
      <c r="S82" s="2">
        <f t="shared" si="98"/>
        <v>0</v>
      </c>
      <c r="T82" s="2"/>
      <c r="U82" s="2"/>
      <c r="V82" s="95"/>
      <c r="W82" s="2">
        <f t="shared" si="98"/>
        <v>0</v>
      </c>
      <c r="X82" s="2">
        <f t="shared" si="93"/>
        <v>0</v>
      </c>
      <c r="Z82" s="8"/>
    </row>
    <row r="83" spans="1:26" s="5" customFormat="1" hidden="1" x14ac:dyDescent="0.25">
      <c r="A83" s="291"/>
      <c r="B83" s="303" t="s">
        <v>27</v>
      </c>
      <c r="C83" s="291"/>
      <c r="D83" s="173">
        <v>51</v>
      </c>
      <c r="E83" s="173">
        <v>0</v>
      </c>
      <c r="F83" s="173">
        <v>851</v>
      </c>
      <c r="G83" s="17"/>
      <c r="H83" s="17"/>
      <c r="I83" s="17" t="s">
        <v>596</v>
      </c>
      <c r="J83" s="1" t="s">
        <v>28</v>
      </c>
      <c r="K83" s="2">
        <f>K84</f>
        <v>0</v>
      </c>
      <c r="L83" s="2">
        <f t="shared" si="98"/>
        <v>632468</v>
      </c>
      <c r="M83" s="2">
        <f t="shared" si="98"/>
        <v>632468</v>
      </c>
      <c r="N83" s="2">
        <f t="shared" si="98"/>
        <v>0</v>
      </c>
      <c r="O83" s="2">
        <f t="shared" si="98"/>
        <v>632468</v>
      </c>
      <c r="P83" s="2">
        <f t="shared" si="98"/>
        <v>0</v>
      </c>
      <c r="Q83" s="2">
        <f t="shared" si="98"/>
        <v>632468</v>
      </c>
      <c r="R83" s="2">
        <f t="shared" si="98"/>
        <v>-632468</v>
      </c>
      <c r="S83" s="2">
        <f t="shared" si="98"/>
        <v>0</v>
      </c>
      <c r="T83" s="2"/>
      <c r="U83" s="2"/>
      <c r="V83" s="95"/>
      <c r="W83" s="2">
        <f t="shared" si="98"/>
        <v>0</v>
      </c>
      <c r="X83" s="2">
        <f t="shared" si="93"/>
        <v>0</v>
      </c>
      <c r="Z83" s="8"/>
    </row>
    <row r="84" spans="1:26" s="5" customFormat="1" ht="24" hidden="1" x14ac:dyDescent="0.25">
      <c r="A84" s="291"/>
      <c r="B84" s="303" t="s">
        <v>29</v>
      </c>
      <c r="C84" s="291"/>
      <c r="D84" s="173">
        <v>51</v>
      </c>
      <c r="E84" s="173">
        <v>0</v>
      </c>
      <c r="F84" s="173">
        <v>851</v>
      </c>
      <c r="G84" s="17"/>
      <c r="H84" s="17"/>
      <c r="I84" s="17" t="s">
        <v>596</v>
      </c>
      <c r="J84" s="1" t="s">
        <v>30</v>
      </c>
      <c r="K84" s="2"/>
      <c r="L84" s="95">
        <f>'[2]6 Вед15'!K141</f>
        <v>632468</v>
      </c>
      <c r="M84" s="2">
        <f t="shared" ref="M84:M158" si="99">K84+L84</f>
        <v>632468</v>
      </c>
      <c r="N84" s="95">
        <f>'[2]6 Вед15'!M141</f>
        <v>0</v>
      </c>
      <c r="O84" s="2">
        <f t="shared" si="95"/>
        <v>632468</v>
      </c>
      <c r="P84" s="95">
        <f>'[2]6 Вед15'!O141</f>
        <v>0</v>
      </c>
      <c r="Q84" s="2">
        <f t="shared" ref="Q84" si="100">O84+P84</f>
        <v>632468</v>
      </c>
      <c r="R84" s="95">
        <f>'[2]6 Вед15'!Q141</f>
        <v>-632468</v>
      </c>
      <c r="S84" s="2">
        <f t="shared" ref="S84" si="101">Q84+R84</f>
        <v>0</v>
      </c>
      <c r="T84" s="95"/>
      <c r="U84" s="95"/>
      <c r="V84" s="95"/>
      <c r="W84" s="2">
        <f>'[2]6 Вед15'!V141</f>
        <v>0</v>
      </c>
      <c r="X84" s="2">
        <f t="shared" si="93"/>
        <v>0</v>
      </c>
      <c r="Z84" s="8"/>
    </row>
    <row r="85" spans="1:26" s="5" customFormat="1" ht="23.25" customHeight="1" x14ac:dyDescent="0.25">
      <c r="A85" s="324" t="s">
        <v>693</v>
      </c>
      <c r="B85" s="324"/>
      <c r="C85" s="291"/>
      <c r="D85" s="173">
        <v>51</v>
      </c>
      <c r="E85" s="173">
        <v>0</v>
      </c>
      <c r="F85" s="173">
        <v>851</v>
      </c>
      <c r="G85" s="17"/>
      <c r="H85" s="17"/>
      <c r="I85" s="17" t="s">
        <v>696</v>
      </c>
      <c r="J85" s="1"/>
      <c r="K85" s="2"/>
      <c r="L85" s="95"/>
      <c r="M85" s="2"/>
      <c r="N85" s="95"/>
      <c r="O85" s="2"/>
      <c r="P85" s="95"/>
      <c r="Q85" s="2">
        <f t="shared" si="98"/>
        <v>0</v>
      </c>
      <c r="R85" s="2">
        <f t="shared" si="98"/>
        <v>426205</v>
      </c>
      <c r="S85" s="2">
        <f t="shared" si="98"/>
        <v>426205</v>
      </c>
      <c r="T85" s="2"/>
      <c r="U85" s="2"/>
      <c r="V85" s="95"/>
      <c r="W85" s="2">
        <f t="shared" si="98"/>
        <v>-232232.67</v>
      </c>
      <c r="X85" s="2">
        <f t="shared" si="93"/>
        <v>193972.33</v>
      </c>
      <c r="Z85" s="8"/>
    </row>
    <row r="86" spans="1:26" s="5" customFormat="1" ht="15" customHeight="1" x14ac:dyDescent="0.25">
      <c r="A86" s="291"/>
      <c r="B86" s="303" t="s">
        <v>27</v>
      </c>
      <c r="C86" s="291"/>
      <c r="D86" s="173">
        <v>51</v>
      </c>
      <c r="E86" s="173">
        <v>0</v>
      </c>
      <c r="F86" s="173">
        <v>851</v>
      </c>
      <c r="G86" s="17"/>
      <c r="H86" s="17"/>
      <c r="I86" s="17" t="s">
        <v>696</v>
      </c>
      <c r="J86" s="1" t="s">
        <v>28</v>
      </c>
      <c r="K86" s="2"/>
      <c r="L86" s="95"/>
      <c r="M86" s="2"/>
      <c r="N86" s="95"/>
      <c r="O86" s="2"/>
      <c r="P86" s="95"/>
      <c r="Q86" s="2">
        <f t="shared" si="98"/>
        <v>0</v>
      </c>
      <c r="R86" s="2">
        <f t="shared" si="98"/>
        <v>426205</v>
      </c>
      <c r="S86" s="2">
        <f t="shared" si="98"/>
        <v>426205</v>
      </c>
      <c r="T86" s="2"/>
      <c r="U86" s="2"/>
      <c r="V86" s="95"/>
      <c r="W86" s="2">
        <f t="shared" si="98"/>
        <v>-232232.67</v>
      </c>
      <c r="X86" s="2">
        <f t="shared" si="93"/>
        <v>193972.33</v>
      </c>
      <c r="Z86" s="8"/>
    </row>
    <row r="87" spans="1:26" s="5" customFormat="1" ht="24" x14ac:dyDescent="0.25">
      <c r="A87" s="291"/>
      <c r="B87" s="303" t="s">
        <v>29</v>
      </c>
      <c r="C87" s="291"/>
      <c r="D87" s="173">
        <v>51</v>
      </c>
      <c r="E87" s="173">
        <v>0</v>
      </c>
      <c r="F87" s="173">
        <v>851</v>
      </c>
      <c r="G87" s="17"/>
      <c r="H87" s="17"/>
      <c r="I87" s="17" t="s">
        <v>696</v>
      </c>
      <c r="J87" s="1" t="s">
        <v>30</v>
      </c>
      <c r="K87" s="2"/>
      <c r="L87" s="95"/>
      <c r="M87" s="2"/>
      <c r="N87" s="95"/>
      <c r="O87" s="2"/>
      <c r="P87" s="95"/>
      <c r="Q87" s="2">
        <f t="shared" ref="Q87" si="102">O87+P87</f>
        <v>0</v>
      </c>
      <c r="R87" s="95">
        <f>'[2]6 Вед15'!Q144</f>
        <v>426205</v>
      </c>
      <c r="S87" s="2">
        <f t="shared" ref="S87" si="103">Q87+R87</f>
        <v>426205</v>
      </c>
      <c r="T87" s="95"/>
      <c r="U87" s="95"/>
      <c r="V87" s="95"/>
      <c r="W87" s="2">
        <v>-232232.67</v>
      </c>
      <c r="X87" s="2">
        <f t="shared" si="93"/>
        <v>193972.33</v>
      </c>
      <c r="Z87" s="8"/>
    </row>
    <row r="88" spans="1:26" s="5" customFormat="1" ht="71.25" hidden="1" customHeight="1" x14ac:dyDescent="0.25">
      <c r="A88" s="330" t="s">
        <v>665</v>
      </c>
      <c r="B88" s="331"/>
      <c r="C88" s="291"/>
      <c r="D88" s="173">
        <v>51</v>
      </c>
      <c r="E88" s="173">
        <v>0</v>
      </c>
      <c r="F88" s="173">
        <v>851</v>
      </c>
      <c r="G88" s="17"/>
      <c r="H88" s="17"/>
      <c r="I88" s="17" t="s">
        <v>680</v>
      </c>
      <c r="J88" s="1"/>
      <c r="K88" s="2"/>
      <c r="L88" s="95"/>
      <c r="M88" s="2"/>
      <c r="N88" s="95"/>
      <c r="O88" s="2"/>
      <c r="P88" s="95"/>
      <c r="Q88" s="2">
        <f t="shared" si="98"/>
        <v>0</v>
      </c>
      <c r="R88" s="2">
        <f t="shared" si="98"/>
        <v>969400</v>
      </c>
      <c r="S88" s="2">
        <f t="shared" si="98"/>
        <v>969400</v>
      </c>
      <c r="T88" s="2"/>
      <c r="U88" s="2"/>
      <c r="V88" s="95"/>
      <c r="W88" s="2">
        <f t="shared" si="98"/>
        <v>0</v>
      </c>
      <c r="X88" s="2">
        <f t="shared" si="93"/>
        <v>969400</v>
      </c>
      <c r="Z88" s="8"/>
    </row>
    <row r="89" spans="1:26" s="5" customFormat="1" hidden="1" x14ac:dyDescent="0.25">
      <c r="A89" s="291"/>
      <c r="B89" s="291" t="s">
        <v>436</v>
      </c>
      <c r="C89" s="291"/>
      <c r="D89" s="173">
        <v>51</v>
      </c>
      <c r="E89" s="173">
        <v>0</v>
      </c>
      <c r="F89" s="173">
        <v>851</v>
      </c>
      <c r="G89" s="17"/>
      <c r="H89" s="17"/>
      <c r="I89" s="17" t="s">
        <v>680</v>
      </c>
      <c r="J89" s="1" t="s">
        <v>75</v>
      </c>
      <c r="K89" s="2"/>
      <c r="L89" s="95"/>
      <c r="M89" s="2"/>
      <c r="N89" s="95"/>
      <c r="O89" s="2"/>
      <c r="P89" s="95"/>
      <c r="Q89" s="2">
        <f t="shared" si="98"/>
        <v>0</v>
      </c>
      <c r="R89" s="2">
        <f t="shared" si="98"/>
        <v>969400</v>
      </c>
      <c r="S89" s="2">
        <f t="shared" si="98"/>
        <v>969400</v>
      </c>
      <c r="T89" s="2"/>
      <c r="U89" s="2"/>
      <c r="V89" s="95"/>
      <c r="W89" s="2">
        <f t="shared" si="98"/>
        <v>0</v>
      </c>
      <c r="X89" s="2">
        <f t="shared" si="93"/>
        <v>969400</v>
      </c>
      <c r="Z89" s="8"/>
    </row>
    <row r="90" spans="1:26" s="5" customFormat="1" ht="21" hidden="1" customHeight="1" x14ac:dyDescent="0.25">
      <c r="A90" s="291"/>
      <c r="B90" s="291" t="s">
        <v>76</v>
      </c>
      <c r="C90" s="291"/>
      <c r="D90" s="173">
        <v>51</v>
      </c>
      <c r="E90" s="173">
        <v>0</v>
      </c>
      <c r="F90" s="173">
        <v>851</v>
      </c>
      <c r="G90" s="17"/>
      <c r="H90" s="17"/>
      <c r="I90" s="17" t="s">
        <v>680</v>
      </c>
      <c r="J90" s="1" t="s">
        <v>77</v>
      </c>
      <c r="K90" s="2"/>
      <c r="L90" s="95"/>
      <c r="M90" s="2"/>
      <c r="N90" s="95"/>
      <c r="O90" s="2"/>
      <c r="P90" s="95"/>
      <c r="Q90" s="2">
        <f t="shared" ref="Q90" si="104">O90+P90</f>
        <v>0</v>
      </c>
      <c r="R90" s="95">
        <f>'[2]6 Вед15'!Q147</f>
        <v>969400</v>
      </c>
      <c r="S90" s="2">
        <f t="shared" ref="S90" si="105">Q90+R90</f>
        <v>969400</v>
      </c>
      <c r="T90" s="95"/>
      <c r="U90" s="95"/>
      <c r="V90" s="95"/>
      <c r="W90" s="2">
        <f>'[2]6 Вед15'!V147</f>
        <v>0</v>
      </c>
      <c r="X90" s="2">
        <f t="shared" si="93"/>
        <v>969400</v>
      </c>
      <c r="Z90" s="8"/>
    </row>
    <row r="91" spans="1:26" s="22" customFormat="1" ht="32.25" customHeight="1" x14ac:dyDescent="0.25">
      <c r="A91" s="323" t="s">
        <v>490</v>
      </c>
      <c r="B91" s="323"/>
      <c r="C91" s="301"/>
      <c r="D91" s="62">
        <v>51</v>
      </c>
      <c r="E91" s="173">
        <v>0</v>
      </c>
      <c r="F91" s="62">
        <v>851</v>
      </c>
      <c r="G91" s="173" t="s">
        <v>72</v>
      </c>
      <c r="H91" s="173" t="s">
        <v>3</v>
      </c>
      <c r="I91" s="173">
        <v>5118</v>
      </c>
      <c r="J91" s="301" t="s">
        <v>149</v>
      </c>
      <c r="K91" s="36">
        <f t="shared" ref="K91:S91" si="106">K92+K94</f>
        <v>428902</v>
      </c>
      <c r="L91" s="36">
        <f t="shared" si="106"/>
        <v>0</v>
      </c>
      <c r="M91" s="36">
        <f t="shared" si="106"/>
        <v>428902</v>
      </c>
      <c r="N91" s="36">
        <f t="shared" si="106"/>
        <v>-39699</v>
      </c>
      <c r="O91" s="36">
        <f t="shared" si="106"/>
        <v>389203</v>
      </c>
      <c r="P91" s="36">
        <f t="shared" si="106"/>
        <v>0</v>
      </c>
      <c r="Q91" s="36">
        <f t="shared" si="106"/>
        <v>389203</v>
      </c>
      <c r="R91" s="36">
        <f t="shared" si="106"/>
        <v>0</v>
      </c>
      <c r="S91" s="36">
        <f t="shared" si="106"/>
        <v>389203</v>
      </c>
      <c r="T91" s="36"/>
      <c r="U91" s="36"/>
      <c r="V91" s="315"/>
      <c r="W91" s="36">
        <f t="shared" ref="W91" si="107">W92+W94</f>
        <v>43242</v>
      </c>
      <c r="X91" s="2">
        <f t="shared" si="93"/>
        <v>432445</v>
      </c>
      <c r="Z91" s="8"/>
    </row>
    <row r="92" spans="1:26" s="5" customFormat="1" ht="36" customHeight="1" x14ac:dyDescent="0.25">
      <c r="A92" s="14"/>
      <c r="B92" s="301" t="s">
        <v>21</v>
      </c>
      <c r="C92" s="173"/>
      <c r="D92" s="173">
        <v>51</v>
      </c>
      <c r="E92" s="173">
        <v>0</v>
      </c>
      <c r="F92" s="173">
        <v>851</v>
      </c>
      <c r="G92" s="1" t="s">
        <v>72</v>
      </c>
      <c r="H92" s="1" t="s">
        <v>3</v>
      </c>
      <c r="I92" s="173">
        <v>5118</v>
      </c>
      <c r="J92" s="1" t="s">
        <v>23</v>
      </c>
      <c r="K92" s="2">
        <f t="shared" ref="K92:W92" si="108">K93</f>
        <v>379160</v>
      </c>
      <c r="L92" s="2">
        <f t="shared" si="108"/>
        <v>0</v>
      </c>
      <c r="M92" s="2">
        <f t="shared" si="108"/>
        <v>379160</v>
      </c>
      <c r="N92" s="2">
        <f t="shared" si="108"/>
        <v>0</v>
      </c>
      <c r="O92" s="2">
        <f t="shared" si="108"/>
        <v>379160</v>
      </c>
      <c r="P92" s="2">
        <f t="shared" si="108"/>
        <v>0</v>
      </c>
      <c r="Q92" s="2">
        <f t="shared" si="108"/>
        <v>379160</v>
      </c>
      <c r="R92" s="2">
        <f t="shared" si="108"/>
        <v>0</v>
      </c>
      <c r="S92" s="2">
        <f t="shared" si="108"/>
        <v>379160</v>
      </c>
      <c r="T92" s="2"/>
      <c r="U92" s="2"/>
      <c r="V92" s="95"/>
      <c r="W92" s="2">
        <f t="shared" si="108"/>
        <v>35639.97</v>
      </c>
      <c r="X92" s="2">
        <f t="shared" si="93"/>
        <v>414799.97</v>
      </c>
      <c r="Z92" s="8"/>
    </row>
    <row r="93" spans="1:26" s="5" customFormat="1" ht="15" customHeight="1" x14ac:dyDescent="0.25">
      <c r="A93" s="14"/>
      <c r="B93" s="301" t="s">
        <v>24</v>
      </c>
      <c r="C93" s="173"/>
      <c r="D93" s="173">
        <v>51</v>
      </c>
      <c r="E93" s="173">
        <v>0</v>
      </c>
      <c r="F93" s="173">
        <v>851</v>
      </c>
      <c r="G93" s="1" t="s">
        <v>72</v>
      </c>
      <c r="H93" s="1" t="s">
        <v>3</v>
      </c>
      <c r="I93" s="173">
        <v>5118</v>
      </c>
      <c r="J93" s="1" t="s">
        <v>25</v>
      </c>
      <c r="K93" s="2">
        <f>'[2]6 Вед15'!J75</f>
        <v>379160</v>
      </c>
      <c r="L93" s="95">
        <f>'[2]6 Вед15'!K75</f>
        <v>0</v>
      </c>
      <c r="M93" s="2">
        <f t="shared" si="99"/>
        <v>379160</v>
      </c>
      <c r="N93" s="95">
        <f>'[2]6 Вед15'!M75</f>
        <v>0</v>
      </c>
      <c r="O93" s="2">
        <f t="shared" si="95"/>
        <v>379160</v>
      </c>
      <c r="P93" s="95">
        <f>'[2]6 Вед15'!O75</f>
        <v>0</v>
      </c>
      <c r="Q93" s="2">
        <f t="shared" ref="Q93" si="109">O93+P93</f>
        <v>379160</v>
      </c>
      <c r="R93" s="95">
        <f>'[2]6 Вед15'!Q75</f>
        <v>0</v>
      </c>
      <c r="S93" s="2">
        <f t="shared" ref="S93" si="110">Q93+R93</f>
        <v>379160</v>
      </c>
      <c r="T93" s="95"/>
      <c r="U93" s="95"/>
      <c r="V93" s="95"/>
      <c r="W93" s="2">
        <v>35639.97</v>
      </c>
      <c r="X93" s="2">
        <f t="shared" si="93"/>
        <v>414799.97</v>
      </c>
      <c r="Z93" s="8"/>
    </row>
    <row r="94" spans="1:26" s="5" customFormat="1" ht="15" customHeight="1" x14ac:dyDescent="0.25">
      <c r="A94" s="14"/>
      <c r="B94" s="291" t="s">
        <v>27</v>
      </c>
      <c r="C94" s="173"/>
      <c r="D94" s="173">
        <v>51</v>
      </c>
      <c r="E94" s="173">
        <v>0</v>
      </c>
      <c r="F94" s="173">
        <v>851</v>
      </c>
      <c r="G94" s="1" t="s">
        <v>72</v>
      </c>
      <c r="H94" s="1" t="s">
        <v>3</v>
      </c>
      <c r="I94" s="173">
        <v>5118</v>
      </c>
      <c r="J94" s="1" t="s">
        <v>28</v>
      </c>
      <c r="K94" s="2">
        <f>K95</f>
        <v>49742</v>
      </c>
      <c r="L94" s="2">
        <f t="shared" ref="L94:W94" si="111">L95</f>
        <v>0</v>
      </c>
      <c r="M94" s="2">
        <f t="shared" si="111"/>
        <v>49742</v>
      </c>
      <c r="N94" s="2">
        <f t="shared" si="111"/>
        <v>-39699</v>
      </c>
      <c r="O94" s="2">
        <f t="shared" si="111"/>
        <v>10043</v>
      </c>
      <c r="P94" s="2">
        <f t="shared" si="111"/>
        <v>0</v>
      </c>
      <c r="Q94" s="2">
        <f t="shared" si="111"/>
        <v>10043</v>
      </c>
      <c r="R94" s="2">
        <f t="shared" si="111"/>
        <v>0</v>
      </c>
      <c r="S94" s="2">
        <f t="shared" si="111"/>
        <v>10043</v>
      </c>
      <c r="T94" s="2"/>
      <c r="U94" s="2"/>
      <c r="V94" s="95"/>
      <c r="W94" s="2">
        <f t="shared" si="111"/>
        <v>7602.03</v>
      </c>
      <c r="X94" s="2">
        <f t="shared" si="93"/>
        <v>17645.03</v>
      </c>
      <c r="Z94" s="8"/>
    </row>
    <row r="95" spans="1:26" s="5" customFormat="1" ht="14.25" customHeight="1" x14ac:dyDescent="0.25">
      <c r="A95" s="14"/>
      <c r="B95" s="291" t="s">
        <v>29</v>
      </c>
      <c r="C95" s="173"/>
      <c r="D95" s="173">
        <v>51</v>
      </c>
      <c r="E95" s="173">
        <v>0</v>
      </c>
      <c r="F95" s="173">
        <v>851</v>
      </c>
      <c r="G95" s="1" t="s">
        <v>72</v>
      </c>
      <c r="H95" s="1" t="s">
        <v>3</v>
      </c>
      <c r="I95" s="173">
        <v>5118</v>
      </c>
      <c r="J95" s="1" t="s">
        <v>30</v>
      </c>
      <c r="K95" s="2">
        <f>'[2]6 Вед15'!J77</f>
        <v>49742</v>
      </c>
      <c r="L95" s="95">
        <f>'[2]6 Вед15'!K77</f>
        <v>0</v>
      </c>
      <c r="M95" s="2">
        <f t="shared" si="99"/>
        <v>49742</v>
      </c>
      <c r="N95" s="95">
        <f>'[2]6 Вед15'!M77</f>
        <v>-39699</v>
      </c>
      <c r="O95" s="2">
        <f t="shared" si="95"/>
        <v>10043</v>
      </c>
      <c r="P95" s="95">
        <f>'[2]6 Вед15'!O77</f>
        <v>0</v>
      </c>
      <c r="Q95" s="2">
        <f t="shared" ref="Q95:Q98" si="112">O95+P95</f>
        <v>10043</v>
      </c>
      <c r="R95" s="95">
        <f>'[2]6 Вед15'!Q77</f>
        <v>0</v>
      </c>
      <c r="S95" s="2">
        <f t="shared" ref="S95:S98" si="113">Q95+R95</f>
        <v>10043</v>
      </c>
      <c r="T95" s="95"/>
      <c r="U95" s="95"/>
      <c r="V95" s="95"/>
      <c r="W95" s="2">
        <v>7602.03</v>
      </c>
      <c r="X95" s="2">
        <f t="shared" si="93"/>
        <v>17645.03</v>
      </c>
      <c r="Z95" s="8"/>
    </row>
    <row r="96" spans="1:26" s="5" customFormat="1" ht="60" hidden="1" customHeight="1" x14ac:dyDescent="0.25">
      <c r="A96" s="324" t="s">
        <v>487</v>
      </c>
      <c r="B96" s="324"/>
      <c r="C96" s="291"/>
      <c r="D96" s="173">
        <v>51</v>
      </c>
      <c r="E96" s="173">
        <v>0</v>
      </c>
      <c r="F96" s="173">
        <v>851</v>
      </c>
      <c r="G96" s="1" t="s">
        <v>17</v>
      </c>
      <c r="H96" s="1" t="s">
        <v>63</v>
      </c>
      <c r="I96" s="1" t="s">
        <v>489</v>
      </c>
      <c r="J96" s="1"/>
      <c r="K96" s="2">
        <f t="shared" ref="K96:W97" si="114">K97</f>
        <v>0</v>
      </c>
      <c r="L96" s="95">
        <f t="shared" si="114"/>
        <v>0</v>
      </c>
      <c r="M96" s="2">
        <f t="shared" si="99"/>
        <v>0</v>
      </c>
      <c r="N96" s="95">
        <f t="shared" si="114"/>
        <v>0</v>
      </c>
      <c r="O96" s="2">
        <f t="shared" si="95"/>
        <v>0</v>
      </c>
      <c r="P96" s="95">
        <f t="shared" si="114"/>
        <v>0</v>
      </c>
      <c r="Q96" s="2">
        <f t="shared" si="112"/>
        <v>0</v>
      </c>
      <c r="R96" s="95">
        <f t="shared" si="114"/>
        <v>0</v>
      </c>
      <c r="S96" s="2">
        <f t="shared" si="113"/>
        <v>0</v>
      </c>
      <c r="T96" s="95"/>
      <c r="U96" s="95"/>
      <c r="V96" s="95"/>
      <c r="W96" s="2">
        <f t="shared" si="114"/>
        <v>0</v>
      </c>
      <c r="X96" s="2">
        <f t="shared" si="93"/>
        <v>0</v>
      </c>
      <c r="Z96" s="8"/>
    </row>
    <row r="97" spans="1:26" s="5" customFormat="1" ht="15" hidden="1" customHeight="1" x14ac:dyDescent="0.25">
      <c r="A97" s="14"/>
      <c r="B97" s="291" t="s">
        <v>27</v>
      </c>
      <c r="C97" s="301"/>
      <c r="D97" s="173">
        <v>51</v>
      </c>
      <c r="E97" s="173">
        <v>0</v>
      </c>
      <c r="F97" s="173">
        <v>851</v>
      </c>
      <c r="G97" s="1" t="s">
        <v>17</v>
      </c>
      <c r="H97" s="1" t="s">
        <v>63</v>
      </c>
      <c r="I97" s="1" t="s">
        <v>489</v>
      </c>
      <c r="J97" s="1" t="s">
        <v>28</v>
      </c>
      <c r="K97" s="2">
        <f t="shared" si="114"/>
        <v>0</v>
      </c>
      <c r="L97" s="95">
        <f t="shared" si="114"/>
        <v>0</v>
      </c>
      <c r="M97" s="2">
        <f t="shared" si="99"/>
        <v>0</v>
      </c>
      <c r="N97" s="95">
        <f t="shared" si="114"/>
        <v>0</v>
      </c>
      <c r="O97" s="2">
        <f t="shared" si="95"/>
        <v>0</v>
      </c>
      <c r="P97" s="95">
        <f t="shared" si="114"/>
        <v>0</v>
      </c>
      <c r="Q97" s="2">
        <f t="shared" si="112"/>
        <v>0</v>
      </c>
      <c r="R97" s="95">
        <f t="shared" si="114"/>
        <v>0</v>
      </c>
      <c r="S97" s="2">
        <f t="shared" si="113"/>
        <v>0</v>
      </c>
      <c r="T97" s="95"/>
      <c r="U97" s="95"/>
      <c r="V97" s="95"/>
      <c r="W97" s="2">
        <f t="shared" si="114"/>
        <v>0</v>
      </c>
      <c r="X97" s="2">
        <f t="shared" si="93"/>
        <v>0</v>
      </c>
      <c r="Z97" s="8"/>
    </row>
    <row r="98" spans="1:26" s="5" customFormat="1" ht="24" hidden="1" x14ac:dyDescent="0.25">
      <c r="A98" s="14"/>
      <c r="B98" s="291" t="s">
        <v>29</v>
      </c>
      <c r="C98" s="291"/>
      <c r="D98" s="173">
        <v>51</v>
      </c>
      <c r="E98" s="173">
        <v>0</v>
      </c>
      <c r="F98" s="173">
        <v>851</v>
      </c>
      <c r="G98" s="1" t="s">
        <v>17</v>
      </c>
      <c r="H98" s="1" t="s">
        <v>63</v>
      </c>
      <c r="I98" s="1" t="s">
        <v>489</v>
      </c>
      <c r="J98" s="1" t="s">
        <v>30</v>
      </c>
      <c r="K98" s="2">
        <f>'[2]6 Вед15'!J29</f>
        <v>0</v>
      </c>
      <c r="L98" s="95">
        <f>'[2]6 Вед15'!K29</f>
        <v>0</v>
      </c>
      <c r="M98" s="2">
        <f t="shared" si="99"/>
        <v>0</v>
      </c>
      <c r="N98" s="95">
        <f>'[2]6 Вед15'!M29</f>
        <v>0</v>
      </c>
      <c r="O98" s="2">
        <f t="shared" si="95"/>
        <v>0</v>
      </c>
      <c r="P98" s="95">
        <f>'[2]6 Вед15'!O29</f>
        <v>0</v>
      </c>
      <c r="Q98" s="2">
        <f t="shared" si="112"/>
        <v>0</v>
      </c>
      <c r="R98" s="95">
        <f>'[2]6 Вед15'!Q29</f>
        <v>0</v>
      </c>
      <c r="S98" s="2">
        <f t="shared" si="113"/>
        <v>0</v>
      </c>
      <c r="T98" s="95"/>
      <c r="U98" s="95"/>
      <c r="V98" s="95"/>
      <c r="W98" s="2">
        <f>'[2]6 Вед15'!V29</f>
        <v>0</v>
      </c>
      <c r="X98" s="2">
        <f t="shared" si="93"/>
        <v>0</v>
      </c>
      <c r="Z98" s="8"/>
    </row>
    <row r="99" spans="1:26" s="5" customFormat="1" ht="67.5" hidden="1" customHeight="1" x14ac:dyDescent="0.25">
      <c r="A99" s="330" t="s">
        <v>644</v>
      </c>
      <c r="B99" s="331"/>
      <c r="C99" s="291"/>
      <c r="D99" s="173">
        <v>51</v>
      </c>
      <c r="E99" s="173">
        <v>0</v>
      </c>
      <c r="F99" s="173">
        <v>851</v>
      </c>
      <c r="G99" s="1"/>
      <c r="H99" s="1"/>
      <c r="I99" s="1" t="s">
        <v>646</v>
      </c>
      <c r="J99" s="1"/>
      <c r="K99" s="2"/>
      <c r="L99" s="95"/>
      <c r="M99" s="2">
        <f>M102</f>
        <v>0</v>
      </c>
      <c r="N99" s="2">
        <f>N102</f>
        <v>0</v>
      </c>
      <c r="O99" s="2">
        <f>O102</f>
        <v>0</v>
      </c>
      <c r="P99" s="2">
        <f>P102</f>
        <v>1200000</v>
      </c>
      <c r="Q99" s="2">
        <f>Q100+Q102</f>
        <v>1200000</v>
      </c>
      <c r="R99" s="2">
        <f t="shared" ref="R99:S99" si="115">R100+R102</f>
        <v>0</v>
      </c>
      <c r="S99" s="2">
        <f t="shared" si="115"/>
        <v>1200000</v>
      </c>
      <c r="T99" s="2"/>
      <c r="U99" s="2"/>
      <c r="V99" s="95"/>
      <c r="W99" s="2">
        <f t="shared" ref="W99" si="116">W100+W102</f>
        <v>0</v>
      </c>
      <c r="X99" s="2">
        <f t="shared" si="93"/>
        <v>1200000</v>
      </c>
      <c r="Z99" s="8"/>
    </row>
    <row r="100" spans="1:26" s="5" customFormat="1" hidden="1" x14ac:dyDescent="0.25">
      <c r="A100" s="296"/>
      <c r="B100" s="291" t="s">
        <v>27</v>
      </c>
      <c r="C100" s="291"/>
      <c r="D100" s="173">
        <v>51</v>
      </c>
      <c r="E100" s="173">
        <v>0</v>
      </c>
      <c r="F100" s="173">
        <v>851</v>
      </c>
      <c r="G100" s="1"/>
      <c r="H100" s="1"/>
      <c r="I100" s="1" t="s">
        <v>646</v>
      </c>
      <c r="J100" s="1" t="s">
        <v>28</v>
      </c>
      <c r="K100" s="2"/>
      <c r="L100" s="95"/>
      <c r="M100" s="2"/>
      <c r="N100" s="2"/>
      <c r="O100" s="2"/>
      <c r="P100" s="2"/>
      <c r="Q100" s="2">
        <f t="shared" ref="Q100:W102" si="117">Q101</f>
        <v>0</v>
      </c>
      <c r="R100" s="2">
        <f t="shared" si="117"/>
        <v>1200000</v>
      </c>
      <c r="S100" s="2">
        <f t="shared" si="117"/>
        <v>1200000</v>
      </c>
      <c r="T100" s="2"/>
      <c r="U100" s="2"/>
      <c r="V100" s="95"/>
      <c r="W100" s="2">
        <f t="shared" si="117"/>
        <v>0</v>
      </c>
      <c r="X100" s="2">
        <f t="shared" si="93"/>
        <v>1200000</v>
      </c>
      <c r="Z100" s="8"/>
    </row>
    <row r="101" spans="1:26" s="5" customFormat="1" ht="24" hidden="1" x14ac:dyDescent="0.25">
      <c r="A101" s="296"/>
      <c r="B101" s="291" t="s">
        <v>29</v>
      </c>
      <c r="C101" s="291"/>
      <c r="D101" s="173">
        <v>51</v>
      </c>
      <c r="E101" s="173">
        <v>0</v>
      </c>
      <c r="F101" s="173">
        <v>851</v>
      </c>
      <c r="G101" s="1"/>
      <c r="H101" s="1"/>
      <c r="I101" s="1" t="s">
        <v>646</v>
      </c>
      <c r="J101" s="1" t="s">
        <v>30</v>
      </c>
      <c r="K101" s="2"/>
      <c r="L101" s="95"/>
      <c r="M101" s="2"/>
      <c r="N101" s="2"/>
      <c r="O101" s="2"/>
      <c r="P101" s="2"/>
      <c r="Q101" s="2"/>
      <c r="R101" s="95">
        <f>'[2]6 Вед15'!Q68</f>
        <v>1200000</v>
      </c>
      <c r="S101" s="2">
        <f>Q101+R101</f>
        <v>1200000</v>
      </c>
      <c r="T101" s="95"/>
      <c r="U101" s="95"/>
      <c r="V101" s="95"/>
      <c r="W101" s="2">
        <f>'[2]6 Вед15'!V68</f>
        <v>0</v>
      </c>
      <c r="X101" s="2">
        <f t="shared" si="93"/>
        <v>1200000</v>
      </c>
      <c r="Z101" s="8"/>
    </row>
    <row r="102" spans="1:26" s="5" customFormat="1" hidden="1" x14ac:dyDescent="0.25">
      <c r="A102" s="300"/>
      <c r="B102" s="291" t="s">
        <v>436</v>
      </c>
      <c r="C102" s="291"/>
      <c r="D102" s="173">
        <v>51</v>
      </c>
      <c r="E102" s="173">
        <v>0</v>
      </c>
      <c r="F102" s="173">
        <v>851</v>
      </c>
      <c r="G102" s="1"/>
      <c r="H102" s="1"/>
      <c r="I102" s="1" t="s">
        <v>646</v>
      </c>
      <c r="J102" s="1" t="s">
        <v>75</v>
      </c>
      <c r="K102" s="2"/>
      <c r="L102" s="95"/>
      <c r="M102" s="2">
        <f>M103</f>
        <v>0</v>
      </c>
      <c r="N102" s="2">
        <f t="shared" ref="N102:P102" si="118">N103</f>
        <v>0</v>
      </c>
      <c r="O102" s="2">
        <f t="shared" si="118"/>
        <v>0</v>
      </c>
      <c r="P102" s="2">
        <f t="shared" si="118"/>
        <v>1200000</v>
      </c>
      <c r="Q102" s="2">
        <f t="shared" si="117"/>
        <v>1200000</v>
      </c>
      <c r="R102" s="2">
        <f t="shared" si="117"/>
        <v>-1200000</v>
      </c>
      <c r="S102" s="2">
        <f t="shared" si="117"/>
        <v>0</v>
      </c>
      <c r="T102" s="2"/>
      <c r="U102" s="2"/>
      <c r="V102" s="95"/>
      <c r="W102" s="2">
        <f t="shared" si="117"/>
        <v>0</v>
      </c>
      <c r="X102" s="2">
        <f t="shared" si="93"/>
        <v>0</v>
      </c>
      <c r="Z102" s="8"/>
    </row>
    <row r="103" spans="1:26" s="5" customFormat="1" ht="23.25" hidden="1" customHeight="1" x14ac:dyDescent="0.25">
      <c r="A103" s="300"/>
      <c r="B103" s="291" t="s">
        <v>76</v>
      </c>
      <c r="C103" s="291"/>
      <c r="D103" s="173">
        <v>51</v>
      </c>
      <c r="E103" s="173">
        <v>0</v>
      </c>
      <c r="F103" s="173">
        <v>851</v>
      </c>
      <c r="G103" s="1"/>
      <c r="H103" s="1"/>
      <c r="I103" s="1" t="s">
        <v>646</v>
      </c>
      <c r="J103" s="1" t="s">
        <v>77</v>
      </c>
      <c r="K103" s="2"/>
      <c r="L103" s="95"/>
      <c r="M103" s="2">
        <f t="shared" si="99"/>
        <v>0</v>
      </c>
      <c r="N103" s="95">
        <f>'[2]6 Вед15'!M70</f>
        <v>0</v>
      </c>
      <c r="O103" s="2">
        <f t="shared" si="95"/>
        <v>0</v>
      </c>
      <c r="P103" s="95">
        <f>'[2]6 Вед15'!O70</f>
        <v>1200000</v>
      </c>
      <c r="Q103" s="2">
        <f t="shared" ref="Q103" si="119">O103+P103</f>
        <v>1200000</v>
      </c>
      <c r="R103" s="95">
        <f>'[2]6 Вед15'!Q70</f>
        <v>-1200000</v>
      </c>
      <c r="S103" s="2">
        <f t="shared" ref="S103" si="120">Q103+R103</f>
        <v>0</v>
      </c>
      <c r="T103" s="95"/>
      <c r="U103" s="95"/>
      <c r="V103" s="95"/>
      <c r="W103" s="2">
        <f>'[2]6 Вед15'!V70</f>
        <v>0</v>
      </c>
      <c r="X103" s="2">
        <f t="shared" si="93"/>
        <v>0</v>
      </c>
      <c r="Z103" s="8"/>
    </row>
    <row r="104" spans="1:26" s="12" customFormat="1" ht="13.5" customHeight="1" x14ac:dyDescent="0.25">
      <c r="A104" s="324" t="s">
        <v>425</v>
      </c>
      <c r="B104" s="324"/>
      <c r="C104" s="291"/>
      <c r="D104" s="173">
        <v>51</v>
      </c>
      <c r="E104" s="173">
        <v>0</v>
      </c>
      <c r="F104" s="173">
        <v>851</v>
      </c>
      <c r="G104" s="17" t="s">
        <v>63</v>
      </c>
      <c r="H104" s="17" t="s">
        <v>17</v>
      </c>
      <c r="I104" s="17" t="s">
        <v>427</v>
      </c>
      <c r="J104" s="1"/>
      <c r="K104" s="2">
        <f t="shared" ref="K104:W108" si="121">K105</f>
        <v>41440</v>
      </c>
      <c r="L104" s="2">
        <f t="shared" si="121"/>
        <v>0</v>
      </c>
      <c r="M104" s="2">
        <f t="shared" si="121"/>
        <v>41440</v>
      </c>
      <c r="N104" s="2">
        <f t="shared" si="121"/>
        <v>0</v>
      </c>
      <c r="O104" s="2">
        <f t="shared" si="121"/>
        <v>41440</v>
      </c>
      <c r="P104" s="2">
        <f t="shared" si="121"/>
        <v>0</v>
      </c>
      <c r="Q104" s="2">
        <f t="shared" si="121"/>
        <v>41440</v>
      </c>
      <c r="R104" s="2">
        <f t="shared" si="121"/>
        <v>0</v>
      </c>
      <c r="S104" s="2">
        <f t="shared" si="121"/>
        <v>41440</v>
      </c>
      <c r="T104" s="2"/>
      <c r="U104" s="2"/>
      <c r="V104" s="95"/>
      <c r="W104" s="2">
        <f t="shared" si="121"/>
        <v>3747.53</v>
      </c>
      <c r="X104" s="2">
        <f t="shared" si="93"/>
        <v>45187.53</v>
      </c>
      <c r="Z104" s="8"/>
    </row>
    <row r="105" spans="1:26" s="12" customFormat="1" ht="15" customHeight="1" x14ac:dyDescent="0.25">
      <c r="A105" s="291"/>
      <c r="B105" s="303" t="s">
        <v>27</v>
      </c>
      <c r="C105" s="291"/>
      <c r="D105" s="173">
        <v>51</v>
      </c>
      <c r="E105" s="173">
        <v>0</v>
      </c>
      <c r="F105" s="173">
        <v>851</v>
      </c>
      <c r="G105" s="17" t="s">
        <v>63</v>
      </c>
      <c r="H105" s="17" t="s">
        <v>17</v>
      </c>
      <c r="I105" s="17" t="s">
        <v>427</v>
      </c>
      <c r="J105" s="1" t="s">
        <v>28</v>
      </c>
      <c r="K105" s="2">
        <f t="shared" si="121"/>
        <v>41440</v>
      </c>
      <c r="L105" s="2">
        <f t="shared" si="121"/>
        <v>0</v>
      </c>
      <c r="M105" s="2">
        <f t="shared" si="121"/>
        <v>41440</v>
      </c>
      <c r="N105" s="2">
        <f t="shared" si="121"/>
        <v>0</v>
      </c>
      <c r="O105" s="2">
        <f t="shared" si="121"/>
        <v>41440</v>
      </c>
      <c r="P105" s="2">
        <f t="shared" si="121"/>
        <v>0</v>
      </c>
      <c r="Q105" s="2">
        <f t="shared" si="121"/>
        <v>41440</v>
      </c>
      <c r="R105" s="2">
        <f t="shared" si="121"/>
        <v>0</v>
      </c>
      <c r="S105" s="2">
        <f t="shared" si="121"/>
        <v>41440</v>
      </c>
      <c r="T105" s="2"/>
      <c r="U105" s="2"/>
      <c r="V105" s="95"/>
      <c r="W105" s="2">
        <f t="shared" si="121"/>
        <v>3747.53</v>
      </c>
      <c r="X105" s="2">
        <f t="shared" si="93"/>
        <v>45187.53</v>
      </c>
      <c r="Z105" s="8"/>
    </row>
    <row r="106" spans="1:26" s="12" customFormat="1" ht="14.25" customHeight="1" x14ac:dyDescent="0.25">
      <c r="A106" s="291"/>
      <c r="B106" s="303" t="s">
        <v>29</v>
      </c>
      <c r="C106" s="291"/>
      <c r="D106" s="173">
        <v>51</v>
      </c>
      <c r="E106" s="173">
        <v>0</v>
      </c>
      <c r="F106" s="173">
        <v>851</v>
      </c>
      <c r="G106" s="17" t="s">
        <v>63</v>
      </c>
      <c r="H106" s="17" t="s">
        <v>17</v>
      </c>
      <c r="I106" s="17" t="s">
        <v>427</v>
      </c>
      <c r="J106" s="1" t="s">
        <v>30</v>
      </c>
      <c r="K106" s="2">
        <f>'[2]6 Вед15'!J128</f>
        <v>41440</v>
      </c>
      <c r="L106" s="95">
        <f>'[2]6 Вед15'!K128</f>
        <v>0</v>
      </c>
      <c r="M106" s="2">
        <f t="shared" si="99"/>
        <v>41440</v>
      </c>
      <c r="N106" s="95">
        <f>'[2]6 Вед15'!M128</f>
        <v>0</v>
      </c>
      <c r="O106" s="2">
        <f t="shared" si="95"/>
        <v>41440</v>
      </c>
      <c r="P106" s="95">
        <f>'[2]6 Вед15'!O128</f>
        <v>0</v>
      </c>
      <c r="Q106" s="2">
        <f t="shared" ref="Q106" si="122">O106+P106</f>
        <v>41440</v>
      </c>
      <c r="R106" s="95">
        <f>'[2]6 Вед15'!Q128</f>
        <v>0</v>
      </c>
      <c r="S106" s="2">
        <f t="shared" ref="S106" si="123">Q106+R106</f>
        <v>41440</v>
      </c>
      <c r="T106" s="95"/>
      <c r="U106" s="95"/>
      <c r="V106" s="95"/>
      <c r="W106" s="2">
        <v>3747.53</v>
      </c>
      <c r="X106" s="2">
        <f t="shared" si="93"/>
        <v>45187.53</v>
      </c>
      <c r="Z106" s="8"/>
    </row>
    <row r="107" spans="1:26" s="12" customFormat="1" ht="25.5" hidden="1" customHeight="1" x14ac:dyDescent="0.25">
      <c r="A107" s="330" t="s">
        <v>661</v>
      </c>
      <c r="B107" s="331"/>
      <c r="C107" s="291"/>
      <c r="D107" s="173">
        <v>51</v>
      </c>
      <c r="E107" s="173">
        <v>0</v>
      </c>
      <c r="F107" s="173">
        <v>851</v>
      </c>
      <c r="G107" s="17"/>
      <c r="H107" s="17"/>
      <c r="I107" s="17" t="s">
        <v>679</v>
      </c>
      <c r="J107" s="1"/>
      <c r="K107" s="2"/>
      <c r="L107" s="95"/>
      <c r="M107" s="2"/>
      <c r="N107" s="95"/>
      <c r="O107" s="2"/>
      <c r="P107" s="95"/>
      <c r="Q107" s="2">
        <f t="shared" si="121"/>
        <v>0</v>
      </c>
      <c r="R107" s="2">
        <f t="shared" si="121"/>
        <v>80000</v>
      </c>
      <c r="S107" s="2">
        <f t="shared" si="121"/>
        <v>80000</v>
      </c>
      <c r="T107" s="2"/>
      <c r="U107" s="2"/>
      <c r="V107" s="95"/>
      <c r="W107" s="2">
        <f t="shared" si="121"/>
        <v>0</v>
      </c>
      <c r="X107" s="2">
        <f t="shared" si="93"/>
        <v>80000</v>
      </c>
      <c r="Z107" s="8"/>
    </row>
    <row r="108" spans="1:26" s="12" customFormat="1" hidden="1" x14ac:dyDescent="0.25">
      <c r="A108" s="295"/>
      <c r="B108" s="291" t="s">
        <v>436</v>
      </c>
      <c r="C108" s="291"/>
      <c r="D108" s="173">
        <v>51</v>
      </c>
      <c r="E108" s="173">
        <v>0</v>
      </c>
      <c r="F108" s="173">
        <v>851</v>
      </c>
      <c r="G108" s="17"/>
      <c r="H108" s="17"/>
      <c r="I108" s="17" t="s">
        <v>679</v>
      </c>
      <c r="J108" s="1" t="s">
        <v>75</v>
      </c>
      <c r="K108" s="2"/>
      <c r="L108" s="95"/>
      <c r="M108" s="2"/>
      <c r="N108" s="95"/>
      <c r="O108" s="2"/>
      <c r="P108" s="95"/>
      <c r="Q108" s="2">
        <f t="shared" si="121"/>
        <v>0</v>
      </c>
      <c r="R108" s="2">
        <f t="shared" si="121"/>
        <v>80000</v>
      </c>
      <c r="S108" s="2">
        <f t="shared" si="121"/>
        <v>80000</v>
      </c>
      <c r="T108" s="2"/>
      <c r="U108" s="2"/>
      <c r="V108" s="95"/>
      <c r="W108" s="2">
        <f t="shared" si="121"/>
        <v>0</v>
      </c>
      <c r="X108" s="2">
        <f t="shared" si="93"/>
        <v>80000</v>
      </c>
      <c r="Z108" s="8"/>
    </row>
    <row r="109" spans="1:26" s="12" customFormat="1" ht="22.5" hidden="1" customHeight="1" x14ac:dyDescent="0.25">
      <c r="A109" s="295"/>
      <c r="B109" s="291" t="s">
        <v>76</v>
      </c>
      <c r="C109" s="291"/>
      <c r="D109" s="173">
        <v>51</v>
      </c>
      <c r="E109" s="173">
        <v>0</v>
      </c>
      <c r="F109" s="173">
        <v>851</v>
      </c>
      <c r="G109" s="17"/>
      <c r="H109" s="17"/>
      <c r="I109" s="17" t="s">
        <v>679</v>
      </c>
      <c r="J109" s="1" t="s">
        <v>77</v>
      </c>
      <c r="K109" s="2"/>
      <c r="L109" s="95"/>
      <c r="M109" s="2"/>
      <c r="N109" s="95"/>
      <c r="O109" s="2"/>
      <c r="P109" s="95"/>
      <c r="Q109" s="2">
        <f t="shared" ref="Q109" si="124">O109+P109</f>
        <v>0</v>
      </c>
      <c r="R109" s="95">
        <f>'[2]6 Вед15'!Q105</f>
        <v>80000</v>
      </c>
      <c r="S109" s="2">
        <f t="shared" ref="S109" si="125">Q109+R109</f>
        <v>80000</v>
      </c>
      <c r="T109" s="95"/>
      <c r="U109" s="95"/>
      <c r="V109" s="95"/>
      <c r="W109" s="2">
        <f>'[2]6 Вед15'!V105</f>
        <v>0</v>
      </c>
      <c r="X109" s="2">
        <f t="shared" si="93"/>
        <v>80000</v>
      </c>
      <c r="Z109" s="8"/>
    </row>
    <row r="110" spans="1:26" s="5" customFormat="1" ht="24" hidden="1" customHeight="1" x14ac:dyDescent="0.25">
      <c r="A110" s="324" t="s">
        <v>447</v>
      </c>
      <c r="B110" s="324"/>
      <c r="C110" s="291"/>
      <c r="D110" s="173">
        <v>51</v>
      </c>
      <c r="E110" s="173">
        <v>0</v>
      </c>
      <c r="F110" s="173">
        <v>851</v>
      </c>
      <c r="G110" s="1" t="s">
        <v>6</v>
      </c>
      <c r="H110" s="1" t="s">
        <v>57</v>
      </c>
      <c r="I110" s="1" t="s">
        <v>451</v>
      </c>
      <c r="J110" s="1"/>
      <c r="K110" s="2">
        <f>K111</f>
        <v>2558000</v>
      </c>
      <c r="L110" s="2">
        <f t="shared" ref="L110:W111" si="126">L111</f>
        <v>0</v>
      </c>
      <c r="M110" s="2">
        <f t="shared" si="126"/>
        <v>2558000</v>
      </c>
      <c r="N110" s="2">
        <f t="shared" si="126"/>
        <v>0</v>
      </c>
      <c r="O110" s="2">
        <f t="shared" si="126"/>
        <v>2558000</v>
      </c>
      <c r="P110" s="2">
        <f t="shared" si="126"/>
        <v>0</v>
      </c>
      <c r="Q110" s="2">
        <f t="shared" si="126"/>
        <v>2558000</v>
      </c>
      <c r="R110" s="2">
        <f t="shared" si="126"/>
        <v>-2558000</v>
      </c>
      <c r="S110" s="2">
        <f t="shared" si="126"/>
        <v>0</v>
      </c>
      <c r="T110" s="2"/>
      <c r="U110" s="2"/>
      <c r="V110" s="95"/>
      <c r="W110" s="2">
        <f t="shared" si="126"/>
        <v>0</v>
      </c>
      <c r="X110" s="2">
        <f t="shared" si="93"/>
        <v>0</v>
      </c>
      <c r="Z110" s="8"/>
    </row>
    <row r="111" spans="1:26" s="5" customFormat="1" ht="27.75" hidden="1" customHeight="1" x14ac:dyDescent="0.25">
      <c r="A111" s="291"/>
      <c r="B111" s="291" t="s">
        <v>27</v>
      </c>
      <c r="C111" s="291"/>
      <c r="D111" s="103">
        <v>51</v>
      </c>
      <c r="E111" s="103">
        <v>0</v>
      </c>
      <c r="F111" s="173">
        <v>851</v>
      </c>
      <c r="G111" s="1" t="s">
        <v>6</v>
      </c>
      <c r="H111" s="1" t="s">
        <v>57</v>
      </c>
      <c r="I111" s="1" t="s">
        <v>451</v>
      </c>
      <c r="J111" s="1" t="s">
        <v>28</v>
      </c>
      <c r="K111" s="2">
        <f>K112</f>
        <v>2558000</v>
      </c>
      <c r="L111" s="2">
        <f t="shared" si="126"/>
        <v>0</v>
      </c>
      <c r="M111" s="2">
        <f t="shared" si="126"/>
        <v>2558000</v>
      </c>
      <c r="N111" s="2">
        <f t="shared" si="126"/>
        <v>0</v>
      </c>
      <c r="O111" s="2">
        <f t="shared" si="126"/>
        <v>2558000</v>
      </c>
      <c r="P111" s="2">
        <f t="shared" si="126"/>
        <v>0</v>
      </c>
      <c r="Q111" s="2">
        <f t="shared" si="126"/>
        <v>2558000</v>
      </c>
      <c r="R111" s="2">
        <f t="shared" si="126"/>
        <v>-2558000</v>
      </c>
      <c r="S111" s="2">
        <f t="shared" si="126"/>
        <v>0</v>
      </c>
      <c r="T111" s="2"/>
      <c r="U111" s="2"/>
      <c r="V111" s="95"/>
      <c r="W111" s="2">
        <f t="shared" si="126"/>
        <v>0</v>
      </c>
      <c r="X111" s="2">
        <f t="shared" si="93"/>
        <v>0</v>
      </c>
      <c r="Z111" s="8"/>
    </row>
    <row r="112" spans="1:26" s="5" customFormat="1" ht="24" hidden="1" x14ac:dyDescent="0.25">
      <c r="A112" s="291"/>
      <c r="B112" s="291" t="s">
        <v>29</v>
      </c>
      <c r="C112" s="291"/>
      <c r="D112" s="173">
        <v>51</v>
      </c>
      <c r="E112" s="173">
        <v>0</v>
      </c>
      <c r="F112" s="173">
        <v>851</v>
      </c>
      <c r="G112" s="1" t="s">
        <v>6</v>
      </c>
      <c r="H112" s="1" t="s">
        <v>57</v>
      </c>
      <c r="I112" s="1" t="s">
        <v>451</v>
      </c>
      <c r="J112" s="1" t="s">
        <v>30</v>
      </c>
      <c r="K112" s="2">
        <f>'[2]6 Вед15'!J108</f>
        <v>2558000</v>
      </c>
      <c r="L112" s="95">
        <f>'[2]6 Вед15'!K108</f>
        <v>0</v>
      </c>
      <c r="M112" s="2">
        <f t="shared" si="99"/>
        <v>2558000</v>
      </c>
      <c r="N112" s="95">
        <f>'[2]6 Вед15'!M108</f>
        <v>0</v>
      </c>
      <c r="O112" s="2">
        <f t="shared" si="95"/>
        <v>2558000</v>
      </c>
      <c r="P112" s="95">
        <f>'[2]6 Вед15'!O108</f>
        <v>0</v>
      </c>
      <c r="Q112" s="2">
        <f t="shared" ref="Q112:Q115" si="127">O112+P112</f>
        <v>2558000</v>
      </c>
      <c r="R112" s="95">
        <f>'[2]6 Вед15'!Q108</f>
        <v>-2558000</v>
      </c>
      <c r="S112" s="2">
        <f t="shared" ref="S112:S115" si="128">Q112+R112</f>
        <v>0</v>
      </c>
      <c r="T112" s="95"/>
      <c r="U112" s="95"/>
      <c r="V112" s="95"/>
      <c r="W112" s="2">
        <f>'[2]6 Вед15'!V108</f>
        <v>0</v>
      </c>
      <c r="X112" s="2">
        <f t="shared" si="93"/>
        <v>0</v>
      </c>
      <c r="Z112" s="8"/>
    </row>
    <row r="113" spans="1:26" s="5" customFormat="1" ht="141" hidden="1" customHeight="1" x14ac:dyDescent="0.25">
      <c r="A113" s="324" t="s">
        <v>672</v>
      </c>
      <c r="B113" s="324"/>
      <c r="C113" s="291"/>
      <c r="D113" s="173">
        <v>51</v>
      </c>
      <c r="E113" s="173">
        <v>0</v>
      </c>
      <c r="F113" s="173">
        <v>851</v>
      </c>
      <c r="G113" s="1"/>
      <c r="H113" s="1"/>
      <c r="I113" s="1" t="s">
        <v>585</v>
      </c>
      <c r="J113" s="1"/>
      <c r="K113" s="2">
        <f>K114</f>
        <v>0</v>
      </c>
      <c r="L113" s="2">
        <f t="shared" ref="L113:W114" si="129">L114</f>
        <v>0</v>
      </c>
      <c r="M113" s="2">
        <f t="shared" si="99"/>
        <v>0</v>
      </c>
      <c r="N113" s="2">
        <f t="shared" si="129"/>
        <v>0</v>
      </c>
      <c r="O113" s="2">
        <f t="shared" si="95"/>
        <v>0</v>
      </c>
      <c r="P113" s="2">
        <f t="shared" si="129"/>
        <v>0</v>
      </c>
      <c r="Q113" s="2">
        <f t="shared" si="127"/>
        <v>0</v>
      </c>
      <c r="R113" s="2">
        <f t="shared" si="129"/>
        <v>0</v>
      </c>
      <c r="S113" s="2">
        <f t="shared" si="128"/>
        <v>0</v>
      </c>
      <c r="T113" s="2"/>
      <c r="U113" s="2"/>
      <c r="V113" s="95"/>
      <c r="W113" s="2">
        <f t="shared" si="129"/>
        <v>0</v>
      </c>
      <c r="X113" s="2">
        <f t="shared" si="93"/>
        <v>0</v>
      </c>
      <c r="Z113" s="8"/>
    </row>
    <row r="114" spans="1:26" s="5" customFormat="1" hidden="1" x14ac:dyDescent="0.25">
      <c r="A114" s="291"/>
      <c r="B114" s="301" t="s">
        <v>143</v>
      </c>
      <c r="C114" s="291"/>
      <c r="D114" s="103">
        <v>51</v>
      </c>
      <c r="E114" s="103">
        <v>0</v>
      </c>
      <c r="F114" s="173">
        <v>851</v>
      </c>
      <c r="G114" s="1" t="s">
        <v>6</v>
      </c>
      <c r="H114" s="1" t="s">
        <v>57</v>
      </c>
      <c r="I114" s="1" t="s">
        <v>585</v>
      </c>
      <c r="J114" s="1" t="s">
        <v>144</v>
      </c>
      <c r="K114" s="2">
        <f>K115</f>
        <v>0</v>
      </c>
      <c r="L114" s="2">
        <f t="shared" si="129"/>
        <v>0</v>
      </c>
      <c r="M114" s="2">
        <f t="shared" si="99"/>
        <v>0</v>
      </c>
      <c r="N114" s="2">
        <f t="shared" si="129"/>
        <v>0</v>
      </c>
      <c r="O114" s="2">
        <f t="shared" si="95"/>
        <v>0</v>
      </c>
      <c r="P114" s="2">
        <f t="shared" si="129"/>
        <v>0</v>
      </c>
      <c r="Q114" s="2">
        <f t="shared" si="127"/>
        <v>0</v>
      </c>
      <c r="R114" s="2">
        <f t="shared" si="129"/>
        <v>0</v>
      </c>
      <c r="S114" s="2">
        <f t="shared" si="128"/>
        <v>0</v>
      </c>
      <c r="T114" s="2"/>
      <c r="U114" s="2"/>
      <c r="V114" s="95"/>
      <c r="W114" s="2">
        <f t="shared" si="129"/>
        <v>0</v>
      </c>
      <c r="X114" s="2">
        <f t="shared" si="93"/>
        <v>0</v>
      </c>
      <c r="Z114" s="8"/>
    </row>
    <row r="115" spans="1:26" s="5" customFormat="1" hidden="1" x14ac:dyDescent="0.25">
      <c r="A115" s="291"/>
      <c r="B115" s="291" t="s">
        <v>155</v>
      </c>
      <c r="C115" s="291"/>
      <c r="D115" s="173">
        <v>51</v>
      </c>
      <c r="E115" s="173">
        <v>0</v>
      </c>
      <c r="F115" s="173">
        <v>851</v>
      </c>
      <c r="G115" s="1" t="s">
        <v>6</v>
      </c>
      <c r="H115" s="1" t="s">
        <v>57</v>
      </c>
      <c r="I115" s="1" t="s">
        <v>585</v>
      </c>
      <c r="J115" s="1" t="s">
        <v>156</v>
      </c>
      <c r="K115" s="2"/>
      <c r="L115" s="95">
        <f>'[2]6 Вед15'!K350</f>
        <v>0</v>
      </c>
      <c r="M115" s="2">
        <f t="shared" si="99"/>
        <v>0</v>
      </c>
      <c r="N115" s="95">
        <f>'[2]6 Вед15'!M350</f>
        <v>0</v>
      </c>
      <c r="O115" s="2">
        <f t="shared" si="95"/>
        <v>0</v>
      </c>
      <c r="P115" s="95">
        <f>'[2]6 Вед15'!O350</f>
        <v>0</v>
      </c>
      <c r="Q115" s="2">
        <f t="shared" si="127"/>
        <v>0</v>
      </c>
      <c r="R115" s="95"/>
      <c r="S115" s="2">
        <f t="shared" si="128"/>
        <v>0</v>
      </c>
      <c r="T115" s="95"/>
      <c r="U115" s="95"/>
      <c r="V115" s="95"/>
      <c r="W115" s="2"/>
      <c r="X115" s="2">
        <f t="shared" si="93"/>
        <v>0</v>
      </c>
      <c r="Z115" s="8"/>
    </row>
    <row r="116" spans="1:26" s="12" customFormat="1" ht="16.5" customHeight="1" x14ac:dyDescent="0.25">
      <c r="A116" s="328" t="s">
        <v>491</v>
      </c>
      <c r="B116" s="328"/>
      <c r="C116" s="291"/>
      <c r="D116" s="79">
        <v>51</v>
      </c>
      <c r="E116" s="79">
        <v>1</v>
      </c>
      <c r="F116" s="15"/>
      <c r="G116" s="10"/>
      <c r="H116" s="10"/>
      <c r="I116" s="10"/>
      <c r="J116" s="10"/>
      <c r="K116" s="11">
        <f>K117</f>
        <v>55000</v>
      </c>
      <c r="L116" s="11">
        <f t="shared" ref="L116:W116" si="130">L117</f>
        <v>1300000</v>
      </c>
      <c r="M116" s="11">
        <f t="shared" si="130"/>
        <v>1355000</v>
      </c>
      <c r="N116" s="11">
        <f t="shared" si="130"/>
        <v>0</v>
      </c>
      <c r="O116" s="11">
        <f t="shared" si="130"/>
        <v>1355000</v>
      </c>
      <c r="P116" s="11">
        <f t="shared" si="130"/>
        <v>0</v>
      </c>
      <c r="Q116" s="11">
        <f t="shared" si="130"/>
        <v>1355000</v>
      </c>
      <c r="R116" s="11">
        <f t="shared" si="130"/>
        <v>0</v>
      </c>
      <c r="S116" s="11">
        <f t="shared" si="130"/>
        <v>1355000</v>
      </c>
      <c r="T116" s="11"/>
      <c r="U116" s="11"/>
      <c r="V116" s="165"/>
      <c r="W116" s="11">
        <f t="shared" si="130"/>
        <v>-174603.28</v>
      </c>
      <c r="X116" s="2">
        <f t="shared" si="93"/>
        <v>1180396.72</v>
      </c>
      <c r="Z116" s="8"/>
    </row>
    <row r="117" spans="1:26" s="12" customFormat="1" ht="14.25" customHeight="1" x14ac:dyDescent="0.25">
      <c r="A117" s="328" t="s">
        <v>15</v>
      </c>
      <c r="B117" s="328"/>
      <c r="C117" s="291"/>
      <c r="D117" s="79">
        <v>51</v>
      </c>
      <c r="E117" s="79">
        <v>1</v>
      </c>
      <c r="F117" s="15">
        <v>851</v>
      </c>
      <c r="G117" s="10"/>
      <c r="H117" s="10"/>
      <c r="I117" s="10"/>
      <c r="J117" s="10"/>
      <c r="K117" s="11">
        <f>K118+K121</f>
        <v>55000</v>
      </c>
      <c r="L117" s="11">
        <f t="shared" ref="L117:S117" si="131">L118+L121</f>
        <v>1300000</v>
      </c>
      <c r="M117" s="11">
        <f t="shared" si="131"/>
        <v>1355000</v>
      </c>
      <c r="N117" s="11">
        <f t="shared" si="131"/>
        <v>0</v>
      </c>
      <c r="O117" s="11">
        <f t="shared" si="131"/>
        <v>1355000</v>
      </c>
      <c r="P117" s="11">
        <f t="shared" si="131"/>
        <v>0</v>
      </c>
      <c r="Q117" s="11">
        <f t="shared" si="131"/>
        <v>1355000</v>
      </c>
      <c r="R117" s="11">
        <f t="shared" si="131"/>
        <v>0</v>
      </c>
      <c r="S117" s="11">
        <f t="shared" si="131"/>
        <v>1355000</v>
      </c>
      <c r="T117" s="11"/>
      <c r="U117" s="11"/>
      <c r="V117" s="165"/>
      <c r="W117" s="11">
        <f t="shared" ref="W117" si="132">W118+W121</f>
        <v>-174603.28</v>
      </c>
      <c r="X117" s="2">
        <f t="shared" si="93"/>
        <v>1180396.72</v>
      </c>
      <c r="Z117" s="8"/>
    </row>
    <row r="118" spans="1:26" s="5" customFormat="1" ht="27" hidden="1" customHeight="1" x14ac:dyDescent="0.25">
      <c r="A118" s="324" t="s">
        <v>64</v>
      </c>
      <c r="B118" s="324"/>
      <c r="C118" s="291"/>
      <c r="D118" s="173">
        <v>51</v>
      </c>
      <c r="E118" s="173">
        <v>1</v>
      </c>
      <c r="F118" s="173">
        <v>851</v>
      </c>
      <c r="G118" s="1" t="s">
        <v>6</v>
      </c>
      <c r="H118" s="1" t="s">
        <v>63</v>
      </c>
      <c r="I118" s="1" t="s">
        <v>321</v>
      </c>
      <c r="J118" s="1"/>
      <c r="K118" s="2">
        <f t="shared" ref="K118:W119" si="133">K119</f>
        <v>55000</v>
      </c>
      <c r="L118" s="2">
        <f t="shared" si="133"/>
        <v>0</v>
      </c>
      <c r="M118" s="2">
        <f t="shared" si="133"/>
        <v>55000</v>
      </c>
      <c r="N118" s="2">
        <f t="shared" si="133"/>
        <v>0</v>
      </c>
      <c r="O118" s="2">
        <f t="shared" si="133"/>
        <v>55000</v>
      </c>
      <c r="P118" s="2">
        <f t="shared" si="133"/>
        <v>0</v>
      </c>
      <c r="Q118" s="2">
        <f t="shared" si="133"/>
        <v>55000</v>
      </c>
      <c r="R118" s="2">
        <f t="shared" si="133"/>
        <v>0</v>
      </c>
      <c r="S118" s="2">
        <f t="shared" si="133"/>
        <v>55000</v>
      </c>
      <c r="T118" s="2"/>
      <c r="U118" s="2"/>
      <c r="V118" s="95"/>
      <c r="W118" s="2">
        <f t="shared" si="133"/>
        <v>0</v>
      </c>
      <c r="X118" s="2">
        <f t="shared" si="93"/>
        <v>55000</v>
      </c>
      <c r="Z118" s="8"/>
    </row>
    <row r="119" spans="1:26" s="5" customFormat="1" ht="27.75" hidden="1" customHeight="1" x14ac:dyDescent="0.25">
      <c r="A119" s="18"/>
      <c r="B119" s="303" t="s">
        <v>27</v>
      </c>
      <c r="C119" s="301"/>
      <c r="D119" s="173">
        <v>51</v>
      </c>
      <c r="E119" s="173">
        <v>1</v>
      </c>
      <c r="F119" s="173">
        <v>851</v>
      </c>
      <c r="G119" s="1" t="s">
        <v>6</v>
      </c>
      <c r="H119" s="1" t="s">
        <v>63</v>
      </c>
      <c r="I119" s="1" t="s">
        <v>321</v>
      </c>
      <c r="J119" s="1" t="s">
        <v>28</v>
      </c>
      <c r="K119" s="2">
        <f t="shared" si="133"/>
        <v>55000</v>
      </c>
      <c r="L119" s="2">
        <f t="shared" si="133"/>
        <v>0</v>
      </c>
      <c r="M119" s="2">
        <f t="shared" si="133"/>
        <v>55000</v>
      </c>
      <c r="N119" s="2">
        <f t="shared" si="133"/>
        <v>0</v>
      </c>
      <c r="O119" s="2">
        <f t="shared" si="133"/>
        <v>55000</v>
      </c>
      <c r="P119" s="2">
        <f t="shared" si="133"/>
        <v>0</v>
      </c>
      <c r="Q119" s="2">
        <f t="shared" si="133"/>
        <v>55000</v>
      </c>
      <c r="R119" s="2">
        <f t="shared" si="133"/>
        <v>0</v>
      </c>
      <c r="S119" s="2">
        <f t="shared" si="133"/>
        <v>55000</v>
      </c>
      <c r="T119" s="2"/>
      <c r="U119" s="2"/>
      <c r="V119" s="95"/>
      <c r="W119" s="2">
        <f t="shared" si="133"/>
        <v>0</v>
      </c>
      <c r="X119" s="2">
        <f t="shared" si="93"/>
        <v>55000</v>
      </c>
      <c r="Z119" s="8"/>
    </row>
    <row r="120" spans="1:26" s="5" customFormat="1" ht="25.5" hidden="1" customHeight="1" x14ac:dyDescent="0.25">
      <c r="A120" s="18"/>
      <c r="B120" s="303" t="s">
        <v>29</v>
      </c>
      <c r="C120" s="291"/>
      <c r="D120" s="173">
        <v>51</v>
      </c>
      <c r="E120" s="173">
        <v>1</v>
      </c>
      <c r="F120" s="173">
        <v>851</v>
      </c>
      <c r="G120" s="1" t="s">
        <v>6</v>
      </c>
      <c r="H120" s="1" t="s">
        <v>63</v>
      </c>
      <c r="I120" s="1" t="s">
        <v>321</v>
      </c>
      <c r="J120" s="1" t="s">
        <v>30</v>
      </c>
      <c r="K120" s="2">
        <f>'[2]6 Вед15'!J95</f>
        <v>55000</v>
      </c>
      <c r="L120" s="95">
        <f>'[2]6 Вед15'!K95</f>
        <v>0</v>
      </c>
      <c r="M120" s="2">
        <f t="shared" si="99"/>
        <v>55000</v>
      </c>
      <c r="N120" s="95">
        <f>'[2]6 Вед15'!M95</f>
        <v>0</v>
      </c>
      <c r="O120" s="2">
        <f t="shared" si="95"/>
        <v>55000</v>
      </c>
      <c r="P120" s="95">
        <f>'[2]6 Вед15'!O95</f>
        <v>0</v>
      </c>
      <c r="Q120" s="2">
        <f t="shared" ref="Q120" si="134">O120+P120</f>
        <v>55000</v>
      </c>
      <c r="R120" s="95">
        <f>'[2]6 Вед15'!Q95</f>
        <v>0</v>
      </c>
      <c r="S120" s="2">
        <f t="shared" ref="S120" si="135">Q120+R120</f>
        <v>55000</v>
      </c>
      <c r="T120" s="95"/>
      <c r="U120" s="95"/>
      <c r="V120" s="95"/>
      <c r="W120" s="2">
        <f>'[2]6 Вед15'!V95</f>
        <v>0</v>
      </c>
      <c r="X120" s="2">
        <f t="shared" si="93"/>
        <v>55000</v>
      </c>
      <c r="Z120" s="8"/>
    </row>
    <row r="121" spans="1:26" s="5" customFormat="1" ht="21" customHeight="1" x14ac:dyDescent="0.25">
      <c r="A121" s="324" t="s">
        <v>549</v>
      </c>
      <c r="B121" s="324"/>
      <c r="C121" s="291"/>
      <c r="D121" s="173">
        <v>51</v>
      </c>
      <c r="E121" s="173">
        <v>1</v>
      </c>
      <c r="F121" s="173">
        <v>851</v>
      </c>
      <c r="G121" s="1"/>
      <c r="H121" s="1"/>
      <c r="I121" s="1" t="s">
        <v>581</v>
      </c>
      <c r="J121" s="1"/>
      <c r="K121" s="2">
        <f>K122</f>
        <v>0</v>
      </c>
      <c r="L121" s="2">
        <f t="shared" ref="L121:W122" si="136">L122</f>
        <v>1300000</v>
      </c>
      <c r="M121" s="2">
        <f t="shared" si="136"/>
        <v>1300000</v>
      </c>
      <c r="N121" s="2">
        <f t="shared" si="136"/>
        <v>0</v>
      </c>
      <c r="O121" s="2">
        <f t="shared" si="136"/>
        <v>1300000</v>
      </c>
      <c r="P121" s="2">
        <f t="shared" si="136"/>
        <v>0</v>
      </c>
      <c r="Q121" s="2">
        <f t="shared" si="136"/>
        <v>1300000</v>
      </c>
      <c r="R121" s="2">
        <f t="shared" si="136"/>
        <v>0</v>
      </c>
      <c r="S121" s="2">
        <f t="shared" si="136"/>
        <v>1300000</v>
      </c>
      <c r="T121" s="2"/>
      <c r="U121" s="2"/>
      <c r="V121" s="95"/>
      <c r="W121" s="2">
        <f t="shared" si="136"/>
        <v>-174603.28</v>
      </c>
      <c r="X121" s="2">
        <f t="shared" si="93"/>
        <v>1125396.72</v>
      </c>
      <c r="Z121" s="8"/>
    </row>
    <row r="122" spans="1:26" s="5" customFormat="1" ht="15.75" customHeight="1" x14ac:dyDescent="0.25">
      <c r="A122" s="291"/>
      <c r="B122" s="291" t="s">
        <v>31</v>
      </c>
      <c r="C122" s="291"/>
      <c r="D122" s="173">
        <v>51</v>
      </c>
      <c r="E122" s="173">
        <v>1</v>
      </c>
      <c r="F122" s="173">
        <v>851</v>
      </c>
      <c r="G122" s="1"/>
      <c r="H122" s="1"/>
      <c r="I122" s="1" t="s">
        <v>581</v>
      </c>
      <c r="J122" s="1" t="s">
        <v>32</v>
      </c>
      <c r="K122" s="2">
        <f>K123</f>
        <v>0</v>
      </c>
      <c r="L122" s="2">
        <f t="shared" si="136"/>
        <v>1300000</v>
      </c>
      <c r="M122" s="2">
        <f t="shared" si="136"/>
        <v>1300000</v>
      </c>
      <c r="N122" s="2">
        <f t="shared" si="136"/>
        <v>0</v>
      </c>
      <c r="O122" s="2">
        <f t="shared" si="136"/>
        <v>1300000</v>
      </c>
      <c r="P122" s="2">
        <f t="shared" si="136"/>
        <v>0</v>
      </c>
      <c r="Q122" s="2">
        <f t="shared" si="136"/>
        <v>1300000</v>
      </c>
      <c r="R122" s="2">
        <f t="shared" si="136"/>
        <v>0</v>
      </c>
      <c r="S122" s="2">
        <f t="shared" si="136"/>
        <v>1300000</v>
      </c>
      <c r="T122" s="2"/>
      <c r="U122" s="2"/>
      <c r="V122" s="95"/>
      <c r="W122" s="2">
        <f t="shared" si="136"/>
        <v>-174603.28</v>
      </c>
      <c r="X122" s="2">
        <f t="shared" si="93"/>
        <v>1125396.72</v>
      </c>
      <c r="Z122" s="8"/>
    </row>
    <row r="123" spans="1:26" s="5" customFormat="1" ht="24.75" customHeight="1" x14ac:dyDescent="0.25">
      <c r="A123" s="291"/>
      <c r="B123" s="291" t="s">
        <v>357</v>
      </c>
      <c r="C123" s="291"/>
      <c r="D123" s="173">
        <v>51</v>
      </c>
      <c r="E123" s="173">
        <v>1</v>
      </c>
      <c r="F123" s="173">
        <v>851</v>
      </c>
      <c r="G123" s="1"/>
      <c r="H123" s="1"/>
      <c r="I123" s="1" t="s">
        <v>581</v>
      </c>
      <c r="J123" s="1" t="s">
        <v>65</v>
      </c>
      <c r="K123" s="2"/>
      <c r="L123" s="95">
        <f>'[2]6 Вед15'!K98</f>
        <v>1300000</v>
      </c>
      <c r="M123" s="2">
        <f t="shared" si="99"/>
        <v>1300000</v>
      </c>
      <c r="N123" s="95">
        <f>'[2]6 Вед15'!M98</f>
        <v>0</v>
      </c>
      <c r="O123" s="2">
        <f t="shared" si="95"/>
        <v>1300000</v>
      </c>
      <c r="P123" s="95">
        <f>'[2]6 Вед15'!O98</f>
        <v>0</v>
      </c>
      <c r="Q123" s="2">
        <f t="shared" ref="Q123" si="137">O123+P123</f>
        <v>1300000</v>
      </c>
      <c r="R123" s="95">
        <f>'[2]6 Вед15'!Q98</f>
        <v>0</v>
      </c>
      <c r="S123" s="2">
        <f t="shared" ref="S123" si="138">Q123+R123</f>
        <v>1300000</v>
      </c>
      <c r="T123" s="95"/>
      <c r="U123" s="95"/>
      <c r="V123" s="95"/>
      <c r="W123" s="2">
        <v>-174603.28</v>
      </c>
      <c r="X123" s="2">
        <f t="shared" si="93"/>
        <v>1125396.72</v>
      </c>
      <c r="Z123" s="8"/>
    </row>
    <row r="124" spans="1:26" s="12" customFormat="1" ht="13.5" customHeight="1" x14ac:dyDescent="0.25">
      <c r="A124" s="328" t="s">
        <v>492</v>
      </c>
      <c r="B124" s="328"/>
      <c r="C124" s="295"/>
      <c r="D124" s="15">
        <v>51</v>
      </c>
      <c r="E124" s="15">
        <v>2</v>
      </c>
      <c r="F124" s="15"/>
      <c r="G124" s="10"/>
      <c r="H124" s="19"/>
      <c r="I124" s="19"/>
      <c r="J124" s="10"/>
      <c r="K124" s="11">
        <f>K125</f>
        <v>14856640</v>
      </c>
      <c r="L124" s="11">
        <f t="shared" ref="L124:W124" si="139">L125</f>
        <v>605000</v>
      </c>
      <c r="M124" s="11">
        <f t="shared" si="139"/>
        <v>15461640</v>
      </c>
      <c r="N124" s="11">
        <f t="shared" si="139"/>
        <v>0</v>
      </c>
      <c r="O124" s="11">
        <f t="shared" si="139"/>
        <v>15461640</v>
      </c>
      <c r="P124" s="11">
        <f t="shared" si="139"/>
        <v>30000</v>
      </c>
      <c r="Q124" s="11">
        <f t="shared" si="139"/>
        <v>15491640</v>
      </c>
      <c r="R124" s="11">
        <f t="shared" si="139"/>
        <v>261321.25</v>
      </c>
      <c r="S124" s="11">
        <f t="shared" si="139"/>
        <v>15752961.25</v>
      </c>
      <c r="T124" s="11"/>
      <c r="U124" s="11"/>
      <c r="V124" s="165"/>
      <c r="W124" s="11">
        <f t="shared" si="139"/>
        <v>-316797</v>
      </c>
      <c r="X124" s="2">
        <f t="shared" si="93"/>
        <v>15436164.25</v>
      </c>
      <c r="Z124" s="8"/>
    </row>
    <row r="125" spans="1:26" s="12" customFormat="1" x14ac:dyDescent="0.25">
      <c r="A125" s="328" t="s">
        <v>15</v>
      </c>
      <c r="B125" s="328"/>
      <c r="C125" s="295"/>
      <c r="D125" s="15">
        <v>51</v>
      </c>
      <c r="E125" s="15">
        <v>2</v>
      </c>
      <c r="F125" s="15">
        <v>851</v>
      </c>
      <c r="G125" s="10"/>
      <c r="H125" s="19"/>
      <c r="I125" s="19"/>
      <c r="J125" s="10"/>
      <c r="K125" s="11">
        <f>K126+K129+K132+K135+K139+K142+K145+K148</f>
        <v>14856640</v>
      </c>
      <c r="L125" s="11">
        <f t="shared" ref="L125:P125" si="140">L126+L129+L132+L135+L139+L142+L145+L148</f>
        <v>605000</v>
      </c>
      <c r="M125" s="11">
        <f t="shared" si="140"/>
        <v>15461640</v>
      </c>
      <c r="N125" s="11">
        <f t="shared" si="140"/>
        <v>0</v>
      </c>
      <c r="O125" s="11">
        <f t="shared" si="140"/>
        <v>15461640</v>
      </c>
      <c r="P125" s="11">
        <f t="shared" si="140"/>
        <v>30000</v>
      </c>
      <c r="Q125" s="11">
        <f>Q126+Q129+Q132+Q135+Q139+Q142+Q145+Q148+Q151</f>
        <v>15491640</v>
      </c>
      <c r="R125" s="11">
        <f t="shared" ref="R125:S125" si="141">R126+R129+R132+R135+R139+R142+R145+R148+R151</f>
        <v>261321.25</v>
      </c>
      <c r="S125" s="11">
        <f t="shared" si="141"/>
        <v>15752961.25</v>
      </c>
      <c r="T125" s="11"/>
      <c r="U125" s="11"/>
      <c r="V125" s="165"/>
      <c r="W125" s="11">
        <f t="shared" ref="W125" si="142">W126+W129+W132+W135+W139+W142+W145+W148+W151</f>
        <v>-316797</v>
      </c>
      <c r="X125" s="2">
        <f t="shared" si="93"/>
        <v>15436164.25</v>
      </c>
      <c r="Z125" s="8"/>
    </row>
    <row r="126" spans="1:26" s="5" customFormat="1" hidden="1" x14ac:dyDescent="0.25">
      <c r="A126" s="324" t="s">
        <v>89</v>
      </c>
      <c r="B126" s="324"/>
      <c r="C126" s="291"/>
      <c r="D126" s="173">
        <v>51</v>
      </c>
      <c r="E126" s="173">
        <v>2</v>
      </c>
      <c r="F126" s="173">
        <v>851</v>
      </c>
      <c r="G126" s="162" t="s">
        <v>83</v>
      </c>
      <c r="H126" s="162" t="s">
        <v>17</v>
      </c>
      <c r="I126" s="1" t="s">
        <v>326</v>
      </c>
      <c r="J126" s="1"/>
      <c r="K126" s="2">
        <f t="shared" ref="K126:W127" si="143">K127</f>
        <v>2580900</v>
      </c>
      <c r="L126" s="2">
        <f t="shared" si="143"/>
        <v>0</v>
      </c>
      <c r="M126" s="2">
        <f t="shared" si="143"/>
        <v>2580900</v>
      </c>
      <c r="N126" s="2">
        <f t="shared" si="143"/>
        <v>0</v>
      </c>
      <c r="O126" s="2">
        <f t="shared" si="143"/>
        <v>2580900</v>
      </c>
      <c r="P126" s="2">
        <f t="shared" si="143"/>
        <v>11130</v>
      </c>
      <c r="Q126" s="2">
        <f t="shared" si="143"/>
        <v>2592030</v>
      </c>
      <c r="R126" s="2">
        <f t="shared" si="143"/>
        <v>-11130</v>
      </c>
      <c r="S126" s="2">
        <f t="shared" si="143"/>
        <v>2580900</v>
      </c>
      <c r="T126" s="2"/>
      <c r="U126" s="2"/>
      <c r="V126" s="95"/>
      <c r="W126" s="2">
        <f t="shared" si="143"/>
        <v>0</v>
      </c>
      <c r="X126" s="2">
        <f t="shared" si="93"/>
        <v>2580900</v>
      </c>
      <c r="Z126" s="8"/>
    </row>
    <row r="127" spans="1:26" s="5" customFormat="1" ht="24" hidden="1" x14ac:dyDescent="0.25">
      <c r="A127" s="295"/>
      <c r="B127" s="303" t="s">
        <v>90</v>
      </c>
      <c r="C127" s="295"/>
      <c r="D127" s="173">
        <v>51</v>
      </c>
      <c r="E127" s="173">
        <v>2</v>
      </c>
      <c r="F127" s="173">
        <v>851</v>
      </c>
      <c r="G127" s="1" t="s">
        <v>83</v>
      </c>
      <c r="H127" s="1" t="s">
        <v>17</v>
      </c>
      <c r="I127" s="1" t="s">
        <v>326</v>
      </c>
      <c r="J127" s="1" t="s">
        <v>86</v>
      </c>
      <c r="K127" s="2">
        <f t="shared" si="143"/>
        <v>2580900</v>
      </c>
      <c r="L127" s="2">
        <f t="shared" si="143"/>
        <v>0</v>
      </c>
      <c r="M127" s="2">
        <f t="shared" si="143"/>
        <v>2580900</v>
      </c>
      <c r="N127" s="2">
        <f t="shared" si="143"/>
        <v>0</v>
      </c>
      <c r="O127" s="2">
        <f t="shared" si="143"/>
        <v>2580900</v>
      </c>
      <c r="P127" s="2">
        <f t="shared" si="143"/>
        <v>11130</v>
      </c>
      <c r="Q127" s="2">
        <f t="shared" si="143"/>
        <v>2592030</v>
      </c>
      <c r="R127" s="2">
        <f t="shared" si="143"/>
        <v>-11130</v>
      </c>
      <c r="S127" s="2">
        <f t="shared" si="143"/>
        <v>2580900</v>
      </c>
      <c r="T127" s="2"/>
      <c r="U127" s="2"/>
      <c r="V127" s="95"/>
      <c r="W127" s="2">
        <f t="shared" si="143"/>
        <v>0</v>
      </c>
      <c r="X127" s="2">
        <f t="shared" si="93"/>
        <v>2580900</v>
      </c>
      <c r="Z127" s="8"/>
    </row>
    <row r="128" spans="1:26" s="5" customFormat="1" ht="34.5" hidden="1" customHeight="1" x14ac:dyDescent="0.25">
      <c r="A128" s="295"/>
      <c r="B128" s="303" t="s">
        <v>87</v>
      </c>
      <c r="C128" s="295"/>
      <c r="D128" s="173">
        <v>51</v>
      </c>
      <c r="E128" s="173">
        <v>2</v>
      </c>
      <c r="F128" s="173">
        <v>851</v>
      </c>
      <c r="G128" s="1" t="s">
        <v>83</v>
      </c>
      <c r="H128" s="1" t="s">
        <v>17</v>
      </c>
      <c r="I128" s="1" t="s">
        <v>326</v>
      </c>
      <c r="J128" s="1" t="s">
        <v>88</v>
      </c>
      <c r="K128" s="2">
        <f>'[2]6 Вед15'!J162</f>
        <v>2580900</v>
      </c>
      <c r="L128" s="95">
        <f>'[2]6 Вед15'!K162</f>
        <v>0</v>
      </c>
      <c r="M128" s="2">
        <f t="shared" si="99"/>
        <v>2580900</v>
      </c>
      <c r="N128" s="95">
        <f>'[2]6 Вед15'!M162</f>
        <v>0</v>
      </c>
      <c r="O128" s="2">
        <f t="shared" si="95"/>
        <v>2580900</v>
      </c>
      <c r="P128" s="95">
        <f>'[2]6 Вед15'!O162</f>
        <v>11130</v>
      </c>
      <c r="Q128" s="2">
        <f t="shared" ref="Q128" si="144">O128+P128</f>
        <v>2592030</v>
      </c>
      <c r="R128" s="95">
        <f>'[2]6 Вед15'!Q162</f>
        <v>-11130</v>
      </c>
      <c r="S128" s="2">
        <f t="shared" ref="S128" si="145">Q128+R128</f>
        <v>2580900</v>
      </c>
      <c r="T128" s="95"/>
      <c r="U128" s="95"/>
      <c r="V128" s="95"/>
      <c r="W128" s="2">
        <f>'[2]6 Вед15'!V162</f>
        <v>0</v>
      </c>
      <c r="X128" s="2">
        <f t="shared" si="93"/>
        <v>2580900</v>
      </c>
      <c r="Z128" s="8"/>
    </row>
    <row r="129" spans="1:26" s="5" customFormat="1" ht="12" customHeight="1" x14ac:dyDescent="0.25">
      <c r="A129" s="324" t="s">
        <v>441</v>
      </c>
      <c r="B129" s="324"/>
      <c r="C129" s="291"/>
      <c r="D129" s="173">
        <v>51</v>
      </c>
      <c r="E129" s="173">
        <v>2</v>
      </c>
      <c r="F129" s="173">
        <v>851</v>
      </c>
      <c r="G129" s="1" t="s">
        <v>83</v>
      </c>
      <c r="H129" s="1" t="s">
        <v>17</v>
      </c>
      <c r="I129" s="62">
        <v>1055</v>
      </c>
      <c r="J129" s="1"/>
      <c r="K129" s="2">
        <f t="shared" ref="K129:W130" si="146">K130</f>
        <v>157900</v>
      </c>
      <c r="L129" s="2">
        <f t="shared" si="146"/>
        <v>0</v>
      </c>
      <c r="M129" s="2">
        <f t="shared" si="146"/>
        <v>157900</v>
      </c>
      <c r="N129" s="2">
        <f t="shared" si="146"/>
        <v>0</v>
      </c>
      <c r="O129" s="2">
        <f t="shared" si="146"/>
        <v>157900</v>
      </c>
      <c r="P129" s="2">
        <f t="shared" si="146"/>
        <v>0</v>
      </c>
      <c r="Q129" s="2">
        <f t="shared" si="146"/>
        <v>157900</v>
      </c>
      <c r="R129" s="2">
        <f t="shared" si="146"/>
        <v>0</v>
      </c>
      <c r="S129" s="2">
        <f t="shared" si="146"/>
        <v>157900</v>
      </c>
      <c r="T129" s="2"/>
      <c r="U129" s="2"/>
      <c r="V129" s="95"/>
      <c r="W129" s="2">
        <f t="shared" si="146"/>
        <v>-57717</v>
      </c>
      <c r="X129" s="2">
        <f t="shared" si="93"/>
        <v>100183</v>
      </c>
      <c r="Z129" s="8"/>
    </row>
    <row r="130" spans="1:26" s="5" customFormat="1" ht="24" x14ac:dyDescent="0.25">
      <c r="A130" s="291"/>
      <c r="B130" s="174" t="s">
        <v>90</v>
      </c>
      <c r="C130" s="291"/>
      <c r="D130" s="173">
        <v>51</v>
      </c>
      <c r="E130" s="173">
        <v>2</v>
      </c>
      <c r="F130" s="173">
        <v>851</v>
      </c>
      <c r="G130" s="1" t="s">
        <v>83</v>
      </c>
      <c r="H130" s="1" t="s">
        <v>17</v>
      </c>
      <c r="I130" s="62">
        <v>1055</v>
      </c>
      <c r="J130" s="14">
        <v>600</v>
      </c>
      <c r="K130" s="2">
        <f t="shared" si="146"/>
        <v>157900</v>
      </c>
      <c r="L130" s="2">
        <f t="shared" si="146"/>
        <v>0</v>
      </c>
      <c r="M130" s="2">
        <f t="shared" si="146"/>
        <v>157900</v>
      </c>
      <c r="N130" s="2">
        <f t="shared" si="146"/>
        <v>0</v>
      </c>
      <c r="O130" s="2">
        <f t="shared" si="146"/>
        <v>157900</v>
      </c>
      <c r="P130" s="2">
        <f t="shared" si="146"/>
        <v>0</v>
      </c>
      <c r="Q130" s="2">
        <f t="shared" si="146"/>
        <v>157900</v>
      </c>
      <c r="R130" s="2">
        <f t="shared" si="146"/>
        <v>0</v>
      </c>
      <c r="S130" s="2">
        <f t="shared" si="146"/>
        <v>157900</v>
      </c>
      <c r="T130" s="2"/>
      <c r="U130" s="2"/>
      <c r="V130" s="95"/>
      <c r="W130" s="2">
        <f t="shared" si="146"/>
        <v>-57717</v>
      </c>
      <c r="X130" s="2">
        <f t="shared" si="93"/>
        <v>100183</v>
      </c>
      <c r="Z130" s="8"/>
    </row>
    <row r="131" spans="1:26" s="5" customFormat="1" ht="24.75" customHeight="1" x14ac:dyDescent="0.25">
      <c r="A131" s="291"/>
      <c r="B131" s="291" t="s">
        <v>87</v>
      </c>
      <c r="C131" s="291"/>
      <c r="D131" s="173">
        <v>51</v>
      </c>
      <c r="E131" s="173">
        <v>2</v>
      </c>
      <c r="F131" s="173">
        <v>851</v>
      </c>
      <c r="G131" s="1" t="s">
        <v>83</v>
      </c>
      <c r="H131" s="1" t="s">
        <v>17</v>
      </c>
      <c r="I131" s="62">
        <v>1055</v>
      </c>
      <c r="J131" s="14">
        <v>611</v>
      </c>
      <c r="K131" s="2">
        <f>'[2]6 Вед15'!J165</f>
        <v>157900</v>
      </c>
      <c r="L131" s="95">
        <f>'[2]6 Вед15'!K165</f>
        <v>0</v>
      </c>
      <c r="M131" s="2">
        <f t="shared" si="99"/>
        <v>157900</v>
      </c>
      <c r="N131" s="95">
        <f>'[2]6 Вед15'!M165</f>
        <v>0</v>
      </c>
      <c r="O131" s="2">
        <f t="shared" si="95"/>
        <v>157900</v>
      </c>
      <c r="P131" s="95">
        <f>'[2]6 Вед15'!O165</f>
        <v>0</v>
      </c>
      <c r="Q131" s="2">
        <f t="shared" ref="Q131" si="147">O131+P131</f>
        <v>157900</v>
      </c>
      <c r="R131" s="95">
        <f>'[2]6 Вед15'!Q165</f>
        <v>0</v>
      </c>
      <c r="S131" s="2">
        <f t="shared" ref="S131" si="148">Q131+R131</f>
        <v>157900</v>
      </c>
      <c r="T131" s="95"/>
      <c r="U131" s="95"/>
      <c r="V131" s="95"/>
      <c r="W131" s="2">
        <v>-57717</v>
      </c>
      <c r="X131" s="2">
        <f t="shared" si="93"/>
        <v>100183</v>
      </c>
      <c r="Z131" s="8"/>
    </row>
    <row r="132" spans="1:26" s="5" customFormat="1" ht="38.25" customHeight="1" x14ac:dyDescent="0.25">
      <c r="A132" s="324" t="s">
        <v>442</v>
      </c>
      <c r="B132" s="324"/>
      <c r="C132" s="291"/>
      <c r="D132" s="173">
        <v>51</v>
      </c>
      <c r="E132" s="173">
        <v>2</v>
      </c>
      <c r="F132" s="173">
        <v>851</v>
      </c>
      <c r="G132" s="1" t="s">
        <v>83</v>
      </c>
      <c r="H132" s="1" t="s">
        <v>17</v>
      </c>
      <c r="I132" s="62">
        <v>1057</v>
      </c>
      <c r="J132" s="14"/>
      <c r="K132" s="2">
        <f>K133</f>
        <v>8947680</v>
      </c>
      <c r="L132" s="2">
        <f t="shared" ref="L132:W133" si="149">L133</f>
        <v>0</v>
      </c>
      <c r="M132" s="2">
        <f t="shared" si="149"/>
        <v>8947680</v>
      </c>
      <c r="N132" s="2">
        <f t="shared" si="149"/>
        <v>0</v>
      </c>
      <c r="O132" s="2">
        <f t="shared" si="149"/>
        <v>8947680</v>
      </c>
      <c r="P132" s="2">
        <f t="shared" si="149"/>
        <v>20795</v>
      </c>
      <c r="Q132" s="2">
        <f t="shared" si="149"/>
        <v>8968475</v>
      </c>
      <c r="R132" s="2">
        <f t="shared" si="149"/>
        <v>-51675</v>
      </c>
      <c r="S132" s="2">
        <f t="shared" si="149"/>
        <v>8916800</v>
      </c>
      <c r="T132" s="2"/>
      <c r="U132" s="2"/>
      <c r="V132" s="95"/>
      <c r="W132" s="2">
        <f t="shared" si="149"/>
        <v>-230000</v>
      </c>
      <c r="X132" s="2">
        <f t="shared" si="93"/>
        <v>8686800</v>
      </c>
      <c r="Z132" s="8"/>
    </row>
    <row r="133" spans="1:26" s="5" customFormat="1" ht="24" x14ac:dyDescent="0.25">
      <c r="A133" s="291"/>
      <c r="B133" s="174" t="s">
        <v>90</v>
      </c>
      <c r="C133" s="291"/>
      <c r="D133" s="173">
        <v>51</v>
      </c>
      <c r="E133" s="173">
        <v>2</v>
      </c>
      <c r="F133" s="173">
        <v>851</v>
      </c>
      <c r="G133" s="1" t="s">
        <v>83</v>
      </c>
      <c r="H133" s="1" t="s">
        <v>17</v>
      </c>
      <c r="I133" s="62">
        <v>1057</v>
      </c>
      <c r="J133" s="14">
        <v>600</v>
      </c>
      <c r="K133" s="2">
        <f>K134</f>
        <v>8947680</v>
      </c>
      <c r="L133" s="2">
        <f t="shared" si="149"/>
        <v>0</v>
      </c>
      <c r="M133" s="2">
        <f t="shared" si="149"/>
        <v>8947680</v>
      </c>
      <c r="N133" s="2">
        <f t="shared" si="149"/>
        <v>0</v>
      </c>
      <c r="O133" s="2">
        <f t="shared" si="149"/>
        <v>8947680</v>
      </c>
      <c r="P133" s="2">
        <f t="shared" si="149"/>
        <v>20795</v>
      </c>
      <c r="Q133" s="2">
        <f t="shared" si="149"/>
        <v>8968475</v>
      </c>
      <c r="R133" s="2">
        <f t="shared" si="149"/>
        <v>-51675</v>
      </c>
      <c r="S133" s="2">
        <f t="shared" si="149"/>
        <v>8916800</v>
      </c>
      <c r="T133" s="2"/>
      <c r="U133" s="2"/>
      <c r="V133" s="95"/>
      <c r="W133" s="2">
        <f t="shared" si="149"/>
        <v>-230000</v>
      </c>
      <c r="X133" s="2">
        <f t="shared" si="93"/>
        <v>8686800</v>
      </c>
      <c r="Z133" s="8"/>
    </row>
    <row r="134" spans="1:26" s="5" customFormat="1" ht="24.75" customHeight="1" x14ac:dyDescent="0.25">
      <c r="A134" s="291"/>
      <c r="B134" s="291" t="s">
        <v>87</v>
      </c>
      <c r="C134" s="291"/>
      <c r="D134" s="173">
        <v>51</v>
      </c>
      <c r="E134" s="173">
        <v>2</v>
      </c>
      <c r="F134" s="173">
        <v>851</v>
      </c>
      <c r="G134" s="1" t="s">
        <v>83</v>
      </c>
      <c r="H134" s="1" t="s">
        <v>17</v>
      </c>
      <c r="I134" s="62">
        <v>1057</v>
      </c>
      <c r="J134" s="14">
        <v>611</v>
      </c>
      <c r="K134" s="2">
        <f>'[2]6 Вед15'!J168</f>
        <v>8947680</v>
      </c>
      <c r="L134" s="95">
        <f>'[2]6 Вед15'!K168</f>
        <v>0</v>
      </c>
      <c r="M134" s="2">
        <f t="shared" si="99"/>
        <v>8947680</v>
      </c>
      <c r="N134" s="95">
        <f>'[2]6 Вед15'!M168</f>
        <v>0</v>
      </c>
      <c r="O134" s="2">
        <f t="shared" si="95"/>
        <v>8947680</v>
      </c>
      <c r="P134" s="95">
        <f>'[2]6 Вед15'!O168</f>
        <v>20795</v>
      </c>
      <c r="Q134" s="2">
        <f t="shared" ref="Q134" si="150">O134+P134</f>
        <v>8968475</v>
      </c>
      <c r="R134" s="95">
        <f>'[2]6 Вед15'!Q168</f>
        <v>-51675</v>
      </c>
      <c r="S134" s="2">
        <f t="shared" ref="S134" si="151">Q134+R134</f>
        <v>8916800</v>
      </c>
      <c r="T134" s="95"/>
      <c r="U134" s="95"/>
      <c r="V134" s="95"/>
      <c r="W134" s="2">
        <v>-230000</v>
      </c>
      <c r="X134" s="2">
        <f t="shared" si="93"/>
        <v>8686800</v>
      </c>
      <c r="Z134" s="8"/>
    </row>
    <row r="135" spans="1:26" s="5" customFormat="1" ht="38.25" hidden="1" customHeight="1" x14ac:dyDescent="0.25">
      <c r="A135" s="324" t="s">
        <v>443</v>
      </c>
      <c r="B135" s="324"/>
      <c r="C135" s="291"/>
      <c r="D135" s="173">
        <v>51</v>
      </c>
      <c r="E135" s="173">
        <v>2</v>
      </c>
      <c r="F135" s="173">
        <v>851</v>
      </c>
      <c r="G135" s="1" t="s">
        <v>83</v>
      </c>
      <c r="H135" s="1" t="s">
        <v>17</v>
      </c>
      <c r="I135" s="62">
        <v>1058</v>
      </c>
      <c r="J135" s="14"/>
      <c r="K135" s="2">
        <f>K136</f>
        <v>2860620</v>
      </c>
      <c r="L135" s="2">
        <f t="shared" ref="L135:W136" si="152">L136</f>
        <v>0</v>
      </c>
      <c r="M135" s="2">
        <f t="shared" si="152"/>
        <v>2860620</v>
      </c>
      <c r="N135" s="2">
        <f t="shared" si="152"/>
        <v>0</v>
      </c>
      <c r="O135" s="2">
        <f t="shared" si="152"/>
        <v>2860620</v>
      </c>
      <c r="P135" s="2">
        <f t="shared" si="152"/>
        <v>-8745</v>
      </c>
      <c r="Q135" s="2">
        <f t="shared" si="152"/>
        <v>2851875</v>
      </c>
      <c r="R135" s="2">
        <f t="shared" si="152"/>
        <v>-35775</v>
      </c>
      <c r="S135" s="2">
        <f t="shared" si="152"/>
        <v>2816100</v>
      </c>
      <c r="T135" s="2"/>
      <c r="U135" s="2"/>
      <c r="V135" s="95"/>
      <c r="W135" s="2">
        <f t="shared" si="152"/>
        <v>0</v>
      </c>
      <c r="X135" s="2">
        <f t="shared" si="93"/>
        <v>2816100</v>
      </c>
      <c r="Z135" s="8"/>
    </row>
    <row r="136" spans="1:26" s="5" customFormat="1" ht="24" hidden="1" x14ac:dyDescent="0.25">
      <c r="A136" s="291"/>
      <c r="B136" s="174" t="s">
        <v>90</v>
      </c>
      <c r="C136" s="291"/>
      <c r="D136" s="173">
        <v>51</v>
      </c>
      <c r="E136" s="173">
        <v>2</v>
      </c>
      <c r="F136" s="173">
        <v>851</v>
      </c>
      <c r="G136" s="1" t="s">
        <v>83</v>
      </c>
      <c r="H136" s="1" t="s">
        <v>17</v>
      </c>
      <c r="I136" s="62">
        <v>1058</v>
      </c>
      <c r="J136" s="14">
        <v>600</v>
      </c>
      <c r="K136" s="2">
        <f>K137</f>
        <v>2860620</v>
      </c>
      <c r="L136" s="2">
        <f t="shared" si="152"/>
        <v>0</v>
      </c>
      <c r="M136" s="2">
        <f t="shared" si="152"/>
        <v>2860620</v>
      </c>
      <c r="N136" s="2">
        <f t="shared" si="152"/>
        <v>0</v>
      </c>
      <c r="O136" s="2">
        <f t="shared" si="152"/>
        <v>2860620</v>
      </c>
      <c r="P136" s="2">
        <f t="shared" si="152"/>
        <v>-8745</v>
      </c>
      <c r="Q136" s="2">
        <f>Q137+Q138</f>
        <v>2851875</v>
      </c>
      <c r="R136" s="2">
        <f t="shared" ref="R136:S136" si="153">R137+R138</f>
        <v>-35775</v>
      </c>
      <c r="S136" s="2">
        <f t="shared" si="153"/>
        <v>2816100</v>
      </c>
      <c r="T136" s="2"/>
      <c r="U136" s="2"/>
      <c r="V136" s="95"/>
      <c r="W136" s="2">
        <f t="shared" ref="W136" si="154">W137+W138</f>
        <v>0</v>
      </c>
      <c r="X136" s="2">
        <f t="shared" si="93"/>
        <v>2816100</v>
      </c>
      <c r="Z136" s="8"/>
    </row>
    <row r="137" spans="1:26" s="5" customFormat="1" ht="35.25" hidden="1" customHeight="1" x14ac:dyDescent="0.25">
      <c r="A137" s="291"/>
      <c r="B137" s="291" t="s">
        <v>87</v>
      </c>
      <c r="C137" s="291"/>
      <c r="D137" s="173">
        <v>51</v>
      </c>
      <c r="E137" s="173">
        <v>2</v>
      </c>
      <c r="F137" s="173">
        <v>851</v>
      </c>
      <c r="G137" s="1" t="s">
        <v>83</v>
      </c>
      <c r="H137" s="1" t="s">
        <v>17</v>
      </c>
      <c r="I137" s="62">
        <v>1058</v>
      </c>
      <c r="J137" s="14">
        <v>611</v>
      </c>
      <c r="K137" s="2">
        <f>'[2]6 Вед15'!J171</f>
        <v>2860620</v>
      </c>
      <c r="L137" s="95">
        <f>'[2]6 Вед15'!K171</f>
        <v>0</v>
      </c>
      <c r="M137" s="2">
        <f t="shared" si="99"/>
        <v>2860620</v>
      </c>
      <c r="N137" s="95">
        <f>'[2]6 Вед15'!M171</f>
        <v>0</v>
      </c>
      <c r="O137" s="2">
        <f t="shared" si="95"/>
        <v>2860620</v>
      </c>
      <c r="P137" s="95">
        <f>'[2]6 Вед15'!O171</f>
        <v>-8745</v>
      </c>
      <c r="Q137" s="2">
        <f t="shared" ref="Q137" si="155">O137+P137</f>
        <v>2851875</v>
      </c>
      <c r="R137" s="95">
        <f>'[2]6 Вед15'!Q171</f>
        <v>-92850</v>
      </c>
      <c r="S137" s="2">
        <f t="shared" ref="S137:S138" si="156">Q137+R137</f>
        <v>2759025</v>
      </c>
      <c r="T137" s="95"/>
      <c r="U137" s="95"/>
      <c r="V137" s="95"/>
      <c r="W137" s="2">
        <f>'[2]6 Вед15'!V171</f>
        <v>0</v>
      </c>
      <c r="X137" s="2">
        <f t="shared" si="93"/>
        <v>2759025</v>
      </c>
      <c r="Z137" s="8"/>
    </row>
    <row r="138" spans="1:26" s="5" customFormat="1" ht="14.25" hidden="1" customHeight="1" x14ac:dyDescent="0.25">
      <c r="A138" s="291"/>
      <c r="B138" s="170" t="s">
        <v>118</v>
      </c>
      <c r="C138" s="291"/>
      <c r="D138" s="173">
        <v>51</v>
      </c>
      <c r="E138" s="173">
        <v>2</v>
      </c>
      <c r="F138" s="173">
        <v>851</v>
      </c>
      <c r="G138" s="1" t="s">
        <v>83</v>
      </c>
      <c r="H138" s="1" t="s">
        <v>17</v>
      </c>
      <c r="I138" s="62">
        <v>1058</v>
      </c>
      <c r="J138" s="14">
        <v>612</v>
      </c>
      <c r="K138" s="2"/>
      <c r="L138" s="95"/>
      <c r="M138" s="2"/>
      <c r="N138" s="95"/>
      <c r="O138" s="2"/>
      <c r="P138" s="95"/>
      <c r="Q138" s="2"/>
      <c r="R138" s="95">
        <f>'[2]6 Вед15'!Q172</f>
        <v>57075</v>
      </c>
      <c r="S138" s="2">
        <f t="shared" si="156"/>
        <v>57075</v>
      </c>
      <c r="T138" s="95"/>
      <c r="U138" s="95"/>
      <c r="V138" s="95"/>
      <c r="W138" s="2">
        <f>'[2]6 Вед15'!V172</f>
        <v>0</v>
      </c>
      <c r="X138" s="2">
        <f t="shared" si="93"/>
        <v>57075</v>
      </c>
      <c r="Z138" s="8"/>
    </row>
    <row r="139" spans="1:26" s="5" customFormat="1" ht="34.5" customHeight="1" x14ac:dyDescent="0.25">
      <c r="A139" s="324" t="s">
        <v>85</v>
      </c>
      <c r="B139" s="324"/>
      <c r="C139" s="291"/>
      <c r="D139" s="173">
        <v>51</v>
      </c>
      <c r="E139" s="173">
        <v>2</v>
      </c>
      <c r="F139" s="173">
        <v>851</v>
      </c>
      <c r="G139" s="1" t="s">
        <v>83</v>
      </c>
      <c r="H139" s="1" t="s">
        <v>17</v>
      </c>
      <c r="I139" s="62">
        <v>1421</v>
      </c>
      <c r="J139" s="1"/>
      <c r="K139" s="2">
        <f t="shared" ref="K139:W140" si="157">K140</f>
        <v>9540</v>
      </c>
      <c r="L139" s="2">
        <f t="shared" si="157"/>
        <v>0</v>
      </c>
      <c r="M139" s="2">
        <f t="shared" si="157"/>
        <v>9540</v>
      </c>
      <c r="N139" s="2">
        <f t="shared" si="157"/>
        <v>0</v>
      </c>
      <c r="O139" s="2">
        <f t="shared" si="157"/>
        <v>9540</v>
      </c>
      <c r="P139" s="2">
        <f t="shared" si="157"/>
        <v>-3180</v>
      </c>
      <c r="Q139" s="2">
        <f t="shared" si="157"/>
        <v>6360</v>
      </c>
      <c r="R139" s="2">
        <f t="shared" si="157"/>
        <v>98580</v>
      </c>
      <c r="S139" s="2">
        <f t="shared" si="157"/>
        <v>104940</v>
      </c>
      <c r="T139" s="2"/>
      <c r="U139" s="2"/>
      <c r="V139" s="95"/>
      <c r="W139" s="2">
        <f t="shared" si="157"/>
        <v>-19080</v>
      </c>
      <c r="X139" s="2">
        <f t="shared" si="93"/>
        <v>85860</v>
      </c>
      <c r="Z139" s="8"/>
    </row>
    <row r="140" spans="1:26" s="5" customFormat="1" ht="24" customHeight="1" x14ac:dyDescent="0.25">
      <c r="A140" s="291"/>
      <c r="B140" s="174" t="s">
        <v>90</v>
      </c>
      <c r="C140" s="291"/>
      <c r="D140" s="173">
        <v>51</v>
      </c>
      <c r="E140" s="173">
        <v>2</v>
      </c>
      <c r="F140" s="173">
        <v>851</v>
      </c>
      <c r="G140" s="1" t="s">
        <v>83</v>
      </c>
      <c r="H140" s="1" t="s">
        <v>17</v>
      </c>
      <c r="I140" s="62">
        <v>1421</v>
      </c>
      <c r="J140" s="1" t="s">
        <v>86</v>
      </c>
      <c r="K140" s="2">
        <f t="shared" si="157"/>
        <v>9540</v>
      </c>
      <c r="L140" s="2">
        <f t="shared" si="157"/>
        <v>0</v>
      </c>
      <c r="M140" s="2">
        <f t="shared" si="157"/>
        <v>9540</v>
      </c>
      <c r="N140" s="2">
        <f t="shared" si="157"/>
        <v>0</v>
      </c>
      <c r="O140" s="2">
        <f t="shared" si="157"/>
        <v>9540</v>
      </c>
      <c r="P140" s="2">
        <f t="shared" si="157"/>
        <v>-3180</v>
      </c>
      <c r="Q140" s="2">
        <f t="shared" si="157"/>
        <v>6360</v>
      </c>
      <c r="R140" s="2">
        <f t="shared" si="157"/>
        <v>98580</v>
      </c>
      <c r="S140" s="2">
        <f t="shared" si="157"/>
        <v>104940</v>
      </c>
      <c r="T140" s="2"/>
      <c r="U140" s="2"/>
      <c r="V140" s="95"/>
      <c r="W140" s="2">
        <f t="shared" si="157"/>
        <v>-19080</v>
      </c>
      <c r="X140" s="2">
        <f t="shared" si="93"/>
        <v>85860</v>
      </c>
      <c r="Z140" s="8"/>
    </row>
    <row r="141" spans="1:26" s="5" customFormat="1" ht="24.75" customHeight="1" x14ac:dyDescent="0.25">
      <c r="A141" s="291"/>
      <c r="B141" s="291" t="s">
        <v>87</v>
      </c>
      <c r="C141" s="291"/>
      <c r="D141" s="173">
        <v>51</v>
      </c>
      <c r="E141" s="173">
        <v>2</v>
      </c>
      <c r="F141" s="173">
        <v>851</v>
      </c>
      <c r="G141" s="1" t="s">
        <v>83</v>
      </c>
      <c r="H141" s="1" t="s">
        <v>17</v>
      </c>
      <c r="I141" s="62">
        <v>1421</v>
      </c>
      <c r="J141" s="1" t="s">
        <v>88</v>
      </c>
      <c r="K141" s="2">
        <f>'[2]6 Вед15'!J175</f>
        <v>9540</v>
      </c>
      <c r="L141" s="95">
        <f>'[2]6 Вед15'!K175</f>
        <v>0</v>
      </c>
      <c r="M141" s="2">
        <f t="shared" si="99"/>
        <v>9540</v>
      </c>
      <c r="N141" s="95">
        <f>'[2]6 Вед15'!M175</f>
        <v>0</v>
      </c>
      <c r="O141" s="2">
        <f t="shared" si="95"/>
        <v>9540</v>
      </c>
      <c r="P141" s="95">
        <f>'[2]6 Вед15'!O175</f>
        <v>-3180</v>
      </c>
      <c r="Q141" s="2">
        <f t="shared" ref="Q141" si="158">O141+P141</f>
        <v>6360</v>
      </c>
      <c r="R141" s="95">
        <f>'[2]6 Вед15'!Q175</f>
        <v>98580</v>
      </c>
      <c r="S141" s="2">
        <f t="shared" ref="S141" si="159">Q141+R141</f>
        <v>104940</v>
      </c>
      <c r="T141" s="95"/>
      <c r="U141" s="95"/>
      <c r="V141" s="95"/>
      <c r="W141" s="2">
        <v>-19080</v>
      </c>
      <c r="X141" s="2">
        <f t="shared" si="93"/>
        <v>85860</v>
      </c>
      <c r="Z141" s="8"/>
    </row>
    <row r="142" spans="1:26" s="5" customFormat="1" ht="24.75" customHeight="1" x14ac:dyDescent="0.25">
      <c r="A142" s="324" t="s">
        <v>91</v>
      </c>
      <c r="B142" s="324"/>
      <c r="C142" s="291"/>
      <c r="D142" s="173">
        <v>51</v>
      </c>
      <c r="E142" s="173">
        <v>2</v>
      </c>
      <c r="F142" s="173">
        <v>851</v>
      </c>
      <c r="G142" s="1" t="s">
        <v>83</v>
      </c>
      <c r="H142" s="1" t="s">
        <v>17</v>
      </c>
      <c r="I142" s="1" t="s">
        <v>327</v>
      </c>
      <c r="J142" s="1"/>
      <c r="K142" s="2">
        <f t="shared" ref="K142:W143" si="160">K143</f>
        <v>100000</v>
      </c>
      <c r="L142" s="2">
        <f t="shared" si="160"/>
        <v>0</v>
      </c>
      <c r="M142" s="2">
        <f t="shared" si="160"/>
        <v>100000</v>
      </c>
      <c r="N142" s="2">
        <f t="shared" si="160"/>
        <v>0</v>
      </c>
      <c r="O142" s="2">
        <f t="shared" si="160"/>
        <v>100000</v>
      </c>
      <c r="P142" s="2">
        <f t="shared" si="160"/>
        <v>0</v>
      </c>
      <c r="Q142" s="2">
        <f t="shared" si="160"/>
        <v>100000</v>
      </c>
      <c r="R142" s="2">
        <f t="shared" si="160"/>
        <v>0</v>
      </c>
      <c r="S142" s="2">
        <f t="shared" si="160"/>
        <v>100000</v>
      </c>
      <c r="T142" s="2"/>
      <c r="U142" s="2"/>
      <c r="V142" s="95"/>
      <c r="W142" s="2">
        <f t="shared" si="160"/>
        <v>-10000</v>
      </c>
      <c r="X142" s="2">
        <f t="shared" si="93"/>
        <v>90000</v>
      </c>
      <c r="Z142" s="8"/>
    </row>
    <row r="143" spans="1:26" s="5" customFormat="1" ht="15" customHeight="1" x14ac:dyDescent="0.25">
      <c r="A143" s="14"/>
      <c r="B143" s="303" t="s">
        <v>27</v>
      </c>
      <c r="C143" s="301"/>
      <c r="D143" s="173">
        <v>51</v>
      </c>
      <c r="E143" s="173">
        <v>2</v>
      </c>
      <c r="F143" s="173">
        <v>851</v>
      </c>
      <c r="G143" s="1" t="s">
        <v>83</v>
      </c>
      <c r="H143" s="1" t="s">
        <v>17</v>
      </c>
      <c r="I143" s="1" t="s">
        <v>327</v>
      </c>
      <c r="J143" s="1" t="s">
        <v>28</v>
      </c>
      <c r="K143" s="2">
        <f t="shared" si="160"/>
        <v>100000</v>
      </c>
      <c r="L143" s="2">
        <f t="shared" si="160"/>
        <v>0</v>
      </c>
      <c r="M143" s="2">
        <f t="shared" si="160"/>
        <v>100000</v>
      </c>
      <c r="N143" s="2">
        <f t="shared" si="160"/>
        <v>0</v>
      </c>
      <c r="O143" s="2">
        <f t="shared" si="160"/>
        <v>100000</v>
      </c>
      <c r="P143" s="2">
        <f t="shared" si="160"/>
        <v>0</v>
      </c>
      <c r="Q143" s="2">
        <f t="shared" si="160"/>
        <v>100000</v>
      </c>
      <c r="R143" s="2">
        <f t="shared" si="160"/>
        <v>0</v>
      </c>
      <c r="S143" s="2">
        <f t="shared" si="160"/>
        <v>100000</v>
      </c>
      <c r="T143" s="2"/>
      <c r="U143" s="2"/>
      <c r="V143" s="95"/>
      <c r="W143" s="2">
        <f t="shared" si="160"/>
        <v>-10000</v>
      </c>
      <c r="X143" s="2">
        <f t="shared" ref="X143:X212" si="161">S143+W143</f>
        <v>90000</v>
      </c>
      <c r="Z143" s="8"/>
    </row>
    <row r="144" spans="1:26" s="5" customFormat="1" ht="13.5" customHeight="1" x14ac:dyDescent="0.25">
      <c r="A144" s="14"/>
      <c r="B144" s="303" t="s">
        <v>29</v>
      </c>
      <c r="C144" s="291"/>
      <c r="D144" s="173">
        <v>51</v>
      </c>
      <c r="E144" s="173">
        <v>2</v>
      </c>
      <c r="F144" s="173">
        <v>851</v>
      </c>
      <c r="G144" s="1" t="s">
        <v>83</v>
      </c>
      <c r="H144" s="1" t="s">
        <v>17</v>
      </c>
      <c r="I144" s="1" t="s">
        <v>327</v>
      </c>
      <c r="J144" s="1" t="s">
        <v>30</v>
      </c>
      <c r="K144" s="2">
        <f>'[2]6 Вед15'!J178</f>
        <v>100000</v>
      </c>
      <c r="L144" s="95">
        <f>'[2]6 Вед15'!K178</f>
        <v>0</v>
      </c>
      <c r="M144" s="2">
        <f t="shared" si="99"/>
        <v>100000</v>
      </c>
      <c r="N144" s="95">
        <f>'[2]6 Вед15'!M178</f>
        <v>0</v>
      </c>
      <c r="O144" s="2">
        <f t="shared" si="95"/>
        <v>100000</v>
      </c>
      <c r="P144" s="95">
        <f>'[2]6 Вед15'!O178</f>
        <v>0</v>
      </c>
      <c r="Q144" s="2">
        <f t="shared" ref="Q144" si="162">O144+P144</f>
        <v>100000</v>
      </c>
      <c r="R144" s="95">
        <f>'[2]6 Вед15'!Q178</f>
        <v>0</v>
      </c>
      <c r="S144" s="2">
        <f t="shared" ref="S144" si="163">Q144+R144</f>
        <v>100000</v>
      </c>
      <c r="T144" s="95"/>
      <c r="U144" s="95"/>
      <c r="V144" s="95"/>
      <c r="W144" s="2">
        <v>-10000</v>
      </c>
      <c r="X144" s="2">
        <f t="shared" si="161"/>
        <v>90000</v>
      </c>
      <c r="Z144" s="8"/>
    </row>
    <row r="145" spans="1:26" s="5" customFormat="1" ht="15" hidden="1" customHeight="1" x14ac:dyDescent="0.25">
      <c r="A145" s="324" t="s">
        <v>92</v>
      </c>
      <c r="B145" s="324"/>
      <c r="C145" s="291"/>
      <c r="D145" s="173">
        <v>51</v>
      </c>
      <c r="E145" s="173">
        <v>2</v>
      </c>
      <c r="F145" s="173">
        <v>851</v>
      </c>
      <c r="G145" s="1" t="s">
        <v>83</v>
      </c>
      <c r="H145" s="1" t="s">
        <v>17</v>
      </c>
      <c r="I145" s="1" t="s">
        <v>328</v>
      </c>
      <c r="J145" s="1"/>
      <c r="K145" s="2">
        <f>K146</f>
        <v>200000</v>
      </c>
      <c r="L145" s="2">
        <f t="shared" ref="L145:W145" si="164">L146</f>
        <v>605000</v>
      </c>
      <c r="M145" s="2">
        <f t="shared" si="164"/>
        <v>805000</v>
      </c>
      <c r="N145" s="2">
        <f t="shared" si="164"/>
        <v>0</v>
      </c>
      <c r="O145" s="2">
        <f t="shared" si="164"/>
        <v>805000</v>
      </c>
      <c r="P145" s="2">
        <f t="shared" si="164"/>
        <v>10000</v>
      </c>
      <c r="Q145" s="2">
        <f t="shared" si="164"/>
        <v>815000</v>
      </c>
      <c r="R145" s="2">
        <f t="shared" si="164"/>
        <v>0</v>
      </c>
      <c r="S145" s="2">
        <f t="shared" si="164"/>
        <v>815000</v>
      </c>
      <c r="T145" s="2"/>
      <c r="U145" s="2"/>
      <c r="V145" s="95"/>
      <c r="W145" s="2">
        <f t="shared" si="164"/>
        <v>0</v>
      </c>
      <c r="X145" s="2">
        <f t="shared" si="161"/>
        <v>815000</v>
      </c>
      <c r="Z145" s="8"/>
    </row>
    <row r="146" spans="1:26" s="5" customFormat="1" ht="24.75" hidden="1" customHeight="1" x14ac:dyDescent="0.25">
      <c r="A146" s="14"/>
      <c r="B146" s="303" t="s">
        <v>27</v>
      </c>
      <c r="C146" s="301"/>
      <c r="D146" s="173">
        <v>51</v>
      </c>
      <c r="E146" s="173">
        <v>2</v>
      </c>
      <c r="F146" s="173">
        <v>851</v>
      </c>
      <c r="G146" s="1" t="s">
        <v>83</v>
      </c>
      <c r="H146" s="1" t="s">
        <v>17</v>
      </c>
      <c r="I146" s="1" t="s">
        <v>328</v>
      </c>
      <c r="J146" s="1" t="s">
        <v>28</v>
      </c>
      <c r="K146" s="2">
        <f t="shared" ref="K146:W146" si="165">K147</f>
        <v>200000</v>
      </c>
      <c r="L146" s="2">
        <f t="shared" si="165"/>
        <v>605000</v>
      </c>
      <c r="M146" s="2">
        <f t="shared" si="165"/>
        <v>805000</v>
      </c>
      <c r="N146" s="2">
        <f t="shared" si="165"/>
        <v>0</v>
      </c>
      <c r="O146" s="2">
        <f t="shared" si="165"/>
        <v>805000</v>
      </c>
      <c r="P146" s="2">
        <f t="shared" si="165"/>
        <v>10000</v>
      </c>
      <c r="Q146" s="2">
        <f t="shared" si="165"/>
        <v>815000</v>
      </c>
      <c r="R146" s="2">
        <f t="shared" si="165"/>
        <v>0</v>
      </c>
      <c r="S146" s="2">
        <f t="shared" si="165"/>
        <v>815000</v>
      </c>
      <c r="T146" s="2"/>
      <c r="U146" s="2"/>
      <c r="V146" s="95"/>
      <c r="W146" s="2">
        <f t="shared" si="165"/>
        <v>0</v>
      </c>
      <c r="X146" s="2">
        <f t="shared" si="161"/>
        <v>815000</v>
      </c>
      <c r="Z146" s="8"/>
    </row>
    <row r="147" spans="1:26" s="5" customFormat="1" ht="27" hidden="1" customHeight="1" x14ac:dyDescent="0.25">
      <c r="A147" s="14"/>
      <c r="B147" s="303" t="s">
        <v>29</v>
      </c>
      <c r="C147" s="291"/>
      <c r="D147" s="173">
        <v>51</v>
      </c>
      <c r="E147" s="173">
        <v>2</v>
      </c>
      <c r="F147" s="173">
        <v>851</v>
      </c>
      <c r="G147" s="1" t="s">
        <v>83</v>
      </c>
      <c r="H147" s="1" t="s">
        <v>17</v>
      </c>
      <c r="I147" s="1" t="s">
        <v>328</v>
      </c>
      <c r="J147" s="1" t="s">
        <v>30</v>
      </c>
      <c r="K147" s="2">
        <f>'[2]6 Вед15'!J181</f>
        <v>200000</v>
      </c>
      <c r="L147" s="95">
        <f>'[2]6 Вед15'!K181</f>
        <v>605000</v>
      </c>
      <c r="M147" s="2">
        <f t="shared" si="99"/>
        <v>805000</v>
      </c>
      <c r="N147" s="95">
        <f>'[2]6 Вед15'!M181</f>
        <v>0</v>
      </c>
      <c r="O147" s="2">
        <f t="shared" si="95"/>
        <v>805000</v>
      </c>
      <c r="P147" s="95">
        <f>'[2]6 Вед15'!O181</f>
        <v>10000</v>
      </c>
      <c r="Q147" s="2">
        <f t="shared" ref="Q147:Q153" si="166">O147+P147</f>
        <v>815000</v>
      </c>
      <c r="R147" s="95">
        <f>'[2]6 Вед15'!Q181</f>
        <v>0</v>
      </c>
      <c r="S147" s="2">
        <f t="shared" ref="S147:S153" si="167">Q147+R147</f>
        <v>815000</v>
      </c>
      <c r="T147" s="95"/>
      <c r="U147" s="95"/>
      <c r="V147" s="95"/>
      <c r="W147" s="2">
        <f>'[2]6 Вед15'!V181</f>
        <v>0</v>
      </c>
      <c r="X147" s="2">
        <f t="shared" si="161"/>
        <v>815000</v>
      </c>
      <c r="Z147" s="8"/>
    </row>
    <row r="148" spans="1:26" s="5" customFormat="1" ht="38.25" hidden="1" customHeight="1" x14ac:dyDescent="0.25">
      <c r="A148" s="324" t="s">
        <v>586</v>
      </c>
      <c r="B148" s="324"/>
      <c r="C148" s="296"/>
      <c r="D148" s="173">
        <v>51</v>
      </c>
      <c r="E148" s="173">
        <v>2</v>
      </c>
      <c r="F148" s="173">
        <v>851</v>
      </c>
      <c r="G148" s="1"/>
      <c r="H148" s="1"/>
      <c r="I148" s="1" t="s">
        <v>588</v>
      </c>
      <c r="J148" s="1"/>
      <c r="K148" s="2">
        <f>K149</f>
        <v>0</v>
      </c>
      <c r="L148" s="2">
        <f t="shared" ref="L148:W152" si="168">L149</f>
        <v>0</v>
      </c>
      <c r="M148" s="2">
        <f t="shared" si="99"/>
        <v>0</v>
      </c>
      <c r="N148" s="2">
        <f t="shared" si="168"/>
        <v>0</v>
      </c>
      <c r="O148" s="2">
        <f t="shared" si="95"/>
        <v>0</v>
      </c>
      <c r="P148" s="2">
        <f t="shared" si="168"/>
        <v>0</v>
      </c>
      <c r="Q148" s="2">
        <f t="shared" si="166"/>
        <v>0</v>
      </c>
      <c r="R148" s="2">
        <f t="shared" si="168"/>
        <v>0</v>
      </c>
      <c r="S148" s="2">
        <f t="shared" si="167"/>
        <v>0</v>
      </c>
      <c r="T148" s="2"/>
      <c r="U148" s="2"/>
      <c r="V148" s="95"/>
      <c r="W148" s="2">
        <f t="shared" si="168"/>
        <v>0</v>
      </c>
      <c r="X148" s="2">
        <f t="shared" si="161"/>
        <v>0</v>
      </c>
      <c r="Z148" s="8"/>
    </row>
    <row r="149" spans="1:26" s="5" customFormat="1" ht="15.75" hidden="1" customHeight="1" x14ac:dyDescent="0.25">
      <c r="A149" s="292"/>
      <c r="B149" s="324" t="s">
        <v>143</v>
      </c>
      <c r="C149" s="324"/>
      <c r="D149" s="173">
        <v>51</v>
      </c>
      <c r="E149" s="173">
        <v>2</v>
      </c>
      <c r="F149" s="173">
        <v>851</v>
      </c>
      <c r="G149" s="1"/>
      <c r="H149" s="1"/>
      <c r="I149" s="1" t="s">
        <v>588</v>
      </c>
      <c r="J149" s="1" t="s">
        <v>144</v>
      </c>
      <c r="K149" s="2">
        <f>K150</f>
        <v>0</v>
      </c>
      <c r="L149" s="2">
        <f t="shared" si="168"/>
        <v>0</v>
      </c>
      <c r="M149" s="2">
        <f t="shared" si="99"/>
        <v>0</v>
      </c>
      <c r="N149" s="2">
        <f t="shared" si="168"/>
        <v>0</v>
      </c>
      <c r="O149" s="2">
        <f t="shared" si="95"/>
        <v>0</v>
      </c>
      <c r="P149" s="2">
        <f t="shared" si="168"/>
        <v>0</v>
      </c>
      <c r="Q149" s="2">
        <f t="shared" si="166"/>
        <v>0</v>
      </c>
      <c r="R149" s="2">
        <f t="shared" si="168"/>
        <v>0</v>
      </c>
      <c r="S149" s="2">
        <f t="shared" si="167"/>
        <v>0</v>
      </c>
      <c r="T149" s="2"/>
      <c r="U149" s="2"/>
      <c r="V149" s="95"/>
      <c r="W149" s="2">
        <f t="shared" si="168"/>
        <v>0</v>
      </c>
      <c r="X149" s="2">
        <f t="shared" si="161"/>
        <v>0</v>
      </c>
      <c r="Z149" s="8"/>
    </row>
    <row r="150" spans="1:26" s="5" customFormat="1" ht="15.75" hidden="1" customHeight="1" x14ac:dyDescent="0.25">
      <c r="A150" s="292"/>
      <c r="B150" s="291" t="s">
        <v>155</v>
      </c>
      <c r="C150" s="245"/>
      <c r="D150" s="173">
        <v>51</v>
      </c>
      <c r="E150" s="173">
        <v>2</v>
      </c>
      <c r="F150" s="173">
        <v>851</v>
      </c>
      <c r="G150" s="1"/>
      <c r="H150" s="1"/>
      <c r="I150" s="1" t="s">
        <v>588</v>
      </c>
      <c r="J150" s="1" t="s">
        <v>156</v>
      </c>
      <c r="K150" s="2"/>
      <c r="L150" s="95">
        <f>'[2]6 Вед15'!K364</f>
        <v>0</v>
      </c>
      <c r="M150" s="2">
        <f t="shared" si="99"/>
        <v>0</v>
      </c>
      <c r="N150" s="95">
        <f>'[2]6 Вед15'!M364</f>
        <v>0</v>
      </c>
      <c r="O150" s="2">
        <f t="shared" si="95"/>
        <v>0</v>
      </c>
      <c r="P150" s="95">
        <f>'[2]6 Вед15'!O364</f>
        <v>0</v>
      </c>
      <c r="Q150" s="2">
        <f t="shared" si="166"/>
        <v>0</v>
      </c>
      <c r="R150" s="95">
        <f>'[2]6 Вед15'!Q364</f>
        <v>0</v>
      </c>
      <c r="S150" s="2">
        <f t="shared" si="167"/>
        <v>0</v>
      </c>
      <c r="T150" s="95"/>
      <c r="U150" s="95"/>
      <c r="V150" s="95"/>
      <c r="W150" s="2">
        <f>'[2]6 Вед15'!V364</f>
        <v>0</v>
      </c>
      <c r="X150" s="2">
        <f t="shared" si="161"/>
        <v>0</v>
      </c>
      <c r="Z150" s="8"/>
    </row>
    <row r="151" spans="1:26" s="5" customFormat="1" ht="58.5" hidden="1" customHeight="1" x14ac:dyDescent="0.25">
      <c r="A151" s="324" t="s">
        <v>678</v>
      </c>
      <c r="B151" s="324"/>
      <c r="C151" s="245"/>
      <c r="D151" s="173">
        <v>51</v>
      </c>
      <c r="E151" s="173">
        <v>2</v>
      </c>
      <c r="F151" s="173">
        <v>851</v>
      </c>
      <c r="G151" s="1"/>
      <c r="H151" s="1"/>
      <c r="I151" s="1" t="s">
        <v>681</v>
      </c>
      <c r="J151" s="1"/>
      <c r="K151" s="2"/>
      <c r="L151" s="95"/>
      <c r="M151" s="2"/>
      <c r="N151" s="95"/>
      <c r="O151" s="2"/>
      <c r="P151" s="95"/>
      <c r="Q151" s="2">
        <f t="shared" si="166"/>
        <v>0</v>
      </c>
      <c r="R151" s="2">
        <f t="shared" si="168"/>
        <v>261321.25</v>
      </c>
      <c r="S151" s="2">
        <f t="shared" si="167"/>
        <v>261321.25</v>
      </c>
      <c r="T151" s="2"/>
      <c r="U151" s="2"/>
      <c r="V151" s="95"/>
      <c r="W151" s="2">
        <f t="shared" si="168"/>
        <v>0</v>
      </c>
      <c r="X151" s="2">
        <f t="shared" si="161"/>
        <v>261321.25</v>
      </c>
      <c r="Z151" s="8"/>
    </row>
    <row r="152" spans="1:26" s="5" customFormat="1" ht="15.75" hidden="1" customHeight="1" x14ac:dyDescent="0.25">
      <c r="A152" s="223"/>
      <c r="B152" s="224" t="s">
        <v>90</v>
      </c>
      <c r="C152" s="245"/>
      <c r="D152" s="173">
        <v>51</v>
      </c>
      <c r="E152" s="173">
        <v>2</v>
      </c>
      <c r="F152" s="173">
        <v>851</v>
      </c>
      <c r="G152" s="1"/>
      <c r="H152" s="1"/>
      <c r="I152" s="1" t="s">
        <v>681</v>
      </c>
      <c r="J152" s="1" t="s">
        <v>86</v>
      </c>
      <c r="K152" s="2"/>
      <c r="L152" s="95"/>
      <c r="M152" s="2"/>
      <c r="N152" s="95"/>
      <c r="O152" s="2"/>
      <c r="P152" s="95"/>
      <c r="Q152" s="2">
        <f t="shared" si="166"/>
        <v>0</v>
      </c>
      <c r="R152" s="2">
        <f t="shared" si="168"/>
        <v>261321.25</v>
      </c>
      <c r="S152" s="2">
        <f t="shared" si="167"/>
        <v>261321.25</v>
      </c>
      <c r="T152" s="2"/>
      <c r="U152" s="2"/>
      <c r="V152" s="95"/>
      <c r="W152" s="2">
        <f t="shared" si="168"/>
        <v>0</v>
      </c>
      <c r="X152" s="2">
        <f t="shared" si="161"/>
        <v>261321.25</v>
      </c>
      <c r="Z152" s="8"/>
    </row>
    <row r="153" spans="1:26" s="5" customFormat="1" ht="15.75" hidden="1" customHeight="1" x14ac:dyDescent="0.25">
      <c r="A153" s="14"/>
      <c r="B153" s="170" t="s">
        <v>118</v>
      </c>
      <c r="C153" s="245"/>
      <c r="D153" s="173">
        <v>51</v>
      </c>
      <c r="E153" s="173">
        <v>2</v>
      </c>
      <c r="F153" s="173">
        <v>851</v>
      </c>
      <c r="G153" s="1"/>
      <c r="H153" s="1"/>
      <c r="I153" s="1" t="s">
        <v>681</v>
      </c>
      <c r="J153" s="1" t="s">
        <v>119</v>
      </c>
      <c r="K153" s="2"/>
      <c r="L153" s="95"/>
      <c r="M153" s="2"/>
      <c r="N153" s="95"/>
      <c r="O153" s="2"/>
      <c r="P153" s="95"/>
      <c r="Q153" s="2">
        <f t="shared" si="166"/>
        <v>0</v>
      </c>
      <c r="R153" s="95">
        <f>'[2]6 Вед15'!Q184</f>
        <v>261321.25</v>
      </c>
      <c r="S153" s="2">
        <f t="shared" si="167"/>
        <v>261321.25</v>
      </c>
      <c r="T153" s="95"/>
      <c r="U153" s="95"/>
      <c r="V153" s="95"/>
      <c r="W153" s="2">
        <f>'[2]6 Вед15'!V184</f>
        <v>0</v>
      </c>
      <c r="X153" s="2">
        <f t="shared" si="161"/>
        <v>261321.25</v>
      </c>
      <c r="Z153" s="8"/>
    </row>
    <row r="154" spans="1:26" s="12" customFormat="1" ht="24" hidden="1" customHeight="1" x14ac:dyDescent="0.25">
      <c r="A154" s="328" t="s">
        <v>494</v>
      </c>
      <c r="B154" s="328"/>
      <c r="C154" s="295"/>
      <c r="D154" s="15">
        <v>51</v>
      </c>
      <c r="E154" s="15">
        <v>3</v>
      </c>
      <c r="F154" s="15"/>
      <c r="G154" s="10"/>
      <c r="H154" s="19"/>
      <c r="I154" s="19"/>
      <c r="J154" s="10"/>
      <c r="K154" s="11">
        <f>K155</f>
        <v>15000</v>
      </c>
      <c r="L154" s="11">
        <f t="shared" ref="L154:W155" si="169">L155</f>
        <v>0</v>
      </c>
      <c r="M154" s="11">
        <f t="shared" si="169"/>
        <v>15000</v>
      </c>
      <c r="N154" s="11">
        <f t="shared" si="169"/>
        <v>0</v>
      </c>
      <c r="O154" s="11">
        <f t="shared" si="169"/>
        <v>15000</v>
      </c>
      <c r="P154" s="11">
        <f t="shared" si="169"/>
        <v>0</v>
      </c>
      <c r="Q154" s="11">
        <f t="shared" si="169"/>
        <v>15000</v>
      </c>
      <c r="R154" s="11">
        <f t="shared" si="169"/>
        <v>0</v>
      </c>
      <c r="S154" s="11">
        <f t="shared" si="169"/>
        <v>15000</v>
      </c>
      <c r="T154" s="11"/>
      <c r="U154" s="11"/>
      <c r="V154" s="165"/>
      <c r="W154" s="11">
        <f t="shared" si="169"/>
        <v>0</v>
      </c>
      <c r="X154" s="2">
        <f t="shared" si="161"/>
        <v>15000</v>
      </c>
      <c r="Z154" s="8"/>
    </row>
    <row r="155" spans="1:26" s="12" customFormat="1" hidden="1" x14ac:dyDescent="0.25">
      <c r="A155" s="328" t="s">
        <v>15</v>
      </c>
      <c r="B155" s="328"/>
      <c r="C155" s="295"/>
      <c r="D155" s="15">
        <v>51</v>
      </c>
      <c r="E155" s="15">
        <v>3</v>
      </c>
      <c r="F155" s="15">
        <v>851</v>
      </c>
      <c r="G155" s="10"/>
      <c r="H155" s="19"/>
      <c r="I155" s="19"/>
      <c r="J155" s="10"/>
      <c r="K155" s="11">
        <f>K156</f>
        <v>15000</v>
      </c>
      <c r="L155" s="11">
        <f t="shared" si="169"/>
        <v>0</v>
      </c>
      <c r="M155" s="11">
        <f t="shared" si="169"/>
        <v>15000</v>
      </c>
      <c r="N155" s="11">
        <f t="shared" si="169"/>
        <v>0</v>
      </c>
      <c r="O155" s="11">
        <f t="shared" si="169"/>
        <v>15000</v>
      </c>
      <c r="P155" s="11">
        <f t="shared" si="169"/>
        <v>0</v>
      </c>
      <c r="Q155" s="11">
        <f t="shared" si="169"/>
        <v>15000</v>
      </c>
      <c r="R155" s="11">
        <f t="shared" si="169"/>
        <v>0</v>
      </c>
      <c r="S155" s="11">
        <f t="shared" si="169"/>
        <v>15000</v>
      </c>
      <c r="T155" s="11"/>
      <c r="U155" s="11"/>
      <c r="V155" s="165"/>
      <c r="W155" s="11">
        <f t="shared" si="169"/>
        <v>0</v>
      </c>
      <c r="X155" s="2">
        <f t="shared" si="161"/>
        <v>15000</v>
      </c>
      <c r="Z155" s="8"/>
    </row>
    <row r="156" spans="1:26" s="5" customFormat="1" ht="25.5" hidden="1" customHeight="1" x14ac:dyDescent="0.25">
      <c r="A156" s="324" t="s">
        <v>94</v>
      </c>
      <c r="B156" s="324"/>
      <c r="C156" s="291"/>
      <c r="D156" s="173">
        <v>51</v>
      </c>
      <c r="E156" s="173">
        <v>3</v>
      </c>
      <c r="F156" s="173">
        <v>851</v>
      </c>
      <c r="G156" s="1" t="s">
        <v>83</v>
      </c>
      <c r="H156" s="1" t="s">
        <v>6</v>
      </c>
      <c r="I156" s="1" t="s">
        <v>329</v>
      </c>
      <c r="J156" s="1"/>
      <c r="K156" s="2">
        <f t="shared" ref="K156:W157" si="170">K157</f>
        <v>15000</v>
      </c>
      <c r="L156" s="2">
        <f t="shared" si="170"/>
        <v>0</v>
      </c>
      <c r="M156" s="2">
        <f t="shared" si="170"/>
        <v>15000</v>
      </c>
      <c r="N156" s="2">
        <f t="shared" si="170"/>
        <v>0</v>
      </c>
      <c r="O156" s="2">
        <f t="shared" si="170"/>
        <v>15000</v>
      </c>
      <c r="P156" s="2">
        <f t="shared" si="170"/>
        <v>0</v>
      </c>
      <c r="Q156" s="2">
        <f t="shared" si="170"/>
        <v>15000</v>
      </c>
      <c r="R156" s="2">
        <f t="shared" si="170"/>
        <v>0</v>
      </c>
      <c r="S156" s="2">
        <f t="shared" si="170"/>
        <v>15000</v>
      </c>
      <c r="T156" s="2"/>
      <c r="U156" s="2"/>
      <c r="V156" s="95"/>
      <c r="W156" s="2">
        <f t="shared" si="170"/>
        <v>0</v>
      </c>
      <c r="X156" s="2">
        <f t="shared" si="161"/>
        <v>15000</v>
      </c>
      <c r="Z156" s="8"/>
    </row>
    <row r="157" spans="1:26" s="5" customFormat="1" ht="25.5" hidden="1" customHeight="1" x14ac:dyDescent="0.25">
      <c r="A157" s="14"/>
      <c r="B157" s="291" t="s">
        <v>27</v>
      </c>
      <c r="C157" s="301"/>
      <c r="D157" s="173">
        <v>51</v>
      </c>
      <c r="E157" s="173">
        <v>3</v>
      </c>
      <c r="F157" s="173">
        <v>851</v>
      </c>
      <c r="G157" s="1" t="s">
        <v>83</v>
      </c>
      <c r="H157" s="1" t="s">
        <v>6</v>
      </c>
      <c r="I157" s="1" t="s">
        <v>329</v>
      </c>
      <c r="J157" s="1" t="s">
        <v>28</v>
      </c>
      <c r="K157" s="2">
        <f t="shared" si="170"/>
        <v>15000</v>
      </c>
      <c r="L157" s="2">
        <f t="shared" si="170"/>
        <v>0</v>
      </c>
      <c r="M157" s="2">
        <f t="shared" si="170"/>
        <v>15000</v>
      </c>
      <c r="N157" s="2">
        <f t="shared" si="170"/>
        <v>0</v>
      </c>
      <c r="O157" s="2">
        <f t="shared" si="170"/>
        <v>15000</v>
      </c>
      <c r="P157" s="2">
        <f t="shared" si="170"/>
        <v>0</v>
      </c>
      <c r="Q157" s="2">
        <f t="shared" si="170"/>
        <v>15000</v>
      </c>
      <c r="R157" s="2">
        <f t="shared" si="170"/>
        <v>0</v>
      </c>
      <c r="S157" s="2">
        <f t="shared" si="170"/>
        <v>15000</v>
      </c>
      <c r="T157" s="2"/>
      <c r="U157" s="2"/>
      <c r="V157" s="95"/>
      <c r="W157" s="2">
        <f t="shared" si="170"/>
        <v>0</v>
      </c>
      <c r="X157" s="2">
        <f t="shared" si="161"/>
        <v>15000</v>
      </c>
      <c r="Z157" s="8"/>
    </row>
    <row r="158" spans="1:26" s="5" customFormat="1" ht="26.25" hidden="1" customHeight="1" x14ac:dyDescent="0.25">
      <c r="A158" s="14"/>
      <c r="B158" s="303" t="s">
        <v>29</v>
      </c>
      <c r="C158" s="291"/>
      <c r="D158" s="173">
        <v>51</v>
      </c>
      <c r="E158" s="173">
        <v>3</v>
      </c>
      <c r="F158" s="173">
        <v>851</v>
      </c>
      <c r="G158" s="1" t="s">
        <v>83</v>
      </c>
      <c r="H158" s="1" t="s">
        <v>6</v>
      </c>
      <c r="I158" s="1" t="s">
        <v>329</v>
      </c>
      <c r="J158" s="1" t="s">
        <v>30</v>
      </c>
      <c r="K158" s="2">
        <f>'[2]6 Вед15'!J188</f>
        <v>15000</v>
      </c>
      <c r="L158" s="95">
        <f>'[2]6 Вед15'!K188</f>
        <v>0</v>
      </c>
      <c r="M158" s="2">
        <f t="shared" si="99"/>
        <v>15000</v>
      </c>
      <c r="N158" s="95">
        <f>'[2]6 Вед15'!M188</f>
        <v>0</v>
      </c>
      <c r="O158" s="2">
        <f t="shared" si="95"/>
        <v>15000</v>
      </c>
      <c r="P158" s="95">
        <f>'[2]6 Вед15'!O188</f>
        <v>0</v>
      </c>
      <c r="Q158" s="2">
        <f t="shared" ref="Q158" si="171">O158+P158</f>
        <v>15000</v>
      </c>
      <c r="R158" s="95">
        <f>'[2]6 Вед15'!Q188</f>
        <v>0</v>
      </c>
      <c r="S158" s="2">
        <f t="shared" ref="S158" si="172">Q158+R158</f>
        <v>15000</v>
      </c>
      <c r="T158" s="95"/>
      <c r="U158" s="95"/>
      <c r="V158" s="95"/>
      <c r="W158" s="2">
        <f>'[2]6 Вед15'!V188</f>
        <v>0</v>
      </c>
      <c r="X158" s="2">
        <f t="shared" si="161"/>
        <v>15000</v>
      </c>
      <c r="Z158" s="8"/>
    </row>
    <row r="159" spans="1:26" s="12" customFormat="1" ht="22.5" hidden="1" customHeight="1" x14ac:dyDescent="0.25">
      <c r="A159" s="328" t="s">
        <v>495</v>
      </c>
      <c r="B159" s="328"/>
      <c r="C159" s="295"/>
      <c r="D159" s="15">
        <v>51</v>
      </c>
      <c r="E159" s="15">
        <v>4</v>
      </c>
      <c r="F159" s="15"/>
      <c r="G159" s="10"/>
      <c r="H159" s="19"/>
      <c r="I159" s="19"/>
      <c r="J159" s="10"/>
      <c r="K159" s="11">
        <f>K160</f>
        <v>544000</v>
      </c>
      <c r="L159" s="11">
        <f t="shared" ref="L159:W159" si="173">L160</f>
        <v>0</v>
      </c>
      <c r="M159" s="11">
        <f t="shared" si="173"/>
        <v>544000</v>
      </c>
      <c r="N159" s="11">
        <f t="shared" si="173"/>
        <v>0</v>
      </c>
      <c r="O159" s="11">
        <f t="shared" si="173"/>
        <v>544000</v>
      </c>
      <c r="P159" s="11">
        <f t="shared" si="173"/>
        <v>0</v>
      </c>
      <c r="Q159" s="11">
        <f t="shared" si="173"/>
        <v>544000</v>
      </c>
      <c r="R159" s="11">
        <f t="shared" si="173"/>
        <v>0</v>
      </c>
      <c r="S159" s="11">
        <f t="shared" si="173"/>
        <v>544000</v>
      </c>
      <c r="T159" s="11"/>
      <c r="U159" s="11"/>
      <c r="V159" s="165"/>
      <c r="W159" s="11">
        <f t="shared" si="173"/>
        <v>0</v>
      </c>
      <c r="X159" s="2">
        <f t="shared" si="161"/>
        <v>544000</v>
      </c>
      <c r="Z159" s="8"/>
    </row>
    <row r="160" spans="1:26" s="12" customFormat="1" hidden="1" x14ac:dyDescent="0.25">
      <c r="A160" s="328" t="s">
        <v>15</v>
      </c>
      <c r="B160" s="328"/>
      <c r="C160" s="295"/>
      <c r="D160" s="15">
        <v>51</v>
      </c>
      <c r="E160" s="15">
        <v>4</v>
      </c>
      <c r="F160" s="15">
        <v>851</v>
      </c>
      <c r="G160" s="10"/>
      <c r="H160" s="19"/>
      <c r="I160" s="19"/>
      <c r="J160" s="10"/>
      <c r="K160" s="11">
        <f>K161+K164</f>
        <v>544000</v>
      </c>
      <c r="L160" s="11">
        <f t="shared" ref="L160:S160" si="174">L161+L164</f>
        <v>0</v>
      </c>
      <c r="M160" s="11">
        <f t="shared" si="174"/>
        <v>544000</v>
      </c>
      <c r="N160" s="11">
        <f t="shared" si="174"/>
        <v>0</v>
      </c>
      <c r="O160" s="11">
        <f t="shared" si="174"/>
        <v>544000</v>
      </c>
      <c r="P160" s="11">
        <f t="shared" si="174"/>
        <v>0</v>
      </c>
      <c r="Q160" s="11">
        <f t="shared" si="174"/>
        <v>544000</v>
      </c>
      <c r="R160" s="11">
        <f t="shared" si="174"/>
        <v>0</v>
      </c>
      <c r="S160" s="11">
        <f t="shared" si="174"/>
        <v>544000</v>
      </c>
      <c r="T160" s="11"/>
      <c r="U160" s="11"/>
      <c r="V160" s="165"/>
      <c r="W160" s="11">
        <f t="shared" ref="W160" si="175">W161+W164</f>
        <v>0</v>
      </c>
      <c r="X160" s="2">
        <f t="shared" si="161"/>
        <v>544000</v>
      </c>
      <c r="Z160" s="8"/>
    </row>
    <row r="161" spans="1:26" s="23" customFormat="1" hidden="1" x14ac:dyDescent="0.25">
      <c r="A161" s="324" t="s">
        <v>109</v>
      </c>
      <c r="B161" s="324"/>
      <c r="C161" s="291"/>
      <c r="D161" s="173">
        <v>51</v>
      </c>
      <c r="E161" s="173">
        <v>4</v>
      </c>
      <c r="F161" s="173">
        <v>851</v>
      </c>
      <c r="G161" s="1" t="s">
        <v>38</v>
      </c>
      <c r="H161" s="1" t="s">
        <v>72</v>
      </c>
      <c r="I161" s="1" t="s">
        <v>333</v>
      </c>
      <c r="J161" s="1"/>
      <c r="K161" s="2">
        <f t="shared" ref="K161:W162" si="176">K162</f>
        <v>260000</v>
      </c>
      <c r="L161" s="2">
        <f t="shared" si="176"/>
        <v>0</v>
      </c>
      <c r="M161" s="2">
        <f t="shared" si="176"/>
        <v>260000</v>
      </c>
      <c r="N161" s="2">
        <f t="shared" si="176"/>
        <v>0</v>
      </c>
      <c r="O161" s="2">
        <f t="shared" si="176"/>
        <v>260000</v>
      </c>
      <c r="P161" s="2">
        <f t="shared" si="176"/>
        <v>0</v>
      </c>
      <c r="Q161" s="2">
        <f t="shared" si="176"/>
        <v>260000</v>
      </c>
      <c r="R161" s="2">
        <f t="shared" si="176"/>
        <v>0</v>
      </c>
      <c r="S161" s="2">
        <f t="shared" si="176"/>
        <v>260000</v>
      </c>
      <c r="T161" s="2"/>
      <c r="U161" s="2"/>
      <c r="V161" s="95"/>
      <c r="W161" s="2">
        <f t="shared" si="176"/>
        <v>0</v>
      </c>
      <c r="X161" s="2">
        <f t="shared" si="161"/>
        <v>260000</v>
      </c>
      <c r="Z161" s="8"/>
    </row>
    <row r="162" spans="1:26" s="5" customFormat="1" ht="24" hidden="1" customHeight="1" x14ac:dyDescent="0.25">
      <c r="A162" s="14"/>
      <c r="B162" s="303" t="s">
        <v>27</v>
      </c>
      <c r="C162" s="301"/>
      <c r="D162" s="173">
        <v>51</v>
      </c>
      <c r="E162" s="173">
        <v>4</v>
      </c>
      <c r="F162" s="173">
        <v>851</v>
      </c>
      <c r="G162" s="1" t="s">
        <v>38</v>
      </c>
      <c r="H162" s="1" t="s">
        <v>72</v>
      </c>
      <c r="I162" s="1" t="s">
        <v>333</v>
      </c>
      <c r="J162" s="1" t="s">
        <v>28</v>
      </c>
      <c r="K162" s="2">
        <f t="shared" si="176"/>
        <v>260000</v>
      </c>
      <c r="L162" s="2">
        <f t="shared" si="176"/>
        <v>0</v>
      </c>
      <c r="M162" s="2">
        <f t="shared" si="176"/>
        <v>260000</v>
      </c>
      <c r="N162" s="2">
        <f t="shared" si="176"/>
        <v>0</v>
      </c>
      <c r="O162" s="2">
        <f t="shared" si="176"/>
        <v>260000</v>
      </c>
      <c r="P162" s="2">
        <f t="shared" si="176"/>
        <v>0</v>
      </c>
      <c r="Q162" s="2">
        <f t="shared" si="176"/>
        <v>260000</v>
      </c>
      <c r="R162" s="2">
        <f t="shared" si="176"/>
        <v>0</v>
      </c>
      <c r="S162" s="2">
        <f t="shared" si="176"/>
        <v>260000</v>
      </c>
      <c r="T162" s="2"/>
      <c r="U162" s="2"/>
      <c r="V162" s="95"/>
      <c r="W162" s="2">
        <f t="shared" si="176"/>
        <v>0</v>
      </c>
      <c r="X162" s="2">
        <f t="shared" si="161"/>
        <v>260000</v>
      </c>
      <c r="Z162" s="8"/>
    </row>
    <row r="163" spans="1:26" s="5" customFormat="1" ht="25.5" hidden="1" customHeight="1" x14ac:dyDescent="0.25">
      <c r="A163" s="14"/>
      <c r="B163" s="303" t="s">
        <v>29</v>
      </c>
      <c r="C163" s="291"/>
      <c r="D163" s="173">
        <v>51</v>
      </c>
      <c r="E163" s="173">
        <v>4</v>
      </c>
      <c r="F163" s="173">
        <v>851</v>
      </c>
      <c r="G163" s="1" t="s">
        <v>38</v>
      </c>
      <c r="H163" s="1" t="s">
        <v>72</v>
      </c>
      <c r="I163" s="1" t="s">
        <v>333</v>
      </c>
      <c r="J163" s="1" t="s">
        <v>30</v>
      </c>
      <c r="K163" s="2">
        <f>'[2]6 Вед15'!J218</f>
        <v>260000</v>
      </c>
      <c r="L163" s="95">
        <f>'[2]6 Вед15'!K218</f>
        <v>0</v>
      </c>
      <c r="M163" s="2">
        <f t="shared" ref="M163:M236" si="177">K163+L163</f>
        <v>260000</v>
      </c>
      <c r="N163" s="95">
        <f>'[2]6 Вед15'!M218</f>
        <v>0</v>
      </c>
      <c r="O163" s="2">
        <f t="shared" ref="O163:O236" si="178">M163+N163</f>
        <v>260000</v>
      </c>
      <c r="P163" s="95">
        <f>'[2]6 Вед15'!O218</f>
        <v>0</v>
      </c>
      <c r="Q163" s="2">
        <f t="shared" ref="Q163" si="179">O163+P163</f>
        <v>260000</v>
      </c>
      <c r="R163" s="95">
        <f>'[2]6 Вед15'!Q218</f>
        <v>0</v>
      </c>
      <c r="S163" s="2">
        <f t="shared" ref="S163" si="180">Q163+R163</f>
        <v>260000</v>
      </c>
      <c r="T163" s="95"/>
      <c r="U163" s="95"/>
      <c r="V163" s="95"/>
      <c r="W163" s="2">
        <f>'[2]6 Вед15'!V218</f>
        <v>0</v>
      </c>
      <c r="X163" s="2">
        <f t="shared" si="161"/>
        <v>260000</v>
      </c>
      <c r="Z163" s="8"/>
    </row>
    <row r="164" spans="1:26" s="5" customFormat="1" ht="36.75" hidden="1" customHeight="1" x14ac:dyDescent="0.25">
      <c r="A164" s="324" t="s">
        <v>444</v>
      </c>
      <c r="B164" s="324"/>
      <c r="C164" s="305"/>
      <c r="D164" s="62">
        <v>51</v>
      </c>
      <c r="E164" s="173">
        <v>4</v>
      </c>
      <c r="F164" s="173">
        <v>851</v>
      </c>
      <c r="G164" s="1" t="s">
        <v>38</v>
      </c>
      <c r="H164" s="1" t="s">
        <v>72</v>
      </c>
      <c r="I164" s="1" t="s">
        <v>452</v>
      </c>
      <c r="J164" s="1"/>
      <c r="K164" s="2">
        <f t="shared" ref="K164:W165" si="181">K165</f>
        <v>284000</v>
      </c>
      <c r="L164" s="2">
        <f t="shared" si="181"/>
        <v>0</v>
      </c>
      <c r="M164" s="2">
        <f t="shared" si="181"/>
        <v>284000</v>
      </c>
      <c r="N164" s="2">
        <f t="shared" si="181"/>
        <v>0</v>
      </c>
      <c r="O164" s="2">
        <f t="shared" si="181"/>
        <v>284000</v>
      </c>
      <c r="P164" s="2">
        <f t="shared" si="181"/>
        <v>0</v>
      </c>
      <c r="Q164" s="2">
        <f t="shared" si="181"/>
        <v>284000</v>
      </c>
      <c r="R164" s="2">
        <f t="shared" si="181"/>
        <v>0</v>
      </c>
      <c r="S164" s="2">
        <f t="shared" si="181"/>
        <v>284000</v>
      </c>
      <c r="T164" s="2"/>
      <c r="U164" s="2"/>
      <c r="V164" s="95"/>
      <c r="W164" s="2">
        <f t="shared" si="181"/>
        <v>0</v>
      </c>
      <c r="X164" s="2">
        <f t="shared" si="161"/>
        <v>284000</v>
      </c>
      <c r="Z164" s="8"/>
    </row>
    <row r="165" spans="1:26" s="5" customFormat="1" ht="24" hidden="1" customHeight="1" x14ac:dyDescent="0.25">
      <c r="A165" s="14"/>
      <c r="B165" s="303" t="s">
        <v>27</v>
      </c>
      <c r="C165" s="305"/>
      <c r="D165" s="62">
        <v>51</v>
      </c>
      <c r="E165" s="173">
        <v>4</v>
      </c>
      <c r="F165" s="173">
        <v>851</v>
      </c>
      <c r="G165" s="1" t="s">
        <v>38</v>
      </c>
      <c r="H165" s="1" t="s">
        <v>72</v>
      </c>
      <c r="I165" s="1" t="s">
        <v>452</v>
      </c>
      <c r="J165" s="1" t="s">
        <v>28</v>
      </c>
      <c r="K165" s="2">
        <f t="shared" si="181"/>
        <v>284000</v>
      </c>
      <c r="L165" s="2">
        <f t="shared" si="181"/>
        <v>0</v>
      </c>
      <c r="M165" s="2">
        <f t="shared" si="181"/>
        <v>284000</v>
      </c>
      <c r="N165" s="2">
        <f t="shared" si="181"/>
        <v>0</v>
      </c>
      <c r="O165" s="2">
        <f t="shared" si="181"/>
        <v>284000</v>
      </c>
      <c r="P165" s="2">
        <f t="shared" si="181"/>
        <v>0</v>
      </c>
      <c r="Q165" s="2">
        <f t="shared" si="181"/>
        <v>284000</v>
      </c>
      <c r="R165" s="2">
        <f t="shared" si="181"/>
        <v>0</v>
      </c>
      <c r="S165" s="2">
        <f t="shared" si="181"/>
        <v>284000</v>
      </c>
      <c r="T165" s="2"/>
      <c r="U165" s="2"/>
      <c r="V165" s="95"/>
      <c r="W165" s="2">
        <f t="shared" si="181"/>
        <v>0</v>
      </c>
      <c r="X165" s="2">
        <f t="shared" si="161"/>
        <v>284000</v>
      </c>
      <c r="Z165" s="8"/>
    </row>
    <row r="166" spans="1:26" s="5" customFormat="1" ht="24" hidden="1" x14ac:dyDescent="0.25">
      <c r="A166" s="14"/>
      <c r="B166" s="303" t="s">
        <v>29</v>
      </c>
      <c r="C166" s="305"/>
      <c r="D166" s="62">
        <v>51</v>
      </c>
      <c r="E166" s="173">
        <v>4</v>
      </c>
      <c r="F166" s="173">
        <v>851</v>
      </c>
      <c r="G166" s="1" t="s">
        <v>38</v>
      </c>
      <c r="H166" s="1" t="s">
        <v>72</v>
      </c>
      <c r="I166" s="1" t="s">
        <v>452</v>
      </c>
      <c r="J166" s="1" t="s">
        <v>30</v>
      </c>
      <c r="K166" s="2">
        <f>'[2]6 Вед15'!J221</f>
        <v>284000</v>
      </c>
      <c r="L166" s="95">
        <f>'[2]6 Вед15'!K221</f>
        <v>0</v>
      </c>
      <c r="M166" s="2">
        <f t="shared" si="177"/>
        <v>284000</v>
      </c>
      <c r="N166" s="95">
        <f>'[2]6 Вед15'!M221</f>
        <v>0</v>
      </c>
      <c r="O166" s="2">
        <f t="shared" si="178"/>
        <v>284000</v>
      </c>
      <c r="P166" s="95">
        <f>'[2]6 Вед15'!O221</f>
        <v>0</v>
      </c>
      <c r="Q166" s="2">
        <f t="shared" ref="Q166" si="182">O166+P166</f>
        <v>284000</v>
      </c>
      <c r="R166" s="95">
        <f>'[2]6 Вед15'!Q221</f>
        <v>0</v>
      </c>
      <c r="S166" s="2">
        <f t="shared" ref="S166" si="183">Q166+R166</f>
        <v>284000</v>
      </c>
      <c r="T166" s="95"/>
      <c r="U166" s="95"/>
      <c r="V166" s="95"/>
      <c r="W166" s="2">
        <f>'[2]6 Вед15'!V221</f>
        <v>0</v>
      </c>
      <c r="X166" s="2">
        <f t="shared" si="161"/>
        <v>284000</v>
      </c>
      <c r="Z166" s="8"/>
    </row>
    <row r="167" spans="1:26" s="12" customFormat="1" ht="14.25" customHeight="1" x14ac:dyDescent="0.25">
      <c r="A167" s="328" t="s">
        <v>496</v>
      </c>
      <c r="B167" s="328"/>
      <c r="C167" s="295"/>
      <c r="D167" s="15">
        <v>51</v>
      </c>
      <c r="E167" s="15">
        <v>5</v>
      </c>
      <c r="F167" s="15"/>
      <c r="G167" s="10"/>
      <c r="H167" s="19"/>
      <c r="I167" s="19"/>
      <c r="J167" s="10"/>
      <c r="K167" s="11">
        <f>K168</f>
        <v>10868575</v>
      </c>
      <c r="L167" s="11">
        <f t="shared" ref="L167:W167" si="184">L168</f>
        <v>0</v>
      </c>
      <c r="M167" s="11">
        <f t="shared" si="184"/>
        <v>10868575</v>
      </c>
      <c r="N167" s="11">
        <f t="shared" si="184"/>
        <v>115000</v>
      </c>
      <c r="O167" s="11">
        <f t="shared" si="184"/>
        <v>10983575</v>
      </c>
      <c r="P167" s="11">
        <f t="shared" si="184"/>
        <v>0</v>
      </c>
      <c r="Q167" s="11">
        <f t="shared" si="184"/>
        <v>10983575</v>
      </c>
      <c r="R167" s="11">
        <f t="shared" si="184"/>
        <v>14484</v>
      </c>
      <c r="S167" s="11">
        <f t="shared" si="184"/>
        <v>10998059</v>
      </c>
      <c r="T167" s="11"/>
      <c r="U167" s="11"/>
      <c r="V167" s="165"/>
      <c r="W167" s="11">
        <f t="shared" si="184"/>
        <v>-25000</v>
      </c>
      <c r="X167" s="2">
        <f t="shared" si="161"/>
        <v>10973059</v>
      </c>
      <c r="Z167" s="8"/>
    </row>
    <row r="168" spans="1:26" s="12" customFormat="1" x14ac:dyDescent="0.25">
      <c r="A168" s="328" t="s">
        <v>15</v>
      </c>
      <c r="B168" s="328"/>
      <c r="C168" s="295"/>
      <c r="D168" s="15">
        <v>51</v>
      </c>
      <c r="E168" s="15">
        <v>5</v>
      </c>
      <c r="F168" s="15">
        <v>851</v>
      </c>
      <c r="G168" s="10"/>
      <c r="H168" s="19"/>
      <c r="I168" s="19"/>
      <c r="J168" s="10"/>
      <c r="K168" s="11">
        <f>K169+K172+K177</f>
        <v>10868575</v>
      </c>
      <c r="L168" s="11">
        <f t="shared" ref="L168:S168" si="185">L169+L172+L177</f>
        <v>0</v>
      </c>
      <c r="M168" s="11">
        <f t="shared" si="185"/>
        <v>10868575</v>
      </c>
      <c r="N168" s="11">
        <f t="shared" si="185"/>
        <v>115000</v>
      </c>
      <c r="O168" s="11">
        <f t="shared" si="185"/>
        <v>10983575</v>
      </c>
      <c r="P168" s="11">
        <f t="shared" si="185"/>
        <v>0</v>
      </c>
      <c r="Q168" s="11">
        <f t="shared" si="185"/>
        <v>10983575</v>
      </c>
      <c r="R168" s="11">
        <f t="shared" si="185"/>
        <v>14484</v>
      </c>
      <c r="S168" s="11">
        <f t="shared" si="185"/>
        <v>10998059</v>
      </c>
      <c r="T168" s="11"/>
      <c r="U168" s="11"/>
      <c r="V168" s="165"/>
      <c r="W168" s="11">
        <f t="shared" ref="W168" si="186">W169+W172+W177</f>
        <v>-25000</v>
      </c>
      <c r="X168" s="2">
        <f t="shared" si="161"/>
        <v>10973059</v>
      </c>
      <c r="Z168" s="8"/>
    </row>
    <row r="169" spans="1:26" s="5" customFormat="1" ht="37.5" hidden="1" customHeight="1" x14ac:dyDescent="0.25">
      <c r="A169" s="324" t="s">
        <v>97</v>
      </c>
      <c r="B169" s="324"/>
      <c r="C169" s="291"/>
      <c r="D169" s="173">
        <v>51</v>
      </c>
      <c r="E169" s="173">
        <v>5</v>
      </c>
      <c r="F169" s="173">
        <v>851</v>
      </c>
      <c r="G169" s="1" t="s">
        <v>0</v>
      </c>
      <c r="H169" s="1" t="s">
        <v>17</v>
      </c>
      <c r="I169" s="1" t="s">
        <v>330</v>
      </c>
      <c r="J169" s="1"/>
      <c r="K169" s="2">
        <f t="shared" ref="K169:W170" si="187">K170</f>
        <v>2587000</v>
      </c>
      <c r="L169" s="2">
        <f t="shared" si="187"/>
        <v>0</v>
      </c>
      <c r="M169" s="2">
        <f t="shared" si="187"/>
        <v>2587000</v>
      </c>
      <c r="N169" s="2">
        <f t="shared" si="187"/>
        <v>115000</v>
      </c>
      <c r="O169" s="2">
        <f t="shared" si="187"/>
        <v>2702000</v>
      </c>
      <c r="P169" s="2">
        <f t="shared" si="187"/>
        <v>0</v>
      </c>
      <c r="Q169" s="2">
        <f t="shared" si="187"/>
        <v>2702000</v>
      </c>
      <c r="R169" s="2">
        <f t="shared" si="187"/>
        <v>14484</v>
      </c>
      <c r="S169" s="2">
        <f t="shared" si="187"/>
        <v>2716484</v>
      </c>
      <c r="T169" s="2"/>
      <c r="U169" s="2"/>
      <c r="V169" s="95"/>
      <c r="W169" s="2">
        <f t="shared" si="187"/>
        <v>0</v>
      </c>
      <c r="X169" s="2">
        <f t="shared" si="161"/>
        <v>2716484</v>
      </c>
      <c r="Z169" s="8"/>
    </row>
    <row r="170" spans="1:26" s="5" customFormat="1" ht="12.75" hidden="1" customHeight="1" x14ac:dyDescent="0.25">
      <c r="A170" s="299"/>
      <c r="B170" s="301" t="s">
        <v>98</v>
      </c>
      <c r="C170" s="301"/>
      <c r="D170" s="173">
        <v>51</v>
      </c>
      <c r="E170" s="173">
        <v>5</v>
      </c>
      <c r="F170" s="173">
        <v>851</v>
      </c>
      <c r="G170" s="1" t="s">
        <v>0</v>
      </c>
      <c r="H170" s="1" t="s">
        <v>17</v>
      </c>
      <c r="I170" s="1" t="s">
        <v>330</v>
      </c>
      <c r="J170" s="1" t="s">
        <v>99</v>
      </c>
      <c r="K170" s="2">
        <f t="shared" si="187"/>
        <v>2587000</v>
      </c>
      <c r="L170" s="2">
        <f t="shared" si="187"/>
        <v>0</v>
      </c>
      <c r="M170" s="2">
        <f t="shared" si="187"/>
        <v>2587000</v>
      </c>
      <c r="N170" s="2">
        <f t="shared" si="187"/>
        <v>115000</v>
      </c>
      <c r="O170" s="2">
        <f t="shared" si="187"/>
        <v>2702000</v>
      </c>
      <c r="P170" s="2">
        <f t="shared" si="187"/>
        <v>0</v>
      </c>
      <c r="Q170" s="2">
        <f t="shared" si="187"/>
        <v>2702000</v>
      </c>
      <c r="R170" s="2">
        <f t="shared" si="187"/>
        <v>14484</v>
      </c>
      <c r="S170" s="2">
        <f t="shared" si="187"/>
        <v>2716484</v>
      </c>
      <c r="T170" s="2"/>
      <c r="U170" s="2"/>
      <c r="V170" s="95"/>
      <c r="W170" s="2">
        <f t="shared" si="187"/>
        <v>0</v>
      </c>
      <c r="X170" s="2">
        <f t="shared" si="161"/>
        <v>2716484</v>
      </c>
      <c r="Z170" s="8"/>
    </row>
    <row r="171" spans="1:26" s="5" customFormat="1" ht="24.75" hidden="1" customHeight="1" x14ac:dyDescent="0.25">
      <c r="A171" s="299"/>
      <c r="B171" s="301" t="s">
        <v>132</v>
      </c>
      <c r="C171" s="301"/>
      <c r="D171" s="173">
        <v>51</v>
      </c>
      <c r="E171" s="173">
        <v>5</v>
      </c>
      <c r="F171" s="173">
        <v>851</v>
      </c>
      <c r="G171" s="1" t="s">
        <v>0</v>
      </c>
      <c r="H171" s="1" t="s">
        <v>17</v>
      </c>
      <c r="I171" s="1" t="s">
        <v>330</v>
      </c>
      <c r="J171" s="1" t="s">
        <v>100</v>
      </c>
      <c r="K171" s="2">
        <f>'[2]6 Вед15'!J193</f>
        <v>2587000</v>
      </c>
      <c r="L171" s="95">
        <f>'[2]6 Вед15'!K193</f>
        <v>0</v>
      </c>
      <c r="M171" s="2">
        <f t="shared" si="177"/>
        <v>2587000</v>
      </c>
      <c r="N171" s="95">
        <f>'[2]6 Вед15'!M193</f>
        <v>115000</v>
      </c>
      <c r="O171" s="2">
        <f t="shared" si="178"/>
        <v>2702000</v>
      </c>
      <c r="P171" s="95">
        <f>'[2]6 Вед15'!O193</f>
        <v>0</v>
      </c>
      <c r="Q171" s="2">
        <f t="shared" ref="Q171" si="188">O171+P171</f>
        <v>2702000</v>
      </c>
      <c r="R171" s="95">
        <f>'[2]6 Вед15'!Q193</f>
        <v>14484</v>
      </c>
      <c r="S171" s="2">
        <f t="shared" ref="S171" si="189">Q171+R171</f>
        <v>2716484</v>
      </c>
      <c r="T171" s="95"/>
      <c r="U171" s="95"/>
      <c r="V171" s="95"/>
      <c r="W171" s="2">
        <f>'[2]6 Вед15'!V193</f>
        <v>0</v>
      </c>
      <c r="X171" s="2">
        <f t="shared" si="161"/>
        <v>2716484</v>
      </c>
      <c r="Z171" s="8"/>
    </row>
    <row r="172" spans="1:26" s="5" customFormat="1" ht="14.25" customHeight="1" x14ac:dyDescent="0.25">
      <c r="A172" s="324" t="s">
        <v>106</v>
      </c>
      <c r="B172" s="324"/>
      <c r="C172" s="291"/>
      <c r="D172" s="173">
        <v>51</v>
      </c>
      <c r="E172" s="173">
        <v>5</v>
      </c>
      <c r="F172" s="173">
        <v>851</v>
      </c>
      <c r="G172" s="1" t="s">
        <v>0</v>
      </c>
      <c r="H172" s="1" t="s">
        <v>1</v>
      </c>
      <c r="I172" s="1" t="s">
        <v>332</v>
      </c>
      <c r="J172" s="1"/>
      <c r="K172" s="2">
        <f t="shared" ref="K172:S172" si="190">K173+K175</f>
        <v>270000</v>
      </c>
      <c r="L172" s="2">
        <f t="shared" si="190"/>
        <v>0</v>
      </c>
      <c r="M172" s="2">
        <f t="shared" si="190"/>
        <v>270000</v>
      </c>
      <c r="N172" s="2">
        <f t="shared" si="190"/>
        <v>0</v>
      </c>
      <c r="O172" s="2">
        <f t="shared" si="190"/>
        <v>270000</v>
      </c>
      <c r="P172" s="2">
        <f t="shared" si="190"/>
        <v>0</v>
      </c>
      <c r="Q172" s="2">
        <f t="shared" si="190"/>
        <v>270000</v>
      </c>
      <c r="R172" s="2">
        <f t="shared" si="190"/>
        <v>0</v>
      </c>
      <c r="S172" s="2">
        <f t="shared" si="190"/>
        <v>270000</v>
      </c>
      <c r="T172" s="2"/>
      <c r="U172" s="2"/>
      <c r="V172" s="95"/>
      <c r="W172" s="2">
        <f t="shared" ref="W172" si="191">W173+W175</f>
        <v>-25000</v>
      </c>
      <c r="X172" s="2">
        <f t="shared" si="161"/>
        <v>245000</v>
      </c>
      <c r="Z172" s="8"/>
    </row>
    <row r="173" spans="1:26" s="5" customFormat="1" ht="24.75" hidden="1" customHeight="1" x14ac:dyDescent="0.25">
      <c r="A173" s="14"/>
      <c r="B173" s="291" t="s">
        <v>27</v>
      </c>
      <c r="C173" s="301"/>
      <c r="D173" s="173">
        <v>51</v>
      </c>
      <c r="E173" s="173">
        <v>5</v>
      </c>
      <c r="F173" s="173">
        <v>851</v>
      </c>
      <c r="G173" s="17" t="s">
        <v>0</v>
      </c>
      <c r="H173" s="1" t="s">
        <v>1</v>
      </c>
      <c r="I173" s="1" t="s">
        <v>332</v>
      </c>
      <c r="J173" s="1" t="s">
        <v>28</v>
      </c>
      <c r="K173" s="2">
        <f t="shared" ref="K173:W173" si="192">K174</f>
        <v>90000</v>
      </c>
      <c r="L173" s="2">
        <f t="shared" si="192"/>
        <v>0</v>
      </c>
      <c r="M173" s="2">
        <f t="shared" si="192"/>
        <v>90000</v>
      </c>
      <c r="N173" s="2">
        <f t="shared" si="192"/>
        <v>0</v>
      </c>
      <c r="O173" s="2">
        <f t="shared" si="192"/>
        <v>90000</v>
      </c>
      <c r="P173" s="2">
        <f t="shared" si="192"/>
        <v>0</v>
      </c>
      <c r="Q173" s="2">
        <f t="shared" si="192"/>
        <v>90000</v>
      </c>
      <c r="R173" s="2">
        <f t="shared" si="192"/>
        <v>0</v>
      </c>
      <c r="S173" s="2">
        <f t="shared" si="192"/>
        <v>90000</v>
      </c>
      <c r="T173" s="2"/>
      <c r="U173" s="2"/>
      <c r="V173" s="95"/>
      <c r="W173" s="2">
        <f t="shared" si="192"/>
        <v>0</v>
      </c>
      <c r="X173" s="2">
        <f t="shared" si="161"/>
        <v>90000</v>
      </c>
      <c r="Z173" s="8"/>
    </row>
    <row r="174" spans="1:26" s="5" customFormat="1" ht="27" hidden="1" customHeight="1" x14ac:dyDescent="0.25">
      <c r="A174" s="14"/>
      <c r="B174" s="303" t="s">
        <v>29</v>
      </c>
      <c r="C174" s="291"/>
      <c r="D174" s="173">
        <v>51</v>
      </c>
      <c r="E174" s="173">
        <v>5</v>
      </c>
      <c r="F174" s="173">
        <v>851</v>
      </c>
      <c r="G174" s="17" t="s">
        <v>0</v>
      </c>
      <c r="H174" s="1" t="s">
        <v>1</v>
      </c>
      <c r="I174" s="1" t="s">
        <v>332</v>
      </c>
      <c r="J174" s="1" t="s">
        <v>30</v>
      </c>
      <c r="K174" s="2">
        <f>'[2]6 Вед15'!J211</f>
        <v>90000</v>
      </c>
      <c r="L174" s="2">
        <f>'[2]6 Вед15'!K211</f>
        <v>0</v>
      </c>
      <c r="M174" s="2">
        <f t="shared" si="177"/>
        <v>90000</v>
      </c>
      <c r="N174" s="2">
        <f>'[2]6 Вед15'!M211</f>
        <v>0</v>
      </c>
      <c r="O174" s="2">
        <f t="shared" si="178"/>
        <v>90000</v>
      </c>
      <c r="P174" s="2">
        <f>'[2]6 Вед15'!O211</f>
        <v>0</v>
      </c>
      <c r="Q174" s="2">
        <f t="shared" ref="Q174" si="193">O174+P174</f>
        <v>90000</v>
      </c>
      <c r="R174" s="2">
        <f>'[2]6 Вед15'!Q211</f>
        <v>0</v>
      </c>
      <c r="S174" s="2">
        <f t="shared" ref="S174" si="194">Q174+R174</f>
        <v>90000</v>
      </c>
      <c r="T174" s="2"/>
      <c r="U174" s="2"/>
      <c r="V174" s="95"/>
      <c r="W174" s="2">
        <f>'[2]6 Вед15'!V211</f>
        <v>0</v>
      </c>
      <c r="X174" s="2">
        <f t="shared" si="161"/>
        <v>90000</v>
      </c>
      <c r="Z174" s="8"/>
    </row>
    <row r="175" spans="1:26" s="5" customFormat="1" x14ac:dyDescent="0.25">
      <c r="A175" s="299"/>
      <c r="B175" s="301" t="s">
        <v>98</v>
      </c>
      <c r="C175" s="301"/>
      <c r="D175" s="173">
        <v>51</v>
      </c>
      <c r="E175" s="173">
        <v>5</v>
      </c>
      <c r="F175" s="173">
        <v>851</v>
      </c>
      <c r="G175" s="1" t="s">
        <v>0</v>
      </c>
      <c r="H175" s="1" t="s">
        <v>1</v>
      </c>
      <c r="I175" s="1" t="s">
        <v>332</v>
      </c>
      <c r="J175" s="1" t="s">
        <v>99</v>
      </c>
      <c r="K175" s="2">
        <f>K176</f>
        <v>180000</v>
      </c>
      <c r="L175" s="2">
        <f t="shared" ref="L175:W175" si="195">L176</f>
        <v>0</v>
      </c>
      <c r="M175" s="2">
        <f t="shared" si="195"/>
        <v>180000</v>
      </c>
      <c r="N175" s="2">
        <f t="shared" si="195"/>
        <v>0</v>
      </c>
      <c r="O175" s="2">
        <f t="shared" si="195"/>
        <v>180000</v>
      </c>
      <c r="P175" s="2">
        <f t="shared" si="195"/>
        <v>0</v>
      </c>
      <c r="Q175" s="2">
        <f t="shared" si="195"/>
        <v>180000</v>
      </c>
      <c r="R175" s="2">
        <f t="shared" si="195"/>
        <v>0</v>
      </c>
      <c r="S175" s="2">
        <f t="shared" si="195"/>
        <v>180000</v>
      </c>
      <c r="T175" s="2"/>
      <c r="U175" s="2"/>
      <c r="V175" s="95"/>
      <c r="W175" s="2">
        <f t="shared" si="195"/>
        <v>-25000</v>
      </c>
      <c r="X175" s="2">
        <f t="shared" si="161"/>
        <v>155000</v>
      </c>
      <c r="Z175" s="8"/>
    </row>
    <row r="176" spans="1:26" s="5" customFormat="1" ht="24" x14ac:dyDescent="0.25">
      <c r="A176" s="299"/>
      <c r="B176" s="301" t="s">
        <v>360</v>
      </c>
      <c r="C176" s="301"/>
      <c r="D176" s="173">
        <v>51</v>
      </c>
      <c r="E176" s="173">
        <v>5</v>
      </c>
      <c r="F176" s="173">
        <v>851</v>
      </c>
      <c r="G176" s="1" t="s">
        <v>0</v>
      </c>
      <c r="H176" s="1" t="s">
        <v>1</v>
      </c>
      <c r="I176" s="1" t="s">
        <v>332</v>
      </c>
      <c r="J176" s="1" t="s">
        <v>8</v>
      </c>
      <c r="K176" s="2">
        <f>'[2]6 Вед15'!J213</f>
        <v>180000</v>
      </c>
      <c r="L176" s="2">
        <f>'[2]6 Вед15'!K213</f>
        <v>0</v>
      </c>
      <c r="M176" s="2">
        <f t="shared" si="177"/>
        <v>180000</v>
      </c>
      <c r="N176" s="2">
        <f>'[2]6 Вед15'!M213</f>
        <v>0</v>
      </c>
      <c r="O176" s="2">
        <f t="shared" si="178"/>
        <v>180000</v>
      </c>
      <c r="P176" s="2">
        <f>'[2]6 Вед15'!O213</f>
        <v>0</v>
      </c>
      <c r="Q176" s="2">
        <f t="shared" ref="Q176" si="196">O176+P176</f>
        <v>180000</v>
      </c>
      <c r="R176" s="2">
        <f>'[2]6 Вед15'!Q213</f>
        <v>0</v>
      </c>
      <c r="S176" s="2">
        <f t="shared" ref="S176" si="197">Q176+R176</f>
        <v>180000</v>
      </c>
      <c r="T176" s="2"/>
      <c r="U176" s="2"/>
      <c r="V176" s="95"/>
      <c r="W176" s="2">
        <v>-25000</v>
      </c>
      <c r="X176" s="2">
        <f t="shared" si="161"/>
        <v>155000</v>
      </c>
      <c r="Z176" s="8"/>
    </row>
    <row r="177" spans="1:26" s="22" customFormat="1" ht="59.25" hidden="1" customHeight="1" x14ac:dyDescent="0.25">
      <c r="A177" s="324" t="s">
        <v>437</v>
      </c>
      <c r="B177" s="324"/>
      <c r="C177" s="291"/>
      <c r="D177" s="173">
        <v>51</v>
      </c>
      <c r="E177" s="173">
        <v>5</v>
      </c>
      <c r="F177" s="173">
        <v>851</v>
      </c>
      <c r="G177" s="17" t="s">
        <v>0</v>
      </c>
      <c r="H177" s="17" t="s">
        <v>6</v>
      </c>
      <c r="I177" s="17" t="s">
        <v>331</v>
      </c>
      <c r="J177" s="17"/>
      <c r="K177" s="20">
        <f t="shared" ref="K177:W178" si="198">K178</f>
        <v>8011575</v>
      </c>
      <c r="L177" s="20">
        <f t="shared" si="198"/>
        <v>0</v>
      </c>
      <c r="M177" s="20">
        <f t="shared" si="198"/>
        <v>8011575</v>
      </c>
      <c r="N177" s="20">
        <f t="shared" si="198"/>
        <v>0</v>
      </c>
      <c r="O177" s="20">
        <f t="shared" si="198"/>
        <v>8011575</v>
      </c>
      <c r="P177" s="20">
        <f t="shared" si="198"/>
        <v>0</v>
      </c>
      <c r="Q177" s="20">
        <f t="shared" si="198"/>
        <v>8011575</v>
      </c>
      <c r="R177" s="20">
        <f t="shared" si="198"/>
        <v>0</v>
      </c>
      <c r="S177" s="20">
        <f t="shared" si="198"/>
        <v>8011575</v>
      </c>
      <c r="T177" s="20"/>
      <c r="U177" s="20"/>
      <c r="V177" s="166"/>
      <c r="W177" s="20">
        <f t="shared" si="198"/>
        <v>0</v>
      </c>
      <c r="X177" s="2">
        <f t="shared" si="161"/>
        <v>8011575</v>
      </c>
      <c r="Z177" s="8"/>
    </row>
    <row r="178" spans="1:26" s="5" customFormat="1" ht="13.5" hidden="1" customHeight="1" x14ac:dyDescent="0.25">
      <c r="A178" s="14"/>
      <c r="B178" s="301" t="s">
        <v>98</v>
      </c>
      <c r="C178" s="291"/>
      <c r="D178" s="173">
        <v>51</v>
      </c>
      <c r="E178" s="173">
        <v>5</v>
      </c>
      <c r="F178" s="173">
        <v>851</v>
      </c>
      <c r="G178" s="17" t="s">
        <v>0</v>
      </c>
      <c r="H178" s="17" t="s">
        <v>6</v>
      </c>
      <c r="I178" s="17" t="s">
        <v>331</v>
      </c>
      <c r="J178" s="1" t="s">
        <v>99</v>
      </c>
      <c r="K178" s="2">
        <f t="shared" si="198"/>
        <v>8011575</v>
      </c>
      <c r="L178" s="2">
        <f t="shared" si="198"/>
        <v>0</v>
      </c>
      <c r="M178" s="2">
        <f t="shared" si="198"/>
        <v>8011575</v>
      </c>
      <c r="N178" s="2">
        <f t="shared" si="198"/>
        <v>0</v>
      </c>
      <c r="O178" s="2">
        <f t="shared" si="198"/>
        <v>8011575</v>
      </c>
      <c r="P178" s="2">
        <f t="shared" si="198"/>
        <v>0</v>
      </c>
      <c r="Q178" s="2">
        <f t="shared" si="198"/>
        <v>8011575</v>
      </c>
      <c r="R178" s="2">
        <f t="shared" si="198"/>
        <v>0</v>
      </c>
      <c r="S178" s="2">
        <f t="shared" si="198"/>
        <v>8011575</v>
      </c>
      <c r="T178" s="2"/>
      <c r="U178" s="2"/>
      <c r="V178" s="95"/>
      <c r="W178" s="2">
        <f t="shared" si="198"/>
        <v>0</v>
      </c>
      <c r="X178" s="2">
        <f t="shared" si="161"/>
        <v>8011575</v>
      </c>
      <c r="Z178" s="8"/>
    </row>
    <row r="179" spans="1:26" s="22" customFormat="1" ht="24.75" hidden="1" customHeight="1" x14ac:dyDescent="0.25">
      <c r="A179" s="291"/>
      <c r="B179" s="291" t="s">
        <v>103</v>
      </c>
      <c r="C179" s="291"/>
      <c r="D179" s="173">
        <v>51</v>
      </c>
      <c r="E179" s="173">
        <v>5</v>
      </c>
      <c r="F179" s="173">
        <v>851</v>
      </c>
      <c r="G179" s="17" t="s">
        <v>0</v>
      </c>
      <c r="H179" s="17" t="s">
        <v>6</v>
      </c>
      <c r="I179" s="17" t="s">
        <v>331</v>
      </c>
      <c r="J179" s="17" t="s">
        <v>104</v>
      </c>
      <c r="K179" s="20">
        <f>'[2]6 Вед15'!J207</f>
        <v>8011575</v>
      </c>
      <c r="L179" s="166">
        <f>'[2]6 Вед15'!K207</f>
        <v>0</v>
      </c>
      <c r="M179" s="2">
        <f t="shared" si="177"/>
        <v>8011575</v>
      </c>
      <c r="N179" s="166">
        <f>'[2]6 Вед15'!M207</f>
        <v>0</v>
      </c>
      <c r="O179" s="2">
        <f t="shared" si="178"/>
        <v>8011575</v>
      </c>
      <c r="P179" s="166">
        <f>'[2]6 Вед15'!O207</f>
        <v>0</v>
      </c>
      <c r="Q179" s="2">
        <f t="shared" ref="Q179" si="199">O179+P179</f>
        <v>8011575</v>
      </c>
      <c r="R179" s="166">
        <f>'[2]6 Вед15'!Q207</f>
        <v>0</v>
      </c>
      <c r="S179" s="2">
        <f t="shared" ref="S179" si="200">Q179+R179</f>
        <v>8011575</v>
      </c>
      <c r="T179" s="95"/>
      <c r="U179" s="95"/>
      <c r="V179" s="95"/>
      <c r="W179" s="20">
        <f>'[2]6 Вед15'!V207</f>
        <v>0</v>
      </c>
      <c r="X179" s="2">
        <f t="shared" si="161"/>
        <v>8011575</v>
      </c>
      <c r="Z179" s="8"/>
    </row>
    <row r="180" spans="1:26" s="12" customFormat="1" ht="25.5" customHeight="1" x14ac:dyDescent="0.25">
      <c r="A180" s="328" t="s">
        <v>497</v>
      </c>
      <c r="B180" s="328"/>
      <c r="C180" s="295"/>
      <c r="D180" s="15">
        <v>51</v>
      </c>
      <c r="E180" s="15">
        <v>6</v>
      </c>
      <c r="F180" s="15"/>
      <c r="G180" s="10"/>
      <c r="H180" s="19"/>
      <c r="I180" s="19"/>
      <c r="J180" s="10"/>
      <c r="K180" s="11">
        <f>K181</f>
        <v>582660</v>
      </c>
      <c r="L180" s="11">
        <f t="shared" ref="L180:W185" si="201">L181</f>
        <v>0</v>
      </c>
      <c r="M180" s="11">
        <f t="shared" si="201"/>
        <v>582660</v>
      </c>
      <c r="N180" s="11">
        <f t="shared" si="201"/>
        <v>0</v>
      </c>
      <c r="O180" s="11">
        <f t="shared" si="201"/>
        <v>582660</v>
      </c>
      <c r="P180" s="11">
        <f t="shared" si="201"/>
        <v>0</v>
      </c>
      <c r="Q180" s="11">
        <f t="shared" si="201"/>
        <v>582660</v>
      </c>
      <c r="R180" s="11">
        <f t="shared" si="201"/>
        <v>2136420</v>
      </c>
      <c r="S180" s="11">
        <f t="shared" si="201"/>
        <v>2719080</v>
      </c>
      <c r="T180" s="11"/>
      <c r="U180" s="11"/>
      <c r="V180" s="165"/>
      <c r="W180" s="11">
        <f t="shared" si="201"/>
        <v>121387.5</v>
      </c>
      <c r="X180" s="2">
        <f t="shared" si="161"/>
        <v>2840467.5</v>
      </c>
      <c r="Z180" s="8"/>
    </row>
    <row r="181" spans="1:26" s="12" customFormat="1" x14ac:dyDescent="0.25">
      <c r="A181" s="328" t="s">
        <v>15</v>
      </c>
      <c r="B181" s="328"/>
      <c r="C181" s="295"/>
      <c r="D181" s="15">
        <v>51</v>
      </c>
      <c r="E181" s="15">
        <v>6</v>
      </c>
      <c r="F181" s="15">
        <v>851</v>
      </c>
      <c r="G181" s="10"/>
      <c r="H181" s="19"/>
      <c r="I181" s="19"/>
      <c r="J181" s="10"/>
      <c r="K181" s="11">
        <f t="shared" ref="K181:P181" si="202">K185</f>
        <v>582660</v>
      </c>
      <c r="L181" s="11">
        <f t="shared" si="202"/>
        <v>0</v>
      </c>
      <c r="M181" s="11">
        <f t="shared" si="202"/>
        <v>582660</v>
      </c>
      <c r="N181" s="11">
        <f t="shared" si="202"/>
        <v>0</v>
      </c>
      <c r="O181" s="11">
        <f t="shared" si="202"/>
        <v>582660</v>
      </c>
      <c r="P181" s="11">
        <f t="shared" si="202"/>
        <v>0</v>
      </c>
      <c r="Q181" s="11">
        <f>Q182+Q185</f>
        <v>582660</v>
      </c>
      <c r="R181" s="11">
        <f t="shared" ref="R181:S181" si="203">R182+R185</f>
        <v>2136420</v>
      </c>
      <c r="S181" s="11">
        <f t="shared" si="203"/>
        <v>2719080</v>
      </c>
      <c r="T181" s="11"/>
      <c r="U181" s="11"/>
      <c r="V181" s="165"/>
      <c r="W181" s="11">
        <f t="shared" ref="W181" si="204">W182+W185</f>
        <v>121387.5</v>
      </c>
      <c r="X181" s="2">
        <f t="shared" si="161"/>
        <v>2840467.5</v>
      </c>
      <c r="Z181" s="8"/>
    </row>
    <row r="182" spans="1:26" s="12" customFormat="1" ht="15" customHeight="1" x14ac:dyDescent="0.25">
      <c r="A182" s="339" t="s">
        <v>688</v>
      </c>
      <c r="B182" s="340"/>
      <c r="C182" s="295"/>
      <c r="D182" s="173">
        <v>51</v>
      </c>
      <c r="E182" s="173">
        <v>6</v>
      </c>
      <c r="F182" s="173">
        <v>851</v>
      </c>
      <c r="G182" s="1"/>
      <c r="H182" s="17"/>
      <c r="I182" s="17" t="s">
        <v>689</v>
      </c>
      <c r="J182" s="1"/>
      <c r="K182" s="2"/>
      <c r="L182" s="2"/>
      <c r="M182" s="2"/>
      <c r="N182" s="2"/>
      <c r="O182" s="2"/>
      <c r="P182" s="2"/>
      <c r="Q182" s="2">
        <f t="shared" si="201"/>
        <v>0</v>
      </c>
      <c r="R182" s="2">
        <f t="shared" si="201"/>
        <v>2136420</v>
      </c>
      <c r="S182" s="2">
        <f t="shared" si="201"/>
        <v>2136420</v>
      </c>
      <c r="T182" s="2"/>
      <c r="U182" s="2"/>
      <c r="V182" s="95"/>
      <c r="W182" s="2">
        <f t="shared" si="201"/>
        <v>267052.5</v>
      </c>
      <c r="X182" s="2">
        <f t="shared" si="161"/>
        <v>2403472.5</v>
      </c>
      <c r="Z182" s="8"/>
    </row>
    <row r="183" spans="1:26" s="12" customFormat="1" ht="15" customHeight="1" x14ac:dyDescent="0.25">
      <c r="A183" s="299"/>
      <c r="B183" s="301" t="s">
        <v>98</v>
      </c>
      <c r="C183" s="295"/>
      <c r="D183" s="173">
        <v>51</v>
      </c>
      <c r="E183" s="173">
        <v>6</v>
      </c>
      <c r="F183" s="173">
        <v>851</v>
      </c>
      <c r="G183" s="1"/>
      <c r="H183" s="17"/>
      <c r="I183" s="17" t="s">
        <v>689</v>
      </c>
      <c r="J183" s="1" t="s">
        <v>99</v>
      </c>
      <c r="K183" s="2"/>
      <c r="L183" s="2"/>
      <c r="M183" s="2"/>
      <c r="N183" s="2"/>
      <c r="O183" s="2"/>
      <c r="P183" s="2"/>
      <c r="Q183" s="2">
        <f t="shared" si="201"/>
        <v>0</v>
      </c>
      <c r="R183" s="2">
        <f t="shared" si="201"/>
        <v>2136420</v>
      </c>
      <c r="S183" s="2">
        <f t="shared" si="201"/>
        <v>2136420</v>
      </c>
      <c r="T183" s="2"/>
      <c r="U183" s="2"/>
      <c r="V183" s="95"/>
      <c r="W183" s="2">
        <f t="shared" si="201"/>
        <v>267052.5</v>
      </c>
      <c r="X183" s="2">
        <f t="shared" si="161"/>
        <v>2403472.5</v>
      </c>
      <c r="Z183" s="8"/>
    </row>
    <row r="184" spans="1:26" s="12" customFormat="1" ht="15" customHeight="1" x14ac:dyDescent="0.25">
      <c r="A184" s="299"/>
      <c r="B184" s="301" t="s">
        <v>137</v>
      </c>
      <c r="C184" s="295"/>
      <c r="D184" s="173">
        <v>51</v>
      </c>
      <c r="E184" s="173">
        <v>6</v>
      </c>
      <c r="F184" s="173">
        <v>851</v>
      </c>
      <c r="G184" s="1"/>
      <c r="H184" s="17"/>
      <c r="I184" s="17" t="s">
        <v>689</v>
      </c>
      <c r="J184" s="1" t="s">
        <v>138</v>
      </c>
      <c r="K184" s="2"/>
      <c r="L184" s="2"/>
      <c r="M184" s="2"/>
      <c r="N184" s="2"/>
      <c r="O184" s="2"/>
      <c r="P184" s="2"/>
      <c r="Q184" s="2">
        <f t="shared" ref="Q184" si="205">O184+P184</f>
        <v>0</v>
      </c>
      <c r="R184" s="95">
        <f>'[2]6 Вед15'!Q200</f>
        <v>2136420</v>
      </c>
      <c r="S184" s="2">
        <f t="shared" ref="S184" si="206">Q184+R184</f>
        <v>2136420</v>
      </c>
      <c r="T184" s="95"/>
      <c r="U184" s="95"/>
      <c r="V184" s="95"/>
      <c r="W184" s="2">
        <v>267052.5</v>
      </c>
      <c r="X184" s="2">
        <f t="shared" si="161"/>
        <v>2403472.5</v>
      </c>
      <c r="Z184" s="8"/>
    </row>
    <row r="185" spans="1:26" s="5" customFormat="1" ht="15" customHeight="1" x14ac:dyDescent="0.25">
      <c r="A185" s="347" t="s">
        <v>136</v>
      </c>
      <c r="B185" s="347"/>
      <c r="C185" s="301"/>
      <c r="D185" s="173">
        <v>51</v>
      </c>
      <c r="E185" s="173">
        <v>6</v>
      </c>
      <c r="F185" s="62">
        <v>851</v>
      </c>
      <c r="G185" s="1" t="s">
        <v>0</v>
      </c>
      <c r="H185" s="1" t="s">
        <v>3</v>
      </c>
      <c r="I185" s="62">
        <v>2226</v>
      </c>
      <c r="J185" s="1"/>
      <c r="K185" s="2">
        <f>K186</f>
        <v>582660</v>
      </c>
      <c r="L185" s="2">
        <f t="shared" si="201"/>
        <v>0</v>
      </c>
      <c r="M185" s="2">
        <f t="shared" si="201"/>
        <v>582660</v>
      </c>
      <c r="N185" s="2">
        <f t="shared" si="201"/>
        <v>0</v>
      </c>
      <c r="O185" s="2">
        <f t="shared" si="201"/>
        <v>582660</v>
      </c>
      <c r="P185" s="2">
        <f t="shared" si="201"/>
        <v>0</v>
      </c>
      <c r="Q185" s="2">
        <f t="shared" si="201"/>
        <v>582660</v>
      </c>
      <c r="R185" s="2">
        <f t="shared" si="201"/>
        <v>0</v>
      </c>
      <c r="S185" s="2">
        <f t="shared" si="201"/>
        <v>582660</v>
      </c>
      <c r="T185" s="2"/>
      <c r="U185" s="2"/>
      <c r="V185" s="95"/>
      <c r="W185" s="2">
        <f t="shared" si="201"/>
        <v>-145665</v>
      </c>
      <c r="X185" s="2">
        <f t="shared" si="161"/>
        <v>436995</v>
      </c>
      <c r="Z185" s="8"/>
    </row>
    <row r="186" spans="1:26" s="5" customFormat="1" x14ac:dyDescent="0.25">
      <c r="A186" s="299"/>
      <c r="B186" s="301" t="s">
        <v>98</v>
      </c>
      <c r="C186" s="301"/>
      <c r="D186" s="173">
        <v>51</v>
      </c>
      <c r="E186" s="173">
        <v>6</v>
      </c>
      <c r="F186" s="62">
        <v>851</v>
      </c>
      <c r="G186" s="1" t="s">
        <v>0</v>
      </c>
      <c r="H186" s="1" t="s">
        <v>3</v>
      </c>
      <c r="I186" s="62">
        <v>2226</v>
      </c>
      <c r="J186" s="1" t="s">
        <v>99</v>
      </c>
      <c r="K186" s="2">
        <f t="shared" ref="K186:W186" si="207">K187</f>
        <v>582660</v>
      </c>
      <c r="L186" s="2">
        <f t="shared" si="207"/>
        <v>0</v>
      </c>
      <c r="M186" s="2">
        <f t="shared" si="207"/>
        <v>582660</v>
      </c>
      <c r="N186" s="2">
        <f t="shared" si="207"/>
        <v>0</v>
      </c>
      <c r="O186" s="2">
        <f t="shared" si="207"/>
        <v>582660</v>
      </c>
      <c r="P186" s="2">
        <f t="shared" si="207"/>
        <v>0</v>
      </c>
      <c r="Q186" s="2">
        <f t="shared" si="207"/>
        <v>582660</v>
      </c>
      <c r="R186" s="2">
        <f t="shared" si="207"/>
        <v>0</v>
      </c>
      <c r="S186" s="2">
        <f t="shared" si="207"/>
        <v>582660</v>
      </c>
      <c r="T186" s="2"/>
      <c r="U186" s="2"/>
      <c r="V186" s="95"/>
      <c r="W186" s="2">
        <f t="shared" si="207"/>
        <v>-145665</v>
      </c>
      <c r="X186" s="2">
        <f t="shared" si="161"/>
        <v>436995</v>
      </c>
      <c r="Z186" s="8"/>
    </row>
    <row r="187" spans="1:26" s="5" customFormat="1" x14ac:dyDescent="0.25">
      <c r="A187" s="299"/>
      <c r="B187" s="301" t="s">
        <v>137</v>
      </c>
      <c r="C187" s="301"/>
      <c r="D187" s="173">
        <v>51</v>
      </c>
      <c r="E187" s="173">
        <v>6</v>
      </c>
      <c r="F187" s="62">
        <v>851</v>
      </c>
      <c r="G187" s="1" t="s">
        <v>0</v>
      </c>
      <c r="H187" s="1" t="s">
        <v>3</v>
      </c>
      <c r="I187" s="62">
        <v>2226</v>
      </c>
      <c r="J187" s="1" t="s">
        <v>138</v>
      </c>
      <c r="K187" s="2">
        <f>'[2]6 Вед15'!J203</f>
        <v>582660</v>
      </c>
      <c r="L187" s="95">
        <f>'[2]6 Вед15'!K203</f>
        <v>0</v>
      </c>
      <c r="M187" s="2">
        <f t="shared" si="177"/>
        <v>582660</v>
      </c>
      <c r="N187" s="95">
        <f>'[2]6 Вед15'!M203</f>
        <v>0</v>
      </c>
      <c r="O187" s="2">
        <f t="shared" si="178"/>
        <v>582660</v>
      </c>
      <c r="P187" s="95">
        <f>'[2]6 Вед15'!O203</f>
        <v>0</v>
      </c>
      <c r="Q187" s="2">
        <f t="shared" ref="Q187:Q188" si="208">O187+P187</f>
        <v>582660</v>
      </c>
      <c r="R187" s="95">
        <f>'[2]6 Вед15'!Q203</f>
        <v>0</v>
      </c>
      <c r="S187" s="2">
        <f t="shared" ref="S187:S188" si="209">Q187+R187</f>
        <v>582660</v>
      </c>
      <c r="T187" s="95"/>
      <c r="U187" s="95"/>
      <c r="V187" s="95"/>
      <c r="W187" s="2">
        <v>-145665</v>
      </c>
      <c r="X187" s="2">
        <f t="shared" si="161"/>
        <v>436995</v>
      </c>
      <c r="Z187" s="8"/>
    </row>
    <row r="188" spans="1:26" s="12" customFormat="1" ht="23.25" customHeight="1" x14ac:dyDescent="0.25">
      <c r="A188" s="328" t="s">
        <v>498</v>
      </c>
      <c r="B188" s="328"/>
      <c r="C188" s="295"/>
      <c r="D188" s="15">
        <v>51</v>
      </c>
      <c r="E188" s="15">
        <v>7</v>
      </c>
      <c r="F188" s="15"/>
      <c r="G188" s="10"/>
      <c r="H188" s="19"/>
      <c r="I188" s="19"/>
      <c r="J188" s="10"/>
      <c r="K188" s="11">
        <f>K189</f>
        <v>100000</v>
      </c>
      <c r="L188" s="165">
        <f t="shared" ref="L188:W197" si="210">L189</f>
        <v>0</v>
      </c>
      <c r="M188" s="2">
        <f t="shared" si="177"/>
        <v>100000</v>
      </c>
      <c r="N188" s="165">
        <f t="shared" si="210"/>
        <v>0</v>
      </c>
      <c r="O188" s="2">
        <f t="shared" si="178"/>
        <v>100000</v>
      </c>
      <c r="P188" s="165">
        <f t="shared" si="210"/>
        <v>0</v>
      </c>
      <c r="Q188" s="2">
        <f t="shared" si="208"/>
        <v>100000</v>
      </c>
      <c r="R188" s="165">
        <f t="shared" si="210"/>
        <v>0</v>
      </c>
      <c r="S188" s="2">
        <f t="shared" si="209"/>
        <v>100000</v>
      </c>
      <c r="T188" s="95"/>
      <c r="U188" s="95"/>
      <c r="V188" s="95"/>
      <c r="W188" s="11">
        <f t="shared" si="210"/>
        <v>1900000</v>
      </c>
      <c r="X188" s="2">
        <f t="shared" si="161"/>
        <v>2000000</v>
      </c>
      <c r="Z188" s="8"/>
    </row>
    <row r="189" spans="1:26" s="12" customFormat="1" x14ac:dyDescent="0.25">
      <c r="A189" s="328" t="s">
        <v>15</v>
      </c>
      <c r="B189" s="328"/>
      <c r="C189" s="295"/>
      <c r="D189" s="15">
        <v>51</v>
      </c>
      <c r="E189" s="15">
        <v>7</v>
      </c>
      <c r="F189" s="15">
        <v>851</v>
      </c>
      <c r="G189" s="10"/>
      <c r="H189" s="19"/>
      <c r="I189" s="19"/>
      <c r="J189" s="10"/>
      <c r="K189" s="11">
        <f t="shared" ref="K189:R189" si="211">K193</f>
        <v>100000</v>
      </c>
      <c r="L189" s="11">
        <f t="shared" si="211"/>
        <v>0</v>
      </c>
      <c r="M189" s="11">
        <f t="shared" si="211"/>
        <v>100000</v>
      </c>
      <c r="N189" s="11">
        <f t="shared" si="211"/>
        <v>0</v>
      </c>
      <c r="O189" s="11">
        <f t="shared" si="211"/>
        <v>100000</v>
      </c>
      <c r="P189" s="11">
        <f t="shared" si="211"/>
        <v>0</v>
      </c>
      <c r="Q189" s="11">
        <f t="shared" si="211"/>
        <v>100000</v>
      </c>
      <c r="R189" s="11">
        <f t="shared" si="211"/>
        <v>0</v>
      </c>
      <c r="S189" s="11">
        <f>S190+S193+S196</f>
        <v>100000</v>
      </c>
      <c r="T189" s="11">
        <f t="shared" ref="T189:X189" si="212">T190+T193+T196</f>
        <v>0</v>
      </c>
      <c r="U189" s="11">
        <f t="shared" si="212"/>
        <v>0</v>
      </c>
      <c r="V189" s="165">
        <f t="shared" si="212"/>
        <v>0</v>
      </c>
      <c r="W189" s="11">
        <f t="shared" si="212"/>
        <v>1900000</v>
      </c>
      <c r="X189" s="11">
        <f t="shared" si="212"/>
        <v>2000000</v>
      </c>
      <c r="Z189" s="8"/>
    </row>
    <row r="190" spans="1:26" s="12" customFormat="1" x14ac:dyDescent="0.25">
      <c r="A190" s="330" t="s">
        <v>765</v>
      </c>
      <c r="B190" s="331"/>
      <c r="C190" s="295"/>
      <c r="D190" s="173">
        <v>51</v>
      </c>
      <c r="E190" s="173">
        <v>7</v>
      </c>
      <c r="F190" s="173">
        <v>851</v>
      </c>
      <c r="G190" s="17" t="s">
        <v>6</v>
      </c>
      <c r="H190" s="17" t="s">
        <v>67</v>
      </c>
      <c r="I190" s="17" t="s">
        <v>771</v>
      </c>
      <c r="J190" s="1"/>
      <c r="K190" s="11"/>
      <c r="L190" s="11"/>
      <c r="M190" s="11"/>
      <c r="N190" s="11"/>
      <c r="O190" s="11"/>
      <c r="P190" s="11"/>
      <c r="Q190" s="11"/>
      <c r="R190" s="11"/>
      <c r="S190" s="2">
        <f t="shared" si="210"/>
        <v>0</v>
      </c>
      <c r="T190" s="2"/>
      <c r="U190" s="2"/>
      <c r="V190" s="95"/>
      <c r="W190" s="2">
        <f t="shared" si="210"/>
        <v>95000</v>
      </c>
      <c r="X190" s="2">
        <f t="shared" ref="X190:X192" si="213">S190+W190</f>
        <v>95000</v>
      </c>
      <c r="Z190" s="8"/>
    </row>
    <row r="191" spans="1:26" s="12" customFormat="1" x14ac:dyDescent="0.25">
      <c r="A191" s="14"/>
      <c r="B191" s="291" t="s">
        <v>31</v>
      </c>
      <c r="C191" s="295"/>
      <c r="D191" s="173">
        <v>51</v>
      </c>
      <c r="E191" s="173">
        <v>7</v>
      </c>
      <c r="F191" s="173">
        <v>851</v>
      </c>
      <c r="G191" s="17" t="s">
        <v>6</v>
      </c>
      <c r="H191" s="17" t="s">
        <v>67</v>
      </c>
      <c r="I191" s="17" t="s">
        <v>771</v>
      </c>
      <c r="J191" s="1" t="s">
        <v>32</v>
      </c>
      <c r="K191" s="11"/>
      <c r="L191" s="11"/>
      <c r="M191" s="11"/>
      <c r="N191" s="11"/>
      <c r="O191" s="11"/>
      <c r="P191" s="11"/>
      <c r="Q191" s="11"/>
      <c r="R191" s="11"/>
      <c r="S191" s="2">
        <f t="shared" si="210"/>
        <v>0</v>
      </c>
      <c r="T191" s="2"/>
      <c r="U191" s="2"/>
      <c r="V191" s="95"/>
      <c r="W191" s="2">
        <f t="shared" si="210"/>
        <v>95000</v>
      </c>
      <c r="X191" s="2">
        <f t="shared" si="213"/>
        <v>95000</v>
      </c>
      <c r="Z191" s="8"/>
    </row>
    <row r="192" spans="1:26" s="12" customFormat="1" ht="26.25" customHeight="1" x14ac:dyDescent="0.25">
      <c r="A192" s="14"/>
      <c r="B192" s="291" t="s">
        <v>357</v>
      </c>
      <c r="C192" s="295"/>
      <c r="D192" s="173">
        <v>51</v>
      </c>
      <c r="E192" s="173">
        <v>7</v>
      </c>
      <c r="F192" s="173">
        <v>851</v>
      </c>
      <c r="G192" s="17" t="s">
        <v>6</v>
      </c>
      <c r="H192" s="17" t="s">
        <v>67</v>
      </c>
      <c r="I192" s="17" t="s">
        <v>771</v>
      </c>
      <c r="J192" s="1" t="s">
        <v>65</v>
      </c>
      <c r="K192" s="11"/>
      <c r="L192" s="11"/>
      <c r="M192" s="11"/>
      <c r="N192" s="11"/>
      <c r="O192" s="11"/>
      <c r="P192" s="11"/>
      <c r="Q192" s="11"/>
      <c r="R192" s="11"/>
      <c r="S192" s="2"/>
      <c r="T192" s="95"/>
      <c r="U192" s="95"/>
      <c r="V192" s="95"/>
      <c r="W192" s="2">
        <v>95000</v>
      </c>
      <c r="X192" s="2">
        <f t="shared" si="213"/>
        <v>95000</v>
      </c>
      <c r="Z192" s="8"/>
    </row>
    <row r="193" spans="1:28" s="5" customFormat="1" ht="24" hidden="1" customHeight="1" x14ac:dyDescent="0.25">
      <c r="A193" s="324" t="s">
        <v>411</v>
      </c>
      <c r="B193" s="324"/>
      <c r="C193" s="291"/>
      <c r="D193" s="173">
        <v>51</v>
      </c>
      <c r="E193" s="173">
        <v>7</v>
      </c>
      <c r="F193" s="173">
        <v>851</v>
      </c>
      <c r="G193" s="17" t="s">
        <v>6</v>
      </c>
      <c r="H193" s="17" t="s">
        <v>67</v>
      </c>
      <c r="I193" s="17" t="s">
        <v>416</v>
      </c>
      <c r="J193" s="1"/>
      <c r="K193" s="2">
        <f>K194</f>
        <v>100000</v>
      </c>
      <c r="L193" s="2">
        <f t="shared" si="210"/>
        <v>0</v>
      </c>
      <c r="M193" s="2">
        <f t="shared" si="210"/>
        <v>100000</v>
      </c>
      <c r="N193" s="2">
        <f t="shared" si="210"/>
        <v>0</v>
      </c>
      <c r="O193" s="2">
        <f t="shared" si="210"/>
        <v>100000</v>
      </c>
      <c r="P193" s="2">
        <f t="shared" si="210"/>
        <v>0</v>
      </c>
      <c r="Q193" s="2">
        <f t="shared" si="210"/>
        <v>100000</v>
      </c>
      <c r="R193" s="2">
        <f t="shared" si="210"/>
        <v>0</v>
      </c>
      <c r="S193" s="2">
        <f t="shared" si="210"/>
        <v>100000</v>
      </c>
      <c r="T193" s="2"/>
      <c r="U193" s="2"/>
      <c r="V193" s="95"/>
      <c r="W193" s="2">
        <f t="shared" si="210"/>
        <v>0</v>
      </c>
      <c r="X193" s="2">
        <f t="shared" si="161"/>
        <v>100000</v>
      </c>
      <c r="Z193" s="8"/>
    </row>
    <row r="194" spans="1:28" s="5" customFormat="1" ht="13.5" hidden="1" customHeight="1" x14ac:dyDescent="0.25">
      <c r="A194" s="14"/>
      <c r="B194" s="291" t="s">
        <v>31</v>
      </c>
      <c r="C194" s="291"/>
      <c r="D194" s="173">
        <v>51</v>
      </c>
      <c r="E194" s="173">
        <v>7</v>
      </c>
      <c r="F194" s="173">
        <v>851</v>
      </c>
      <c r="G194" s="17" t="s">
        <v>6</v>
      </c>
      <c r="H194" s="17" t="s">
        <v>67</v>
      </c>
      <c r="I194" s="17" t="s">
        <v>416</v>
      </c>
      <c r="J194" s="1" t="s">
        <v>32</v>
      </c>
      <c r="K194" s="2">
        <f>K195</f>
        <v>100000</v>
      </c>
      <c r="L194" s="2">
        <f t="shared" si="210"/>
        <v>0</v>
      </c>
      <c r="M194" s="2">
        <f t="shared" si="210"/>
        <v>100000</v>
      </c>
      <c r="N194" s="2">
        <f t="shared" si="210"/>
        <v>0</v>
      </c>
      <c r="O194" s="2">
        <f t="shared" si="210"/>
        <v>100000</v>
      </c>
      <c r="P194" s="2">
        <f t="shared" si="210"/>
        <v>0</v>
      </c>
      <c r="Q194" s="2">
        <f t="shared" si="210"/>
        <v>100000</v>
      </c>
      <c r="R194" s="2">
        <f t="shared" si="210"/>
        <v>0</v>
      </c>
      <c r="S194" s="2">
        <f t="shared" si="210"/>
        <v>100000</v>
      </c>
      <c r="T194" s="2"/>
      <c r="U194" s="2"/>
      <c r="V194" s="95"/>
      <c r="W194" s="2">
        <f t="shared" si="210"/>
        <v>0</v>
      </c>
      <c r="X194" s="2">
        <f t="shared" si="161"/>
        <v>100000</v>
      </c>
      <c r="Z194" s="8"/>
    </row>
    <row r="195" spans="1:28" s="5" customFormat="1" ht="25.5" hidden="1" customHeight="1" x14ac:dyDescent="0.25">
      <c r="A195" s="14"/>
      <c r="B195" s="291" t="s">
        <v>357</v>
      </c>
      <c r="C195" s="291"/>
      <c r="D195" s="173">
        <v>51</v>
      </c>
      <c r="E195" s="173">
        <v>7</v>
      </c>
      <c r="F195" s="173">
        <v>851</v>
      </c>
      <c r="G195" s="17" t="s">
        <v>6</v>
      </c>
      <c r="H195" s="17" t="s">
        <v>67</v>
      </c>
      <c r="I195" s="17" t="s">
        <v>416</v>
      </c>
      <c r="J195" s="1" t="s">
        <v>65</v>
      </c>
      <c r="K195" s="2">
        <f>'[2]6 Вед15'!J120</f>
        <v>100000</v>
      </c>
      <c r="L195" s="95">
        <f>'[2]6 Вед15'!K120</f>
        <v>0</v>
      </c>
      <c r="M195" s="2">
        <f t="shared" si="177"/>
        <v>100000</v>
      </c>
      <c r="N195" s="95">
        <f>'[2]6 Вед15'!M120</f>
        <v>0</v>
      </c>
      <c r="O195" s="2">
        <f t="shared" si="178"/>
        <v>100000</v>
      </c>
      <c r="P195" s="95">
        <f>'[2]6 Вед15'!O120</f>
        <v>0</v>
      </c>
      <c r="Q195" s="2">
        <f t="shared" ref="Q195" si="214">O195+P195</f>
        <v>100000</v>
      </c>
      <c r="R195" s="95">
        <f>'[2]6 Вед15'!Q120</f>
        <v>0</v>
      </c>
      <c r="S195" s="2">
        <f t="shared" ref="S195" si="215">Q195+R195</f>
        <v>100000</v>
      </c>
      <c r="T195" s="95"/>
      <c r="U195" s="95"/>
      <c r="V195" s="95"/>
      <c r="W195" s="2">
        <f>'[2]6 Вед15'!V120</f>
        <v>0</v>
      </c>
      <c r="X195" s="2">
        <f t="shared" si="161"/>
        <v>100000</v>
      </c>
      <c r="Z195" s="8"/>
    </row>
    <row r="196" spans="1:28" s="5" customFormat="1" ht="25.5" customHeight="1" x14ac:dyDescent="0.25">
      <c r="A196" s="330" t="s">
        <v>767</v>
      </c>
      <c r="B196" s="331"/>
      <c r="C196" s="291"/>
      <c r="D196" s="173">
        <v>51</v>
      </c>
      <c r="E196" s="173">
        <v>7</v>
      </c>
      <c r="F196" s="173">
        <v>851</v>
      </c>
      <c r="G196" s="17" t="s">
        <v>6</v>
      </c>
      <c r="H196" s="17" t="s">
        <v>67</v>
      </c>
      <c r="I196" s="17" t="s">
        <v>772</v>
      </c>
      <c r="J196" s="1"/>
      <c r="K196" s="2"/>
      <c r="L196" s="95"/>
      <c r="M196" s="2"/>
      <c r="N196" s="95"/>
      <c r="O196" s="2"/>
      <c r="P196" s="95"/>
      <c r="Q196" s="2"/>
      <c r="R196" s="95"/>
      <c r="S196" s="2">
        <f t="shared" si="210"/>
        <v>0</v>
      </c>
      <c r="T196" s="2"/>
      <c r="U196" s="2"/>
      <c r="V196" s="95"/>
      <c r="W196" s="2">
        <f t="shared" si="210"/>
        <v>1805000</v>
      </c>
      <c r="X196" s="2">
        <f t="shared" si="161"/>
        <v>1805000</v>
      </c>
      <c r="Z196" s="8"/>
    </row>
    <row r="197" spans="1:28" s="5" customFormat="1" ht="15" customHeight="1" x14ac:dyDescent="0.25">
      <c r="A197" s="14"/>
      <c r="B197" s="291" t="s">
        <v>31</v>
      </c>
      <c r="C197" s="291"/>
      <c r="D197" s="173">
        <v>51</v>
      </c>
      <c r="E197" s="173">
        <v>7</v>
      </c>
      <c r="F197" s="173">
        <v>851</v>
      </c>
      <c r="G197" s="17" t="s">
        <v>6</v>
      </c>
      <c r="H197" s="17" t="s">
        <v>67</v>
      </c>
      <c r="I197" s="17" t="s">
        <v>772</v>
      </c>
      <c r="J197" s="1" t="s">
        <v>32</v>
      </c>
      <c r="K197" s="2"/>
      <c r="L197" s="95"/>
      <c r="M197" s="2"/>
      <c r="N197" s="95"/>
      <c r="O197" s="2"/>
      <c r="P197" s="95"/>
      <c r="Q197" s="2"/>
      <c r="R197" s="95"/>
      <c r="S197" s="2">
        <f t="shared" si="210"/>
        <v>0</v>
      </c>
      <c r="T197" s="2"/>
      <c r="U197" s="2"/>
      <c r="V197" s="95"/>
      <c r="W197" s="2">
        <f t="shared" si="210"/>
        <v>1805000</v>
      </c>
      <c r="X197" s="2">
        <f t="shared" si="161"/>
        <v>1805000</v>
      </c>
      <c r="Z197" s="8"/>
    </row>
    <row r="198" spans="1:28" s="5" customFormat="1" ht="25.5" customHeight="1" x14ac:dyDescent="0.25">
      <c r="A198" s="14"/>
      <c r="B198" s="291" t="s">
        <v>357</v>
      </c>
      <c r="C198" s="291"/>
      <c r="D198" s="173">
        <v>51</v>
      </c>
      <c r="E198" s="173">
        <v>7</v>
      </c>
      <c r="F198" s="173">
        <v>851</v>
      </c>
      <c r="G198" s="17" t="s">
        <v>6</v>
      </c>
      <c r="H198" s="17" t="s">
        <v>67</v>
      </c>
      <c r="I198" s="17" t="s">
        <v>772</v>
      </c>
      <c r="J198" s="1" t="s">
        <v>65</v>
      </c>
      <c r="K198" s="2"/>
      <c r="L198" s="95"/>
      <c r="M198" s="2"/>
      <c r="N198" s="95"/>
      <c r="O198" s="2"/>
      <c r="P198" s="95"/>
      <c r="Q198" s="2"/>
      <c r="R198" s="95"/>
      <c r="S198" s="2"/>
      <c r="T198" s="95"/>
      <c r="U198" s="95"/>
      <c r="V198" s="95"/>
      <c r="W198" s="2">
        <v>1805000</v>
      </c>
      <c r="X198" s="2">
        <f t="shared" si="161"/>
        <v>1805000</v>
      </c>
      <c r="Z198" s="8"/>
    </row>
    <row r="199" spans="1:28" s="5" customFormat="1" ht="27" customHeight="1" x14ac:dyDescent="0.25">
      <c r="A199" s="350" t="s">
        <v>500</v>
      </c>
      <c r="B199" s="351"/>
      <c r="C199" s="14"/>
      <c r="D199" s="302">
        <v>52</v>
      </c>
      <c r="E199" s="62"/>
      <c r="F199" s="14"/>
      <c r="G199" s="14"/>
      <c r="H199" s="14"/>
      <c r="I199" s="1"/>
      <c r="J199" s="1"/>
      <c r="K199" s="7">
        <f t="shared" ref="K199:W199" si="216">K200</f>
        <v>148946959</v>
      </c>
      <c r="L199" s="7">
        <f t="shared" si="216"/>
        <v>325480</v>
      </c>
      <c r="M199" s="7">
        <f t="shared" si="216"/>
        <v>149272439</v>
      </c>
      <c r="N199" s="7">
        <f t="shared" si="216"/>
        <v>1033500</v>
      </c>
      <c r="O199" s="7">
        <f t="shared" si="216"/>
        <v>150305939</v>
      </c>
      <c r="P199" s="7">
        <f t="shared" si="216"/>
        <v>247500</v>
      </c>
      <c r="Q199" s="7">
        <f t="shared" si="216"/>
        <v>150553439</v>
      </c>
      <c r="R199" s="7">
        <f t="shared" si="216"/>
        <v>1604959.91</v>
      </c>
      <c r="S199" s="7">
        <f t="shared" si="216"/>
        <v>152158398.91</v>
      </c>
      <c r="T199" s="7"/>
      <c r="U199" s="7"/>
      <c r="V199" s="316"/>
      <c r="W199" s="7">
        <f t="shared" si="216"/>
        <v>-1677657.7800000003</v>
      </c>
      <c r="X199" s="2">
        <f t="shared" si="161"/>
        <v>150480741.13</v>
      </c>
      <c r="Z199" s="8"/>
      <c r="AB199" s="8"/>
    </row>
    <row r="200" spans="1:28" s="5" customFormat="1" ht="24.75" customHeight="1" x14ac:dyDescent="0.25">
      <c r="A200" s="348" t="s">
        <v>110</v>
      </c>
      <c r="B200" s="349"/>
      <c r="C200" s="15"/>
      <c r="D200" s="15">
        <v>52</v>
      </c>
      <c r="E200" s="15">
        <v>0</v>
      </c>
      <c r="F200" s="15">
        <v>852</v>
      </c>
      <c r="G200" s="17"/>
      <c r="H200" s="17"/>
      <c r="I200" s="17"/>
      <c r="J200" s="1"/>
      <c r="K200" s="11">
        <f>K201+K204+K207+K210+K213+K223+K231+K234+K237+K240+K245+K251+K254+K261+K264+K267+K270</f>
        <v>148946959</v>
      </c>
      <c r="L200" s="11">
        <f>L201+L204+L207+L210+L213+L223+L231+L234+L237+L240+L245+L251+L254+L261+L264+L267+L270</f>
        <v>325480</v>
      </c>
      <c r="M200" s="11">
        <f>M201+M204+M207+M210+M213+M223+M231+M234+M237+M240+M245+M251+M254+M261+M264+M267+M270</f>
        <v>149272439</v>
      </c>
      <c r="N200" s="11">
        <f>N201+N204+N207+N210+N213+N223+N231+N234+N237+N240+N245+N251+N254+N261+N264+N267+N270</f>
        <v>1033500</v>
      </c>
      <c r="O200" s="11">
        <f>O201+O204+O207+O210+O213+O223+O231+O234+O237+O240+O245+O248+O251+O254+O261+O264+O267+O270</f>
        <v>150305939</v>
      </c>
      <c r="P200" s="11">
        <f>P201+P204+P207+P210+P213+P223+P231+P234+P237+P240+P245+P248+P251+P254+P261+P264+P267+P270</f>
        <v>247500</v>
      </c>
      <c r="Q200" s="11">
        <f>Q201+Q204+Q207+Q210+Q213+Q223+Q231+Q234+Q237+Q240+Q245+Q248+Q251+Q254+Q261+Q264+Q267+Q270</f>
        <v>150553439</v>
      </c>
      <c r="R200" s="11">
        <f>R201+R204+R207+R210+R213+R223+R231+R234+R237+R240+R245+R248+R251+R254+R261+R264+R267+R270</f>
        <v>1604959.91</v>
      </c>
      <c r="S200" s="11">
        <f t="shared" ref="S200:X200" si="217">S201+S204+S207+S210+S213+S223+S228+S231+S234+S237+S240+S245+S248+S251+S254+S261+S264+S267+S270+S273+S276</f>
        <v>152158398.91</v>
      </c>
      <c r="T200" s="11">
        <f t="shared" si="217"/>
        <v>0</v>
      </c>
      <c r="U200" s="11">
        <f t="shared" si="217"/>
        <v>0</v>
      </c>
      <c r="V200" s="165">
        <f t="shared" si="217"/>
        <v>0</v>
      </c>
      <c r="W200" s="11">
        <f t="shared" si="217"/>
        <v>-1677657.7800000003</v>
      </c>
      <c r="X200" s="11">
        <f t="shared" si="217"/>
        <v>150480741.13</v>
      </c>
      <c r="Z200" s="8"/>
    </row>
    <row r="201" spans="1:28" s="5" customFormat="1" ht="24" customHeight="1" x14ac:dyDescent="0.25">
      <c r="A201" s="324" t="s">
        <v>26</v>
      </c>
      <c r="B201" s="324"/>
      <c r="C201" s="173"/>
      <c r="D201" s="173">
        <v>52</v>
      </c>
      <c r="E201" s="173">
        <v>0</v>
      </c>
      <c r="F201" s="173">
        <v>852</v>
      </c>
      <c r="G201" s="1" t="s">
        <v>36</v>
      </c>
      <c r="H201" s="1" t="s">
        <v>57</v>
      </c>
      <c r="I201" s="1" t="s">
        <v>406</v>
      </c>
      <c r="J201" s="1"/>
      <c r="K201" s="2">
        <f t="shared" ref="K201:W202" si="218">K202</f>
        <v>836500</v>
      </c>
      <c r="L201" s="2">
        <f t="shared" si="218"/>
        <v>0</v>
      </c>
      <c r="M201" s="2">
        <f t="shared" si="218"/>
        <v>836500</v>
      </c>
      <c r="N201" s="2">
        <f t="shared" si="218"/>
        <v>0</v>
      </c>
      <c r="O201" s="2">
        <f t="shared" si="218"/>
        <v>836500</v>
      </c>
      <c r="P201" s="2">
        <f t="shared" si="218"/>
        <v>0</v>
      </c>
      <c r="Q201" s="2">
        <f t="shared" si="218"/>
        <v>836500</v>
      </c>
      <c r="R201" s="2">
        <f t="shared" si="218"/>
        <v>0</v>
      </c>
      <c r="S201" s="2">
        <f t="shared" si="218"/>
        <v>836500</v>
      </c>
      <c r="T201" s="2"/>
      <c r="U201" s="2"/>
      <c r="V201" s="95"/>
      <c r="W201" s="2">
        <f t="shared" si="218"/>
        <v>-10689.78</v>
      </c>
      <c r="X201" s="2">
        <f t="shared" si="161"/>
        <v>825810.22</v>
      </c>
      <c r="Z201" s="8"/>
    </row>
    <row r="202" spans="1:28" s="5" customFormat="1" ht="36" customHeight="1" x14ac:dyDescent="0.25">
      <c r="A202" s="14"/>
      <c r="B202" s="301" t="s">
        <v>21</v>
      </c>
      <c r="C202" s="173"/>
      <c r="D202" s="173">
        <v>52</v>
      </c>
      <c r="E202" s="173">
        <v>0</v>
      </c>
      <c r="F202" s="173">
        <v>852</v>
      </c>
      <c r="G202" s="1" t="s">
        <v>36</v>
      </c>
      <c r="H202" s="1" t="s">
        <v>57</v>
      </c>
      <c r="I202" s="1" t="s">
        <v>406</v>
      </c>
      <c r="J202" s="1" t="s">
        <v>23</v>
      </c>
      <c r="K202" s="2">
        <f t="shared" si="218"/>
        <v>836500</v>
      </c>
      <c r="L202" s="2">
        <f t="shared" si="218"/>
        <v>0</v>
      </c>
      <c r="M202" s="2">
        <f t="shared" si="218"/>
        <v>836500</v>
      </c>
      <c r="N202" s="2">
        <f t="shared" si="218"/>
        <v>0</v>
      </c>
      <c r="O202" s="2">
        <f t="shared" si="218"/>
        <v>836500</v>
      </c>
      <c r="P202" s="2">
        <f t="shared" si="218"/>
        <v>0</v>
      </c>
      <c r="Q202" s="2">
        <f t="shared" si="218"/>
        <v>836500</v>
      </c>
      <c r="R202" s="2">
        <f t="shared" si="218"/>
        <v>0</v>
      </c>
      <c r="S202" s="2">
        <f t="shared" si="218"/>
        <v>836500</v>
      </c>
      <c r="T202" s="2"/>
      <c r="U202" s="2"/>
      <c r="V202" s="95"/>
      <c r="W202" s="2">
        <f t="shared" si="218"/>
        <v>-10689.78</v>
      </c>
      <c r="X202" s="2">
        <f t="shared" si="161"/>
        <v>825810.22</v>
      </c>
      <c r="Z202" s="8"/>
    </row>
    <row r="203" spans="1:28" s="5" customFormat="1" ht="15" customHeight="1" x14ac:dyDescent="0.25">
      <c r="A203" s="14"/>
      <c r="B203" s="301" t="s">
        <v>24</v>
      </c>
      <c r="C203" s="173"/>
      <c r="D203" s="173">
        <v>52</v>
      </c>
      <c r="E203" s="173">
        <v>0</v>
      </c>
      <c r="F203" s="173">
        <v>852</v>
      </c>
      <c r="G203" s="1" t="s">
        <v>36</v>
      </c>
      <c r="H203" s="1" t="s">
        <v>57</v>
      </c>
      <c r="I203" s="1" t="s">
        <v>406</v>
      </c>
      <c r="J203" s="1" t="s">
        <v>25</v>
      </c>
      <c r="K203" s="2">
        <f>'[2]6 Вед15'!J281</f>
        <v>836500</v>
      </c>
      <c r="L203" s="2">
        <f>'[2]6 Вед15'!K281</f>
        <v>0</v>
      </c>
      <c r="M203" s="2">
        <f t="shared" si="177"/>
        <v>836500</v>
      </c>
      <c r="N203" s="2">
        <f>'[2]6 Вед15'!M281</f>
        <v>0</v>
      </c>
      <c r="O203" s="2">
        <f t="shared" si="178"/>
        <v>836500</v>
      </c>
      <c r="P203" s="2">
        <f>'[2]6 Вед15'!O281</f>
        <v>0</v>
      </c>
      <c r="Q203" s="2">
        <f t="shared" ref="Q203" si="219">O203+P203</f>
        <v>836500</v>
      </c>
      <c r="R203" s="2">
        <f>'[2]6 Вед15'!Q281</f>
        <v>0</v>
      </c>
      <c r="S203" s="2">
        <f t="shared" ref="S203" si="220">Q203+R203</f>
        <v>836500</v>
      </c>
      <c r="T203" s="2"/>
      <c r="U203" s="2"/>
      <c r="V203" s="95"/>
      <c r="W203" s="2">
        <v>-10689.78</v>
      </c>
      <c r="X203" s="2">
        <f t="shared" si="161"/>
        <v>825810.22</v>
      </c>
      <c r="Z203" s="8"/>
    </row>
    <row r="204" spans="1:28" s="22" customFormat="1" ht="13.5" customHeight="1" x14ac:dyDescent="0.25">
      <c r="A204" s="356" t="s">
        <v>114</v>
      </c>
      <c r="B204" s="356"/>
      <c r="C204" s="291"/>
      <c r="D204" s="173">
        <v>52</v>
      </c>
      <c r="E204" s="173">
        <v>0</v>
      </c>
      <c r="F204" s="173">
        <v>852</v>
      </c>
      <c r="G204" s="17" t="s">
        <v>36</v>
      </c>
      <c r="H204" s="17" t="s">
        <v>17</v>
      </c>
      <c r="I204" s="17" t="s">
        <v>336</v>
      </c>
      <c r="J204" s="17"/>
      <c r="K204" s="20">
        <f t="shared" ref="K204:W205" si="221">K205</f>
        <v>11495900</v>
      </c>
      <c r="L204" s="20">
        <f t="shared" si="221"/>
        <v>0</v>
      </c>
      <c r="M204" s="20">
        <f t="shared" si="221"/>
        <v>11495900</v>
      </c>
      <c r="N204" s="20">
        <f t="shared" si="221"/>
        <v>0</v>
      </c>
      <c r="O204" s="20">
        <f t="shared" si="221"/>
        <v>11495900</v>
      </c>
      <c r="P204" s="20">
        <f t="shared" si="221"/>
        <v>0</v>
      </c>
      <c r="Q204" s="20">
        <f t="shared" si="221"/>
        <v>11495900</v>
      </c>
      <c r="R204" s="20">
        <f t="shared" si="221"/>
        <v>1176182</v>
      </c>
      <c r="S204" s="20">
        <f t="shared" si="221"/>
        <v>12672082</v>
      </c>
      <c r="T204" s="20"/>
      <c r="U204" s="20"/>
      <c r="V204" s="166"/>
      <c r="W204" s="20">
        <f t="shared" si="221"/>
        <v>-1539350</v>
      </c>
      <c r="X204" s="2">
        <f t="shared" si="161"/>
        <v>11132732</v>
      </c>
      <c r="Z204" s="8"/>
    </row>
    <row r="205" spans="1:28" s="22" customFormat="1" ht="24.75" customHeight="1" x14ac:dyDescent="0.25">
      <c r="A205" s="303"/>
      <c r="B205" s="303" t="s">
        <v>90</v>
      </c>
      <c r="C205" s="291"/>
      <c r="D205" s="173">
        <v>52</v>
      </c>
      <c r="E205" s="173">
        <v>0</v>
      </c>
      <c r="F205" s="173">
        <v>852</v>
      </c>
      <c r="G205" s="17" t="s">
        <v>36</v>
      </c>
      <c r="H205" s="17" t="s">
        <v>17</v>
      </c>
      <c r="I205" s="17" t="s">
        <v>336</v>
      </c>
      <c r="J205" s="17" t="s">
        <v>86</v>
      </c>
      <c r="K205" s="20">
        <f t="shared" si="221"/>
        <v>11495900</v>
      </c>
      <c r="L205" s="20">
        <f t="shared" si="221"/>
        <v>0</v>
      </c>
      <c r="M205" s="20">
        <f t="shared" si="221"/>
        <v>11495900</v>
      </c>
      <c r="N205" s="20">
        <f t="shared" si="221"/>
        <v>0</v>
      </c>
      <c r="O205" s="20">
        <f t="shared" si="221"/>
        <v>11495900</v>
      </c>
      <c r="P205" s="20">
        <f t="shared" si="221"/>
        <v>0</v>
      </c>
      <c r="Q205" s="20">
        <f t="shared" si="221"/>
        <v>11495900</v>
      </c>
      <c r="R205" s="20">
        <f t="shared" si="221"/>
        <v>1176182</v>
      </c>
      <c r="S205" s="20">
        <f t="shared" si="221"/>
        <v>12672082</v>
      </c>
      <c r="T205" s="20"/>
      <c r="U205" s="20"/>
      <c r="V205" s="166"/>
      <c r="W205" s="20">
        <f t="shared" si="221"/>
        <v>-1539350</v>
      </c>
      <c r="X205" s="2">
        <f t="shared" si="161"/>
        <v>11132732</v>
      </c>
      <c r="Z205" s="8"/>
    </row>
    <row r="206" spans="1:28" s="5" customFormat="1" ht="27" customHeight="1" x14ac:dyDescent="0.25">
      <c r="A206" s="303"/>
      <c r="B206" s="303" t="s">
        <v>87</v>
      </c>
      <c r="C206" s="291"/>
      <c r="D206" s="173">
        <v>52</v>
      </c>
      <c r="E206" s="173">
        <v>0</v>
      </c>
      <c r="F206" s="173">
        <v>852</v>
      </c>
      <c r="G206" s="1" t="s">
        <v>36</v>
      </c>
      <c r="H206" s="1" t="s">
        <v>17</v>
      </c>
      <c r="I206" s="1" t="s">
        <v>336</v>
      </c>
      <c r="J206" s="1" t="s">
        <v>88</v>
      </c>
      <c r="K206" s="2">
        <f>'[2]6 Вед15'!J227</f>
        <v>11495900</v>
      </c>
      <c r="L206" s="2">
        <f>'[2]6 Вед15'!K227</f>
        <v>0</v>
      </c>
      <c r="M206" s="2">
        <f t="shared" si="177"/>
        <v>11495900</v>
      </c>
      <c r="N206" s="2">
        <f>'[2]6 Вед15'!M227</f>
        <v>0</v>
      </c>
      <c r="O206" s="2">
        <f t="shared" si="178"/>
        <v>11495900</v>
      </c>
      <c r="P206" s="2">
        <f>'[2]6 Вед15'!O227</f>
        <v>0</v>
      </c>
      <c r="Q206" s="2">
        <f t="shared" ref="Q206" si="222">O206+P206</f>
        <v>11495900</v>
      </c>
      <c r="R206" s="2">
        <f>'[2]6 Вед15'!Q227</f>
        <v>1176182</v>
      </c>
      <c r="S206" s="2">
        <f t="shared" ref="S206" si="223">Q206+R206</f>
        <v>12672082</v>
      </c>
      <c r="T206" s="2"/>
      <c r="U206" s="2"/>
      <c r="V206" s="95"/>
      <c r="W206" s="2">
        <v>-1539350</v>
      </c>
      <c r="X206" s="2">
        <f t="shared" si="161"/>
        <v>11132732</v>
      </c>
      <c r="Z206" s="8"/>
    </row>
    <row r="207" spans="1:28" s="5" customFormat="1" ht="15" customHeight="1" x14ac:dyDescent="0.25">
      <c r="A207" s="324" t="s">
        <v>122</v>
      </c>
      <c r="B207" s="324"/>
      <c r="C207" s="291"/>
      <c r="D207" s="173">
        <v>52</v>
      </c>
      <c r="E207" s="173">
        <v>0</v>
      </c>
      <c r="F207" s="173">
        <v>852</v>
      </c>
      <c r="G207" s="1" t="s">
        <v>36</v>
      </c>
      <c r="H207" s="1" t="s">
        <v>72</v>
      </c>
      <c r="I207" s="1" t="s">
        <v>337</v>
      </c>
      <c r="J207" s="1"/>
      <c r="K207" s="2">
        <f t="shared" ref="K207:W208" si="224">K208</f>
        <v>13985000</v>
      </c>
      <c r="L207" s="2">
        <f t="shared" si="224"/>
        <v>0</v>
      </c>
      <c r="M207" s="2">
        <f t="shared" si="224"/>
        <v>13985000</v>
      </c>
      <c r="N207" s="2">
        <f t="shared" si="224"/>
        <v>-49248</v>
      </c>
      <c r="O207" s="2">
        <f t="shared" si="224"/>
        <v>13935752</v>
      </c>
      <c r="P207" s="2">
        <f t="shared" si="224"/>
        <v>0</v>
      </c>
      <c r="Q207" s="2">
        <f t="shared" si="224"/>
        <v>13935752</v>
      </c>
      <c r="R207" s="2">
        <f t="shared" si="224"/>
        <v>0</v>
      </c>
      <c r="S207" s="2">
        <f t="shared" si="224"/>
        <v>13935752</v>
      </c>
      <c r="T207" s="2"/>
      <c r="U207" s="2"/>
      <c r="V207" s="95"/>
      <c r="W207" s="2">
        <f t="shared" si="224"/>
        <v>-752394</v>
      </c>
      <c r="X207" s="2">
        <f t="shared" si="161"/>
        <v>13183358</v>
      </c>
      <c r="Z207" s="8"/>
    </row>
    <row r="208" spans="1:28" s="5" customFormat="1" ht="24" x14ac:dyDescent="0.25">
      <c r="A208" s="291"/>
      <c r="B208" s="303" t="s">
        <v>90</v>
      </c>
      <c r="C208" s="291"/>
      <c r="D208" s="173">
        <v>52</v>
      </c>
      <c r="E208" s="173">
        <v>0</v>
      </c>
      <c r="F208" s="173">
        <v>852</v>
      </c>
      <c r="G208" s="1" t="s">
        <v>36</v>
      </c>
      <c r="H208" s="17" t="s">
        <v>72</v>
      </c>
      <c r="I208" s="17" t="s">
        <v>337</v>
      </c>
      <c r="J208" s="1" t="s">
        <v>86</v>
      </c>
      <c r="K208" s="2">
        <f t="shared" si="224"/>
        <v>13985000</v>
      </c>
      <c r="L208" s="2">
        <f t="shared" si="224"/>
        <v>0</v>
      </c>
      <c r="M208" s="2">
        <f t="shared" si="224"/>
        <v>13985000</v>
      </c>
      <c r="N208" s="2">
        <f t="shared" si="224"/>
        <v>-49248</v>
      </c>
      <c r="O208" s="2">
        <f t="shared" si="224"/>
        <v>13935752</v>
      </c>
      <c r="P208" s="2">
        <f t="shared" si="224"/>
        <v>0</v>
      </c>
      <c r="Q208" s="2">
        <f t="shared" si="224"/>
        <v>13935752</v>
      </c>
      <c r="R208" s="2">
        <f t="shared" si="224"/>
        <v>0</v>
      </c>
      <c r="S208" s="2">
        <f t="shared" si="224"/>
        <v>13935752</v>
      </c>
      <c r="T208" s="2"/>
      <c r="U208" s="2"/>
      <c r="V208" s="95"/>
      <c r="W208" s="2">
        <f t="shared" si="224"/>
        <v>-752394</v>
      </c>
      <c r="X208" s="2">
        <f t="shared" si="161"/>
        <v>13183358</v>
      </c>
      <c r="Z208" s="8"/>
    </row>
    <row r="209" spans="1:26" s="5" customFormat="1" ht="27" customHeight="1" x14ac:dyDescent="0.25">
      <c r="A209" s="291"/>
      <c r="B209" s="303" t="s">
        <v>87</v>
      </c>
      <c r="C209" s="291"/>
      <c r="D209" s="173">
        <v>52</v>
      </c>
      <c r="E209" s="173">
        <v>0</v>
      </c>
      <c r="F209" s="173">
        <v>852</v>
      </c>
      <c r="G209" s="1" t="s">
        <v>36</v>
      </c>
      <c r="H209" s="17" t="s">
        <v>72</v>
      </c>
      <c r="I209" s="17" t="s">
        <v>337</v>
      </c>
      <c r="J209" s="1" t="s">
        <v>88</v>
      </c>
      <c r="K209" s="2">
        <f>'[2]6 Вед15'!J243</f>
        <v>13985000</v>
      </c>
      <c r="L209" s="2">
        <f>'[2]6 Вед15'!K243</f>
        <v>0</v>
      </c>
      <c r="M209" s="2">
        <f t="shared" si="177"/>
        <v>13985000</v>
      </c>
      <c r="N209" s="2">
        <f>'[2]6 Вед15'!M243</f>
        <v>-49248</v>
      </c>
      <c r="O209" s="2">
        <f t="shared" si="178"/>
        <v>13935752</v>
      </c>
      <c r="P209" s="2">
        <f>'[2]6 Вед15'!O243</f>
        <v>0</v>
      </c>
      <c r="Q209" s="2">
        <f t="shared" ref="Q209" si="225">O209+P209</f>
        <v>13935752</v>
      </c>
      <c r="R209" s="2">
        <f>'[2]6 Вед15'!Q243</f>
        <v>0</v>
      </c>
      <c r="S209" s="2">
        <f t="shared" ref="S209" si="226">Q209+R209</f>
        <v>13935752</v>
      </c>
      <c r="T209" s="2"/>
      <c r="U209" s="2"/>
      <c r="V209" s="95"/>
      <c r="W209" s="2">
        <v>-752394</v>
      </c>
      <c r="X209" s="2">
        <f t="shared" si="161"/>
        <v>13183358</v>
      </c>
      <c r="Z209" s="8"/>
    </row>
    <row r="210" spans="1:26" s="5" customFormat="1" ht="14.25" customHeight="1" x14ac:dyDescent="0.25">
      <c r="A210" s="324" t="s">
        <v>124</v>
      </c>
      <c r="B210" s="324"/>
      <c r="C210" s="291"/>
      <c r="D210" s="173">
        <v>52</v>
      </c>
      <c r="E210" s="173">
        <v>0</v>
      </c>
      <c r="F210" s="173">
        <v>852</v>
      </c>
      <c r="G210" s="17" t="s">
        <v>36</v>
      </c>
      <c r="H210" s="17" t="s">
        <v>72</v>
      </c>
      <c r="I210" s="17" t="s">
        <v>338</v>
      </c>
      <c r="J210" s="1"/>
      <c r="K210" s="2">
        <f t="shared" ref="K210:W211" si="227">K211</f>
        <v>8331600</v>
      </c>
      <c r="L210" s="2">
        <f t="shared" si="227"/>
        <v>0</v>
      </c>
      <c r="M210" s="2">
        <f t="shared" si="227"/>
        <v>8331600</v>
      </c>
      <c r="N210" s="2">
        <f t="shared" si="227"/>
        <v>0</v>
      </c>
      <c r="O210" s="2">
        <f t="shared" si="227"/>
        <v>8331600</v>
      </c>
      <c r="P210" s="2">
        <f t="shared" si="227"/>
        <v>0</v>
      </c>
      <c r="Q210" s="2">
        <f t="shared" si="227"/>
        <v>8331600</v>
      </c>
      <c r="R210" s="2">
        <f t="shared" si="227"/>
        <v>-329104</v>
      </c>
      <c r="S210" s="2">
        <f t="shared" si="227"/>
        <v>8002496</v>
      </c>
      <c r="T210" s="2"/>
      <c r="U210" s="2"/>
      <c r="V210" s="95"/>
      <c r="W210" s="2">
        <f t="shared" si="227"/>
        <v>-371000</v>
      </c>
      <c r="X210" s="2">
        <f t="shared" si="161"/>
        <v>7631496</v>
      </c>
      <c r="Z210" s="8"/>
    </row>
    <row r="211" spans="1:26" s="5" customFormat="1" ht="24" x14ac:dyDescent="0.25">
      <c r="A211" s="291"/>
      <c r="B211" s="303" t="s">
        <v>90</v>
      </c>
      <c r="C211" s="291"/>
      <c r="D211" s="173">
        <v>52</v>
      </c>
      <c r="E211" s="173">
        <v>0</v>
      </c>
      <c r="F211" s="173">
        <v>852</v>
      </c>
      <c r="G211" s="1" t="s">
        <v>36</v>
      </c>
      <c r="H211" s="17" t="s">
        <v>72</v>
      </c>
      <c r="I211" s="17" t="s">
        <v>338</v>
      </c>
      <c r="J211" s="1" t="s">
        <v>86</v>
      </c>
      <c r="K211" s="2">
        <f t="shared" si="227"/>
        <v>8331600</v>
      </c>
      <c r="L211" s="2">
        <f t="shared" si="227"/>
        <v>0</v>
      </c>
      <c r="M211" s="2">
        <f t="shared" si="227"/>
        <v>8331600</v>
      </c>
      <c r="N211" s="2">
        <f t="shared" si="227"/>
        <v>0</v>
      </c>
      <c r="O211" s="2">
        <f t="shared" si="227"/>
        <v>8331600</v>
      </c>
      <c r="P211" s="2">
        <f t="shared" si="227"/>
        <v>0</v>
      </c>
      <c r="Q211" s="2">
        <f t="shared" si="227"/>
        <v>8331600</v>
      </c>
      <c r="R211" s="2">
        <f t="shared" si="227"/>
        <v>-329104</v>
      </c>
      <c r="S211" s="2">
        <f t="shared" si="227"/>
        <v>8002496</v>
      </c>
      <c r="T211" s="2"/>
      <c r="U211" s="2"/>
      <c r="V211" s="95"/>
      <c r="W211" s="2">
        <f t="shared" si="227"/>
        <v>-371000</v>
      </c>
      <c r="X211" s="2">
        <f t="shared" si="161"/>
        <v>7631496</v>
      </c>
      <c r="Z211" s="8"/>
    </row>
    <row r="212" spans="1:26" s="5" customFormat="1" ht="27" customHeight="1" x14ac:dyDescent="0.25">
      <c r="A212" s="291"/>
      <c r="B212" s="303" t="s">
        <v>87</v>
      </c>
      <c r="C212" s="291"/>
      <c r="D212" s="173">
        <v>52</v>
      </c>
      <c r="E212" s="173">
        <v>0</v>
      </c>
      <c r="F212" s="173">
        <v>852</v>
      </c>
      <c r="G212" s="1" t="s">
        <v>36</v>
      </c>
      <c r="H212" s="17" t="s">
        <v>72</v>
      </c>
      <c r="I212" s="17" t="s">
        <v>338</v>
      </c>
      <c r="J212" s="1" t="s">
        <v>88</v>
      </c>
      <c r="K212" s="2">
        <f>'[2]6 Вед15'!J246</f>
        <v>8331600</v>
      </c>
      <c r="L212" s="2">
        <f>'[2]6 Вед15'!K246</f>
        <v>0</v>
      </c>
      <c r="M212" s="2">
        <f t="shared" si="177"/>
        <v>8331600</v>
      </c>
      <c r="N212" s="2">
        <f>'[2]6 Вед15'!M246</f>
        <v>0</v>
      </c>
      <c r="O212" s="2">
        <f t="shared" si="178"/>
        <v>8331600</v>
      </c>
      <c r="P212" s="2">
        <f>'[2]6 Вед15'!O246</f>
        <v>0</v>
      </c>
      <c r="Q212" s="2">
        <f t="shared" ref="Q212" si="228">O212+P212</f>
        <v>8331600</v>
      </c>
      <c r="R212" s="2">
        <f>'[2]6 Вед15'!Q246</f>
        <v>-329104</v>
      </c>
      <c r="S212" s="2">
        <f t="shared" ref="S212" si="229">Q212+R212</f>
        <v>8002496</v>
      </c>
      <c r="T212" s="2"/>
      <c r="U212" s="2"/>
      <c r="V212" s="95"/>
      <c r="W212" s="2">
        <v>-371000</v>
      </c>
      <c r="X212" s="2">
        <f t="shared" si="161"/>
        <v>7631496</v>
      </c>
      <c r="Z212" s="8"/>
    </row>
    <row r="213" spans="1:26" s="5" customFormat="1" ht="15" customHeight="1" x14ac:dyDescent="0.25">
      <c r="A213" s="324" t="s">
        <v>130</v>
      </c>
      <c r="B213" s="324"/>
      <c r="C213" s="291"/>
      <c r="D213" s="173">
        <v>52</v>
      </c>
      <c r="E213" s="173">
        <v>0</v>
      </c>
      <c r="F213" s="173">
        <v>852</v>
      </c>
      <c r="G213" s="1" t="s">
        <v>36</v>
      </c>
      <c r="H213" s="1" t="s">
        <v>57</v>
      </c>
      <c r="I213" s="1" t="s">
        <v>341</v>
      </c>
      <c r="J213" s="1"/>
      <c r="K213" s="2">
        <f t="shared" ref="K213:S213" si="230">K214+K216+K218+K220</f>
        <v>9831800</v>
      </c>
      <c r="L213" s="2">
        <f t="shared" si="230"/>
        <v>0</v>
      </c>
      <c r="M213" s="2">
        <f t="shared" si="230"/>
        <v>9831800</v>
      </c>
      <c r="N213" s="2">
        <f t="shared" si="230"/>
        <v>57314</v>
      </c>
      <c r="O213" s="2">
        <f t="shared" si="230"/>
        <v>9889114</v>
      </c>
      <c r="P213" s="2">
        <f t="shared" si="230"/>
        <v>0</v>
      </c>
      <c r="Q213" s="2">
        <f t="shared" si="230"/>
        <v>9889114</v>
      </c>
      <c r="R213" s="2">
        <f t="shared" si="230"/>
        <v>384100</v>
      </c>
      <c r="S213" s="2">
        <f t="shared" si="230"/>
        <v>10273214</v>
      </c>
      <c r="T213" s="2"/>
      <c r="U213" s="2"/>
      <c r="V213" s="95"/>
      <c r="W213" s="2">
        <f t="shared" ref="W213" si="231">W214+W216+W218+W220</f>
        <v>-70000</v>
      </c>
      <c r="X213" s="2">
        <f t="shared" ref="X213:X283" si="232">S213+W213</f>
        <v>10203214</v>
      </c>
      <c r="Z213" s="8"/>
    </row>
    <row r="214" spans="1:26" s="5" customFormat="1" ht="36.75" customHeight="1" x14ac:dyDescent="0.25">
      <c r="A214" s="14"/>
      <c r="B214" s="301" t="s">
        <v>21</v>
      </c>
      <c r="C214" s="173"/>
      <c r="D214" s="173">
        <v>52</v>
      </c>
      <c r="E214" s="173">
        <v>0</v>
      </c>
      <c r="F214" s="173">
        <v>852</v>
      </c>
      <c r="G214" s="1" t="s">
        <v>36</v>
      </c>
      <c r="H214" s="1" t="s">
        <v>57</v>
      </c>
      <c r="I214" s="1" t="s">
        <v>341</v>
      </c>
      <c r="J214" s="1" t="s">
        <v>23</v>
      </c>
      <c r="K214" s="2">
        <f t="shared" ref="K214:W214" si="233">K215</f>
        <v>2427300</v>
      </c>
      <c r="L214" s="2">
        <f t="shared" si="233"/>
        <v>0</v>
      </c>
      <c r="M214" s="2">
        <f t="shared" si="233"/>
        <v>2427300</v>
      </c>
      <c r="N214" s="2">
        <f t="shared" si="233"/>
        <v>1824</v>
      </c>
      <c r="O214" s="2">
        <f t="shared" si="233"/>
        <v>2429124</v>
      </c>
      <c r="P214" s="2">
        <f t="shared" si="233"/>
        <v>0</v>
      </c>
      <c r="Q214" s="2">
        <f t="shared" si="233"/>
        <v>2429124</v>
      </c>
      <c r="R214" s="2">
        <f t="shared" si="233"/>
        <v>0</v>
      </c>
      <c r="S214" s="2">
        <f t="shared" si="233"/>
        <v>2429124</v>
      </c>
      <c r="T214" s="2"/>
      <c r="U214" s="2"/>
      <c r="V214" s="95"/>
      <c r="W214" s="2">
        <f t="shared" si="233"/>
        <v>-41786</v>
      </c>
      <c r="X214" s="2">
        <f t="shared" si="232"/>
        <v>2387338</v>
      </c>
      <c r="Z214" s="8"/>
    </row>
    <row r="215" spans="1:26" s="5" customFormat="1" ht="15" customHeight="1" x14ac:dyDescent="0.25">
      <c r="A215" s="14"/>
      <c r="B215" s="301" t="s">
        <v>24</v>
      </c>
      <c r="C215" s="173"/>
      <c r="D215" s="173">
        <v>52</v>
      </c>
      <c r="E215" s="173">
        <v>0</v>
      </c>
      <c r="F215" s="173">
        <v>852</v>
      </c>
      <c r="G215" s="1" t="s">
        <v>36</v>
      </c>
      <c r="H215" s="1" t="s">
        <v>57</v>
      </c>
      <c r="I215" s="1" t="s">
        <v>341</v>
      </c>
      <c r="J215" s="1" t="s">
        <v>25</v>
      </c>
      <c r="K215" s="2">
        <f>'[2]6 Вед15'!J284</f>
        <v>2427300</v>
      </c>
      <c r="L215" s="2">
        <f>'[2]6 Вед15'!K284</f>
        <v>0</v>
      </c>
      <c r="M215" s="2">
        <f t="shared" si="177"/>
        <v>2427300</v>
      </c>
      <c r="N215" s="2">
        <f>'[2]6 Вед15'!M284</f>
        <v>1824</v>
      </c>
      <c r="O215" s="2">
        <f t="shared" si="178"/>
        <v>2429124</v>
      </c>
      <c r="P215" s="2">
        <f>'[2]6 Вед15'!O284</f>
        <v>0</v>
      </c>
      <c r="Q215" s="2">
        <f t="shared" ref="Q215" si="234">O215+P215</f>
        <v>2429124</v>
      </c>
      <c r="R215" s="2">
        <f>'[2]6 Вед15'!Q284</f>
        <v>0</v>
      </c>
      <c r="S215" s="2">
        <f t="shared" ref="S215" si="235">Q215+R215</f>
        <v>2429124</v>
      </c>
      <c r="T215" s="2"/>
      <c r="U215" s="2"/>
      <c r="V215" s="95"/>
      <c r="W215" s="2">
        <v>-41786</v>
      </c>
      <c r="X215" s="2">
        <f t="shared" si="232"/>
        <v>2387338</v>
      </c>
      <c r="Z215" s="8"/>
    </row>
    <row r="216" spans="1:26" s="5" customFormat="1" ht="15" customHeight="1" x14ac:dyDescent="0.25">
      <c r="A216" s="301"/>
      <c r="B216" s="303" t="s">
        <v>27</v>
      </c>
      <c r="C216" s="301"/>
      <c r="D216" s="173">
        <v>52</v>
      </c>
      <c r="E216" s="173">
        <v>0</v>
      </c>
      <c r="F216" s="173">
        <v>852</v>
      </c>
      <c r="G216" s="1" t="s">
        <v>36</v>
      </c>
      <c r="H216" s="1" t="s">
        <v>57</v>
      </c>
      <c r="I216" s="1" t="s">
        <v>341</v>
      </c>
      <c r="J216" s="1" t="s">
        <v>28</v>
      </c>
      <c r="K216" s="2">
        <f t="shared" ref="K216:W216" si="236">K217</f>
        <v>505100</v>
      </c>
      <c r="L216" s="2">
        <f t="shared" si="236"/>
        <v>0</v>
      </c>
      <c r="M216" s="2">
        <f t="shared" si="236"/>
        <v>505100</v>
      </c>
      <c r="N216" s="2">
        <f t="shared" si="236"/>
        <v>-1824</v>
      </c>
      <c r="O216" s="2">
        <f t="shared" si="236"/>
        <v>503276</v>
      </c>
      <c r="P216" s="2">
        <f t="shared" si="236"/>
        <v>0</v>
      </c>
      <c r="Q216" s="2">
        <f t="shared" si="236"/>
        <v>503276</v>
      </c>
      <c r="R216" s="2">
        <f t="shared" si="236"/>
        <v>0</v>
      </c>
      <c r="S216" s="2">
        <f t="shared" si="236"/>
        <v>503276</v>
      </c>
      <c r="T216" s="2"/>
      <c r="U216" s="2"/>
      <c r="V216" s="95"/>
      <c r="W216" s="2">
        <f t="shared" si="236"/>
        <v>-23010</v>
      </c>
      <c r="X216" s="2">
        <f t="shared" si="232"/>
        <v>480266</v>
      </c>
      <c r="Z216" s="8"/>
    </row>
    <row r="217" spans="1:26" s="5" customFormat="1" ht="15" customHeight="1" x14ac:dyDescent="0.25">
      <c r="A217" s="301"/>
      <c r="B217" s="303" t="s">
        <v>29</v>
      </c>
      <c r="C217" s="291"/>
      <c r="D217" s="173">
        <v>52</v>
      </c>
      <c r="E217" s="173">
        <v>0</v>
      </c>
      <c r="F217" s="173">
        <v>852</v>
      </c>
      <c r="G217" s="1" t="s">
        <v>36</v>
      </c>
      <c r="H217" s="1" t="s">
        <v>57</v>
      </c>
      <c r="I217" s="1" t="s">
        <v>341</v>
      </c>
      <c r="J217" s="1" t="s">
        <v>30</v>
      </c>
      <c r="K217" s="2">
        <f>'[2]6 Вед15'!J286</f>
        <v>505100</v>
      </c>
      <c r="L217" s="2">
        <f>'[2]6 Вед15'!K286</f>
        <v>0</v>
      </c>
      <c r="M217" s="2">
        <f t="shared" si="177"/>
        <v>505100</v>
      </c>
      <c r="N217" s="2">
        <f>'[2]6 Вед15'!M286</f>
        <v>-1824</v>
      </c>
      <c r="O217" s="2">
        <f t="shared" si="178"/>
        <v>503276</v>
      </c>
      <c r="P217" s="2">
        <f>'[2]6 Вед15'!O286</f>
        <v>0</v>
      </c>
      <c r="Q217" s="2">
        <f t="shared" ref="Q217" si="237">O217+P217</f>
        <v>503276</v>
      </c>
      <c r="R217" s="2">
        <f>'[2]6 Вед15'!Q286</f>
        <v>0</v>
      </c>
      <c r="S217" s="2">
        <f t="shared" ref="S217" si="238">Q217+R217</f>
        <v>503276</v>
      </c>
      <c r="T217" s="2"/>
      <c r="U217" s="2"/>
      <c r="V217" s="95"/>
      <c r="W217" s="2">
        <v>-23010</v>
      </c>
      <c r="X217" s="2">
        <f t="shared" si="232"/>
        <v>480266</v>
      </c>
      <c r="Z217" s="8"/>
    </row>
    <row r="218" spans="1:26" s="5" customFormat="1" ht="24" hidden="1" x14ac:dyDescent="0.25">
      <c r="A218" s="291"/>
      <c r="B218" s="303" t="s">
        <v>90</v>
      </c>
      <c r="C218" s="291"/>
      <c r="D218" s="173">
        <v>52</v>
      </c>
      <c r="E218" s="173">
        <v>0</v>
      </c>
      <c r="F218" s="173">
        <v>852</v>
      </c>
      <c r="G218" s="1" t="s">
        <v>36</v>
      </c>
      <c r="H218" s="1" t="s">
        <v>57</v>
      </c>
      <c r="I218" s="1" t="s">
        <v>341</v>
      </c>
      <c r="J218" s="1" t="s">
        <v>86</v>
      </c>
      <c r="K218" s="2">
        <f t="shared" ref="K218:W218" si="239">K219</f>
        <v>6887400</v>
      </c>
      <c r="L218" s="2">
        <f t="shared" si="239"/>
        <v>0</v>
      </c>
      <c r="M218" s="2">
        <f t="shared" si="239"/>
        <v>6887400</v>
      </c>
      <c r="N218" s="2">
        <f t="shared" si="239"/>
        <v>57314</v>
      </c>
      <c r="O218" s="2">
        <f t="shared" si="239"/>
        <v>6944714</v>
      </c>
      <c r="P218" s="2">
        <f t="shared" si="239"/>
        <v>0</v>
      </c>
      <c r="Q218" s="2">
        <f t="shared" si="239"/>
        <v>6944714</v>
      </c>
      <c r="R218" s="2">
        <f t="shared" si="239"/>
        <v>384100</v>
      </c>
      <c r="S218" s="2">
        <f t="shared" si="239"/>
        <v>7328814</v>
      </c>
      <c r="T218" s="2"/>
      <c r="U218" s="2"/>
      <c r="V218" s="95"/>
      <c r="W218" s="2">
        <f t="shared" si="239"/>
        <v>0</v>
      </c>
      <c r="X218" s="2">
        <f t="shared" si="232"/>
        <v>7328814</v>
      </c>
      <c r="Z218" s="8"/>
    </row>
    <row r="219" spans="1:26" s="5" customFormat="1" ht="35.25" hidden="1" customHeight="1" x14ac:dyDescent="0.25">
      <c r="A219" s="291"/>
      <c r="B219" s="303" t="s">
        <v>87</v>
      </c>
      <c r="C219" s="291"/>
      <c r="D219" s="173">
        <v>52</v>
      </c>
      <c r="E219" s="173">
        <v>0</v>
      </c>
      <c r="F219" s="173">
        <v>852</v>
      </c>
      <c r="G219" s="1" t="s">
        <v>36</v>
      </c>
      <c r="H219" s="1" t="s">
        <v>57</v>
      </c>
      <c r="I219" s="1" t="s">
        <v>341</v>
      </c>
      <c r="J219" s="1" t="s">
        <v>88</v>
      </c>
      <c r="K219" s="2">
        <f>'[2]6 Вед15'!J288</f>
        <v>6887400</v>
      </c>
      <c r="L219" s="2">
        <f>'[2]6 Вед15'!K288</f>
        <v>0</v>
      </c>
      <c r="M219" s="2">
        <f t="shared" si="177"/>
        <v>6887400</v>
      </c>
      <c r="N219" s="2">
        <f>'[2]6 Вед15'!M288</f>
        <v>57314</v>
      </c>
      <c r="O219" s="2">
        <f t="shared" si="178"/>
        <v>6944714</v>
      </c>
      <c r="P219" s="2">
        <f>'[2]6 Вед15'!O288</f>
        <v>0</v>
      </c>
      <c r="Q219" s="2">
        <f t="shared" ref="Q219" si="240">O219+P219</f>
        <v>6944714</v>
      </c>
      <c r="R219" s="2">
        <f>'[2]6 Вед15'!Q288</f>
        <v>384100</v>
      </c>
      <c r="S219" s="2">
        <f t="shared" ref="S219" si="241">Q219+R219</f>
        <v>7328814</v>
      </c>
      <c r="T219" s="2"/>
      <c r="U219" s="2"/>
      <c r="V219" s="95"/>
      <c r="W219" s="2">
        <f>'[2]6 Вед15'!V288</f>
        <v>0</v>
      </c>
      <c r="X219" s="2">
        <f t="shared" si="232"/>
        <v>7328814</v>
      </c>
      <c r="Z219" s="8"/>
    </row>
    <row r="220" spans="1:26" s="5" customFormat="1" ht="15" customHeight="1" x14ac:dyDescent="0.25">
      <c r="A220" s="291"/>
      <c r="B220" s="291" t="s">
        <v>31</v>
      </c>
      <c r="C220" s="291"/>
      <c r="D220" s="173">
        <v>52</v>
      </c>
      <c r="E220" s="173">
        <v>0</v>
      </c>
      <c r="F220" s="173">
        <v>852</v>
      </c>
      <c r="G220" s="1" t="s">
        <v>36</v>
      </c>
      <c r="H220" s="1" t="s">
        <v>57</v>
      </c>
      <c r="I220" s="1" t="s">
        <v>341</v>
      </c>
      <c r="J220" s="1" t="s">
        <v>32</v>
      </c>
      <c r="K220" s="2">
        <f t="shared" ref="K220:P220" si="242">K221</f>
        <v>12000</v>
      </c>
      <c r="L220" s="2">
        <f t="shared" si="242"/>
        <v>0</v>
      </c>
      <c r="M220" s="2">
        <f t="shared" si="242"/>
        <v>12000</v>
      </c>
      <c r="N220" s="2">
        <f t="shared" si="242"/>
        <v>0</v>
      </c>
      <c r="O220" s="2">
        <f t="shared" si="242"/>
        <v>12000</v>
      </c>
      <c r="P220" s="2">
        <f t="shared" si="242"/>
        <v>0</v>
      </c>
      <c r="Q220" s="2">
        <f>Q221+Q222</f>
        <v>12000</v>
      </c>
      <c r="R220" s="2">
        <f t="shared" ref="R220:S220" si="243">R221+R222</f>
        <v>0</v>
      </c>
      <c r="S220" s="2">
        <f t="shared" si="243"/>
        <v>12000</v>
      </c>
      <c r="T220" s="2"/>
      <c r="U220" s="2"/>
      <c r="V220" s="95"/>
      <c r="W220" s="2">
        <f t="shared" ref="W220" si="244">W221+W222</f>
        <v>-5204</v>
      </c>
      <c r="X220" s="2">
        <f t="shared" si="232"/>
        <v>6796</v>
      </c>
      <c r="Z220" s="8"/>
    </row>
    <row r="221" spans="1:26" s="5" customFormat="1" ht="15" customHeight="1" x14ac:dyDescent="0.25">
      <c r="A221" s="291"/>
      <c r="B221" s="291" t="s">
        <v>33</v>
      </c>
      <c r="C221" s="291"/>
      <c r="D221" s="173">
        <v>52</v>
      </c>
      <c r="E221" s="173">
        <v>0</v>
      </c>
      <c r="F221" s="173">
        <v>852</v>
      </c>
      <c r="G221" s="1" t="s">
        <v>36</v>
      </c>
      <c r="H221" s="1" t="s">
        <v>57</v>
      </c>
      <c r="I221" s="1" t="s">
        <v>341</v>
      </c>
      <c r="J221" s="1" t="s">
        <v>34</v>
      </c>
      <c r="K221" s="2">
        <f>'[2]6 Вед15'!J290</f>
        <v>12000</v>
      </c>
      <c r="L221" s="2">
        <f>'[2]6 Вед15'!K290</f>
        <v>0</v>
      </c>
      <c r="M221" s="2">
        <f t="shared" si="177"/>
        <v>12000</v>
      </c>
      <c r="N221" s="2">
        <f>'[2]6 Вед15'!M290</f>
        <v>0</v>
      </c>
      <c r="O221" s="2">
        <f t="shared" si="178"/>
        <v>12000</v>
      </c>
      <c r="P221" s="2">
        <f>'[2]6 Вед15'!O290</f>
        <v>0</v>
      </c>
      <c r="Q221" s="2">
        <f t="shared" ref="Q221" si="245">O221+P221</f>
        <v>12000</v>
      </c>
      <c r="R221" s="2">
        <f>'[2]6 Вед15'!Q290</f>
        <v>-563</v>
      </c>
      <c r="S221" s="2">
        <f t="shared" ref="S221:S222" si="246">Q221+R221</f>
        <v>11437</v>
      </c>
      <c r="T221" s="2"/>
      <c r="U221" s="2"/>
      <c r="V221" s="95"/>
      <c r="W221" s="2">
        <v>-5204</v>
      </c>
      <c r="X221" s="2">
        <f t="shared" si="232"/>
        <v>6233</v>
      </c>
      <c r="Z221" s="8"/>
    </row>
    <row r="222" spans="1:26" s="5" customFormat="1" ht="15" customHeight="1" x14ac:dyDescent="0.25">
      <c r="A222" s="291"/>
      <c r="B222" s="301" t="s">
        <v>435</v>
      </c>
      <c r="C222" s="291"/>
      <c r="D222" s="173">
        <v>52</v>
      </c>
      <c r="E222" s="173">
        <v>0</v>
      </c>
      <c r="F222" s="173">
        <v>852</v>
      </c>
      <c r="G222" s="1"/>
      <c r="H222" s="1"/>
      <c r="I222" s="1" t="s">
        <v>341</v>
      </c>
      <c r="J222" s="1" t="s">
        <v>35</v>
      </c>
      <c r="K222" s="2"/>
      <c r="L222" s="2"/>
      <c r="M222" s="2"/>
      <c r="N222" s="2"/>
      <c r="O222" s="2"/>
      <c r="P222" s="2"/>
      <c r="Q222" s="2"/>
      <c r="R222" s="2">
        <f>'[2]6 Вед15'!Q291</f>
        <v>563</v>
      </c>
      <c r="S222" s="2">
        <f t="shared" si="246"/>
        <v>563</v>
      </c>
      <c r="T222" s="2"/>
      <c r="U222" s="2"/>
      <c r="V222" s="95"/>
      <c r="W222" s="2">
        <f>'[2]6 Вед15'!V291</f>
        <v>0</v>
      </c>
      <c r="X222" s="2">
        <f t="shared" si="232"/>
        <v>563</v>
      </c>
      <c r="Z222" s="8"/>
    </row>
    <row r="223" spans="1:26" s="5" customFormat="1" ht="36" customHeight="1" x14ac:dyDescent="0.25">
      <c r="A223" s="324" t="s">
        <v>45</v>
      </c>
      <c r="B223" s="324"/>
      <c r="C223" s="173"/>
      <c r="D223" s="173">
        <v>52</v>
      </c>
      <c r="E223" s="173">
        <v>0</v>
      </c>
      <c r="F223" s="173">
        <v>852</v>
      </c>
      <c r="G223" s="1" t="s">
        <v>0</v>
      </c>
      <c r="H223" s="1" t="s">
        <v>1</v>
      </c>
      <c r="I223" s="1" t="s">
        <v>315</v>
      </c>
      <c r="J223" s="1"/>
      <c r="K223" s="2">
        <f t="shared" ref="K223:S223" si="247">K224+K226</f>
        <v>510800</v>
      </c>
      <c r="L223" s="2">
        <f t="shared" si="247"/>
        <v>0</v>
      </c>
      <c r="M223" s="2">
        <f t="shared" si="247"/>
        <v>510800</v>
      </c>
      <c r="N223" s="2">
        <f t="shared" si="247"/>
        <v>-35763</v>
      </c>
      <c r="O223" s="2">
        <f t="shared" si="247"/>
        <v>475037</v>
      </c>
      <c r="P223" s="2">
        <f t="shared" si="247"/>
        <v>0</v>
      </c>
      <c r="Q223" s="2">
        <f t="shared" si="247"/>
        <v>475037</v>
      </c>
      <c r="R223" s="2">
        <f t="shared" si="247"/>
        <v>0</v>
      </c>
      <c r="S223" s="2">
        <f t="shared" si="247"/>
        <v>475037</v>
      </c>
      <c r="T223" s="2"/>
      <c r="U223" s="2"/>
      <c r="V223" s="95"/>
      <c r="W223" s="2">
        <f t="shared" ref="W223" si="248">W224+W226</f>
        <v>0</v>
      </c>
      <c r="X223" s="2">
        <f t="shared" si="232"/>
        <v>475037</v>
      </c>
      <c r="Z223" s="8"/>
    </row>
    <row r="224" spans="1:26" s="5" customFormat="1" ht="35.25" customHeight="1" x14ac:dyDescent="0.25">
      <c r="A224" s="14"/>
      <c r="B224" s="301" t="s">
        <v>21</v>
      </c>
      <c r="C224" s="173"/>
      <c r="D224" s="173">
        <v>52</v>
      </c>
      <c r="E224" s="173">
        <v>0</v>
      </c>
      <c r="F224" s="173">
        <v>852</v>
      </c>
      <c r="G224" s="17" t="s">
        <v>0</v>
      </c>
      <c r="H224" s="17" t="s">
        <v>1</v>
      </c>
      <c r="I224" s="17" t="s">
        <v>315</v>
      </c>
      <c r="J224" s="1" t="s">
        <v>23</v>
      </c>
      <c r="K224" s="2">
        <f t="shared" ref="K224:W224" si="249">K225</f>
        <v>379550</v>
      </c>
      <c r="L224" s="2">
        <f t="shared" si="249"/>
        <v>0</v>
      </c>
      <c r="M224" s="2">
        <f t="shared" si="249"/>
        <v>379550</v>
      </c>
      <c r="N224" s="2">
        <f t="shared" si="249"/>
        <v>0</v>
      </c>
      <c r="O224" s="2">
        <f t="shared" si="249"/>
        <v>379550</v>
      </c>
      <c r="P224" s="2">
        <f t="shared" si="249"/>
        <v>0</v>
      </c>
      <c r="Q224" s="2">
        <f t="shared" si="249"/>
        <v>379550</v>
      </c>
      <c r="R224" s="2">
        <f t="shared" si="249"/>
        <v>0</v>
      </c>
      <c r="S224" s="2">
        <f t="shared" si="249"/>
        <v>379550</v>
      </c>
      <c r="T224" s="2"/>
      <c r="U224" s="2"/>
      <c r="V224" s="95"/>
      <c r="W224" s="2">
        <f t="shared" si="249"/>
        <v>25176.61</v>
      </c>
      <c r="X224" s="2">
        <f t="shared" si="232"/>
        <v>404726.61</v>
      </c>
      <c r="Z224" s="8"/>
    </row>
    <row r="225" spans="1:26" s="5" customFormat="1" ht="15" customHeight="1" x14ac:dyDescent="0.25">
      <c r="A225" s="14"/>
      <c r="B225" s="301" t="s">
        <v>24</v>
      </c>
      <c r="C225" s="173"/>
      <c r="D225" s="173">
        <v>52</v>
      </c>
      <c r="E225" s="173">
        <v>0</v>
      </c>
      <c r="F225" s="173">
        <v>852</v>
      </c>
      <c r="G225" s="17" t="s">
        <v>0</v>
      </c>
      <c r="H225" s="17" t="s">
        <v>1</v>
      </c>
      <c r="I225" s="17" t="s">
        <v>315</v>
      </c>
      <c r="J225" s="1" t="s">
        <v>25</v>
      </c>
      <c r="K225" s="2">
        <f>'[2]6 Вед15'!J318</f>
        <v>379550</v>
      </c>
      <c r="L225" s="2">
        <f>'[2]6 Вед15'!K318</f>
        <v>0</v>
      </c>
      <c r="M225" s="2">
        <f t="shared" si="177"/>
        <v>379550</v>
      </c>
      <c r="N225" s="2">
        <f>'[2]6 Вед15'!M318</f>
        <v>0</v>
      </c>
      <c r="O225" s="2">
        <f t="shared" si="178"/>
        <v>379550</v>
      </c>
      <c r="P225" s="2">
        <f>'[2]6 Вед15'!O318</f>
        <v>0</v>
      </c>
      <c r="Q225" s="2">
        <f t="shared" ref="Q225" si="250">O225+P225</f>
        <v>379550</v>
      </c>
      <c r="R225" s="2">
        <f>'[2]6 Вед15'!Q318</f>
        <v>0</v>
      </c>
      <c r="S225" s="2">
        <f t="shared" ref="S225" si="251">Q225+R225</f>
        <v>379550</v>
      </c>
      <c r="T225" s="2"/>
      <c r="U225" s="2"/>
      <c r="V225" s="95"/>
      <c r="W225" s="2">
        <v>25176.61</v>
      </c>
      <c r="X225" s="2">
        <f t="shared" si="232"/>
        <v>404726.61</v>
      </c>
      <c r="Z225" s="8"/>
    </row>
    <row r="226" spans="1:26" s="5" customFormat="1" ht="15" customHeight="1" x14ac:dyDescent="0.25">
      <c r="A226" s="14"/>
      <c r="B226" s="303" t="s">
        <v>27</v>
      </c>
      <c r="C226" s="173"/>
      <c r="D226" s="173">
        <v>52</v>
      </c>
      <c r="E226" s="173">
        <v>0</v>
      </c>
      <c r="F226" s="173">
        <v>852</v>
      </c>
      <c r="G226" s="17" t="s">
        <v>0</v>
      </c>
      <c r="H226" s="17" t="s">
        <v>1</v>
      </c>
      <c r="I226" s="17" t="s">
        <v>315</v>
      </c>
      <c r="J226" s="1" t="s">
        <v>28</v>
      </c>
      <c r="K226" s="2">
        <f t="shared" ref="K226:W226" si="252">K227</f>
        <v>131250</v>
      </c>
      <c r="L226" s="2">
        <f t="shared" si="252"/>
        <v>0</v>
      </c>
      <c r="M226" s="2">
        <f t="shared" si="252"/>
        <v>131250</v>
      </c>
      <c r="N226" s="2">
        <f t="shared" si="252"/>
        <v>-35763</v>
      </c>
      <c r="O226" s="2">
        <f t="shared" si="252"/>
        <v>95487</v>
      </c>
      <c r="P226" s="2">
        <f t="shared" si="252"/>
        <v>0</v>
      </c>
      <c r="Q226" s="2">
        <f t="shared" si="252"/>
        <v>95487</v>
      </c>
      <c r="R226" s="2">
        <f t="shared" si="252"/>
        <v>0</v>
      </c>
      <c r="S226" s="2">
        <f t="shared" si="252"/>
        <v>95487</v>
      </c>
      <c r="T226" s="2"/>
      <c r="U226" s="2"/>
      <c r="V226" s="95"/>
      <c r="W226" s="2">
        <f t="shared" si="252"/>
        <v>-25176.61</v>
      </c>
      <c r="X226" s="2">
        <f t="shared" si="232"/>
        <v>70310.39</v>
      </c>
      <c r="Z226" s="8"/>
    </row>
    <row r="227" spans="1:26" s="5" customFormat="1" ht="14.25" customHeight="1" x14ac:dyDescent="0.25">
      <c r="A227" s="14"/>
      <c r="B227" s="303" t="s">
        <v>29</v>
      </c>
      <c r="C227" s="173"/>
      <c r="D227" s="173">
        <v>52</v>
      </c>
      <c r="E227" s="173">
        <v>0</v>
      </c>
      <c r="F227" s="173">
        <v>852</v>
      </c>
      <c r="G227" s="17" t="s">
        <v>0</v>
      </c>
      <c r="H227" s="17" t="s">
        <v>1</v>
      </c>
      <c r="I227" s="17" t="s">
        <v>315</v>
      </c>
      <c r="J227" s="1" t="s">
        <v>30</v>
      </c>
      <c r="K227" s="2">
        <f>'[2]6 Вед15'!J320</f>
        <v>131250</v>
      </c>
      <c r="L227" s="2">
        <f>'[2]6 Вед15'!K320</f>
        <v>0</v>
      </c>
      <c r="M227" s="2">
        <f t="shared" si="177"/>
        <v>131250</v>
      </c>
      <c r="N227" s="2">
        <f>'[2]6 Вед15'!M320</f>
        <v>-35763</v>
      </c>
      <c r="O227" s="2">
        <f t="shared" si="178"/>
        <v>95487</v>
      </c>
      <c r="P227" s="2">
        <f>'[2]6 Вед15'!O320</f>
        <v>0</v>
      </c>
      <c r="Q227" s="2">
        <f t="shared" ref="Q227" si="253">O227+P227</f>
        <v>95487</v>
      </c>
      <c r="R227" s="2">
        <f>'[2]6 Вед15'!Q320</f>
        <v>0</v>
      </c>
      <c r="S227" s="2">
        <f t="shared" ref="S227" si="254">Q227+R227</f>
        <v>95487</v>
      </c>
      <c r="T227" s="2"/>
      <c r="U227" s="2"/>
      <c r="V227" s="95"/>
      <c r="W227" s="2">
        <v>-25176.61</v>
      </c>
      <c r="X227" s="2">
        <f t="shared" si="232"/>
        <v>70310.39</v>
      </c>
      <c r="Z227" s="8"/>
    </row>
    <row r="228" spans="1:26" s="5" customFormat="1" ht="22.5" customHeight="1" x14ac:dyDescent="0.25">
      <c r="A228" s="330" t="s">
        <v>744</v>
      </c>
      <c r="B228" s="331"/>
      <c r="C228" s="173"/>
      <c r="D228" s="173">
        <v>52</v>
      </c>
      <c r="E228" s="173">
        <v>0</v>
      </c>
      <c r="F228" s="173">
        <v>852</v>
      </c>
      <c r="G228" s="17"/>
      <c r="H228" s="17"/>
      <c r="I228" s="17" t="s">
        <v>758</v>
      </c>
      <c r="J228" s="1"/>
      <c r="K228" s="2"/>
      <c r="L228" s="2"/>
      <c r="M228" s="2"/>
      <c r="N228" s="2"/>
      <c r="O228" s="2"/>
      <c r="P228" s="2"/>
      <c r="Q228" s="2"/>
      <c r="R228" s="2"/>
      <c r="S228" s="2">
        <f>S229</f>
        <v>0</v>
      </c>
      <c r="T228" s="2">
        <f t="shared" ref="T228:X229" si="255">T229</f>
        <v>0</v>
      </c>
      <c r="U228" s="2">
        <f t="shared" si="255"/>
        <v>0</v>
      </c>
      <c r="V228" s="95">
        <f t="shared" si="255"/>
        <v>0</v>
      </c>
      <c r="W228" s="2">
        <f t="shared" si="255"/>
        <v>34290</v>
      </c>
      <c r="X228" s="2">
        <f t="shared" si="255"/>
        <v>34290</v>
      </c>
      <c r="Z228" s="8"/>
    </row>
    <row r="229" spans="1:26" s="5" customFormat="1" ht="24" customHeight="1" x14ac:dyDescent="0.25">
      <c r="A229" s="291"/>
      <c r="B229" s="291" t="s">
        <v>90</v>
      </c>
      <c r="C229" s="173"/>
      <c r="D229" s="173">
        <v>52</v>
      </c>
      <c r="E229" s="173">
        <v>0</v>
      </c>
      <c r="F229" s="173">
        <v>852</v>
      </c>
      <c r="G229" s="17"/>
      <c r="H229" s="17"/>
      <c r="I229" s="17" t="s">
        <v>758</v>
      </c>
      <c r="J229" s="1" t="s">
        <v>86</v>
      </c>
      <c r="K229" s="2"/>
      <c r="L229" s="2"/>
      <c r="M229" s="2"/>
      <c r="N229" s="2"/>
      <c r="O229" s="2"/>
      <c r="P229" s="2"/>
      <c r="Q229" s="2"/>
      <c r="R229" s="2"/>
      <c r="S229" s="2">
        <f>S230</f>
        <v>0</v>
      </c>
      <c r="T229" s="2"/>
      <c r="U229" s="2"/>
      <c r="V229" s="95"/>
      <c r="W229" s="2">
        <f t="shared" si="255"/>
        <v>34290</v>
      </c>
      <c r="X229" s="2">
        <f t="shared" ref="X229" si="256">S229+W229</f>
        <v>34290</v>
      </c>
      <c r="Z229" s="8"/>
    </row>
    <row r="230" spans="1:26" s="5" customFormat="1" ht="13.5" customHeight="1" x14ac:dyDescent="0.25">
      <c r="A230" s="291"/>
      <c r="B230" s="303" t="s">
        <v>118</v>
      </c>
      <c r="C230" s="173"/>
      <c r="D230" s="173">
        <v>52</v>
      </c>
      <c r="E230" s="173">
        <v>0</v>
      </c>
      <c r="F230" s="173">
        <v>852</v>
      </c>
      <c r="G230" s="17"/>
      <c r="H230" s="17"/>
      <c r="I230" s="17" t="s">
        <v>758</v>
      </c>
      <c r="J230" s="1" t="s">
        <v>119</v>
      </c>
      <c r="K230" s="2"/>
      <c r="L230" s="2"/>
      <c r="M230" s="2"/>
      <c r="N230" s="2"/>
      <c r="O230" s="2"/>
      <c r="P230" s="2"/>
      <c r="Q230" s="2"/>
      <c r="R230" s="2"/>
      <c r="S230" s="2"/>
      <c r="T230" s="2"/>
      <c r="U230" s="2"/>
      <c r="V230" s="95"/>
      <c r="W230" s="2">
        <v>34290</v>
      </c>
      <c r="X230" s="2">
        <f t="shared" si="232"/>
        <v>34290</v>
      </c>
      <c r="Z230" s="8"/>
    </row>
    <row r="231" spans="1:26" s="12" customFormat="1" ht="45" hidden="1" customHeight="1" x14ac:dyDescent="0.25">
      <c r="A231" s="323" t="s">
        <v>636</v>
      </c>
      <c r="B231" s="323"/>
      <c r="C231" s="295"/>
      <c r="D231" s="173">
        <v>52</v>
      </c>
      <c r="E231" s="173">
        <v>0</v>
      </c>
      <c r="F231" s="173">
        <v>852</v>
      </c>
      <c r="G231" s="1" t="s">
        <v>36</v>
      </c>
      <c r="H231" s="1" t="s">
        <v>72</v>
      </c>
      <c r="I231" s="1" t="s">
        <v>339</v>
      </c>
      <c r="J231" s="1"/>
      <c r="K231" s="2">
        <f t="shared" ref="K231:W232" si="257">K232</f>
        <v>66777336</v>
      </c>
      <c r="L231" s="2">
        <f t="shared" si="257"/>
        <v>0</v>
      </c>
      <c r="M231" s="2">
        <f t="shared" si="257"/>
        <v>66777336</v>
      </c>
      <c r="N231" s="2">
        <f t="shared" si="257"/>
        <v>0</v>
      </c>
      <c r="O231" s="2">
        <f t="shared" si="257"/>
        <v>66777336</v>
      </c>
      <c r="P231" s="2">
        <f t="shared" si="257"/>
        <v>0</v>
      </c>
      <c r="Q231" s="2">
        <f t="shared" si="257"/>
        <v>66777336</v>
      </c>
      <c r="R231" s="2">
        <f t="shared" si="257"/>
        <v>0</v>
      </c>
      <c r="S231" s="2">
        <f t="shared" si="257"/>
        <v>66777336</v>
      </c>
      <c r="T231" s="2"/>
      <c r="U231" s="2"/>
      <c r="V231" s="95"/>
      <c r="W231" s="2">
        <f t="shared" si="257"/>
        <v>0</v>
      </c>
      <c r="X231" s="2">
        <f t="shared" si="232"/>
        <v>66777336</v>
      </c>
      <c r="Z231" s="8"/>
    </row>
    <row r="232" spans="1:26" s="12" customFormat="1" ht="25.5" hidden="1" customHeight="1" x14ac:dyDescent="0.25">
      <c r="A232" s="303"/>
      <c r="B232" s="303" t="s">
        <v>90</v>
      </c>
      <c r="C232" s="295"/>
      <c r="D232" s="173">
        <v>52</v>
      </c>
      <c r="E232" s="173">
        <v>0</v>
      </c>
      <c r="F232" s="173">
        <v>852</v>
      </c>
      <c r="G232" s="1" t="s">
        <v>36</v>
      </c>
      <c r="H232" s="1" t="s">
        <v>72</v>
      </c>
      <c r="I232" s="1" t="s">
        <v>339</v>
      </c>
      <c r="J232" s="1" t="s">
        <v>86</v>
      </c>
      <c r="K232" s="2">
        <f t="shared" si="257"/>
        <v>66777336</v>
      </c>
      <c r="L232" s="2">
        <f t="shared" si="257"/>
        <v>0</v>
      </c>
      <c r="M232" s="2">
        <f t="shared" si="257"/>
        <v>66777336</v>
      </c>
      <c r="N232" s="2">
        <f t="shared" si="257"/>
        <v>0</v>
      </c>
      <c r="O232" s="2">
        <f t="shared" si="257"/>
        <v>66777336</v>
      </c>
      <c r="P232" s="2">
        <f t="shared" si="257"/>
        <v>0</v>
      </c>
      <c r="Q232" s="2">
        <f t="shared" si="257"/>
        <v>66777336</v>
      </c>
      <c r="R232" s="2">
        <f t="shared" si="257"/>
        <v>0</v>
      </c>
      <c r="S232" s="2">
        <f t="shared" si="257"/>
        <v>66777336</v>
      </c>
      <c r="T232" s="2"/>
      <c r="U232" s="2"/>
      <c r="V232" s="95"/>
      <c r="W232" s="2">
        <f t="shared" si="257"/>
        <v>0</v>
      </c>
      <c r="X232" s="2">
        <f t="shared" si="232"/>
        <v>66777336</v>
      </c>
      <c r="Z232" s="8"/>
    </row>
    <row r="233" spans="1:26" s="12" customFormat="1" ht="35.25" hidden="1" customHeight="1" x14ac:dyDescent="0.25">
      <c r="A233" s="303"/>
      <c r="B233" s="303" t="s">
        <v>87</v>
      </c>
      <c r="C233" s="291"/>
      <c r="D233" s="173">
        <v>52</v>
      </c>
      <c r="E233" s="173">
        <v>0</v>
      </c>
      <c r="F233" s="173">
        <v>852</v>
      </c>
      <c r="G233" s="1" t="s">
        <v>36</v>
      </c>
      <c r="H233" s="1" t="s">
        <v>72</v>
      </c>
      <c r="I233" s="1" t="s">
        <v>339</v>
      </c>
      <c r="J233" s="1" t="s">
        <v>88</v>
      </c>
      <c r="K233" s="2">
        <f>'[2]6 Вед15'!J252</f>
        <v>66777336</v>
      </c>
      <c r="L233" s="2">
        <f>'[2]6 Вед15'!K252</f>
        <v>0</v>
      </c>
      <c r="M233" s="2">
        <f t="shared" si="177"/>
        <v>66777336</v>
      </c>
      <c r="N233" s="2">
        <f>'[2]6 Вед15'!M252</f>
        <v>0</v>
      </c>
      <c r="O233" s="2">
        <f t="shared" si="178"/>
        <v>66777336</v>
      </c>
      <c r="P233" s="2">
        <f>'[2]6 Вед15'!O252</f>
        <v>0</v>
      </c>
      <c r="Q233" s="2">
        <f t="shared" ref="Q233" si="258">O233+P233</f>
        <v>66777336</v>
      </c>
      <c r="R233" s="2">
        <f>'[2]6 Вед15'!Q252</f>
        <v>0</v>
      </c>
      <c r="S233" s="2">
        <f t="shared" ref="S233" si="259">Q233+R233</f>
        <v>66777336</v>
      </c>
      <c r="T233" s="2"/>
      <c r="U233" s="2"/>
      <c r="V233" s="95"/>
      <c r="W233" s="2">
        <f>'[2]6 Вед15'!V252</f>
        <v>0</v>
      </c>
      <c r="X233" s="2">
        <f t="shared" si="232"/>
        <v>66777336</v>
      </c>
      <c r="Z233" s="8"/>
    </row>
    <row r="234" spans="1:26" s="12" customFormat="1" ht="38.25" hidden="1" customHeight="1" x14ac:dyDescent="0.25">
      <c r="A234" s="323" t="s">
        <v>635</v>
      </c>
      <c r="B234" s="323"/>
      <c r="C234" s="295"/>
      <c r="D234" s="173">
        <v>52</v>
      </c>
      <c r="E234" s="173">
        <v>0</v>
      </c>
      <c r="F234" s="173">
        <v>852</v>
      </c>
      <c r="G234" s="1" t="s">
        <v>36</v>
      </c>
      <c r="H234" s="1" t="s">
        <v>17</v>
      </c>
      <c r="I234" s="1" t="s">
        <v>334</v>
      </c>
      <c r="J234" s="1"/>
      <c r="K234" s="2">
        <f t="shared" ref="K234:W238" si="260">K235</f>
        <v>21495027</v>
      </c>
      <c r="L234" s="2">
        <f t="shared" si="260"/>
        <v>0</v>
      </c>
      <c r="M234" s="2">
        <f t="shared" si="260"/>
        <v>21495027</v>
      </c>
      <c r="N234" s="2">
        <f t="shared" si="260"/>
        <v>0</v>
      </c>
      <c r="O234" s="2">
        <f t="shared" si="260"/>
        <v>21495027</v>
      </c>
      <c r="P234" s="2">
        <f t="shared" si="260"/>
        <v>0</v>
      </c>
      <c r="Q234" s="2">
        <f t="shared" si="260"/>
        <v>21495027</v>
      </c>
      <c r="R234" s="2">
        <f t="shared" si="260"/>
        <v>0</v>
      </c>
      <c r="S234" s="2">
        <f t="shared" si="260"/>
        <v>21495027</v>
      </c>
      <c r="T234" s="2"/>
      <c r="U234" s="2"/>
      <c r="V234" s="95"/>
      <c r="W234" s="2">
        <f t="shared" si="260"/>
        <v>0</v>
      </c>
      <c r="X234" s="2">
        <f t="shared" si="232"/>
        <v>21495027</v>
      </c>
      <c r="Z234" s="8"/>
    </row>
    <row r="235" spans="1:26" s="12" customFormat="1" ht="24" hidden="1" x14ac:dyDescent="0.25">
      <c r="A235" s="295"/>
      <c r="B235" s="303" t="s">
        <v>90</v>
      </c>
      <c r="C235" s="295"/>
      <c r="D235" s="173">
        <v>52</v>
      </c>
      <c r="E235" s="173">
        <v>0</v>
      </c>
      <c r="F235" s="173">
        <v>852</v>
      </c>
      <c r="G235" s="1" t="s">
        <v>36</v>
      </c>
      <c r="H235" s="1" t="s">
        <v>17</v>
      </c>
      <c r="I235" s="1" t="s">
        <v>334</v>
      </c>
      <c r="J235" s="1" t="s">
        <v>86</v>
      </c>
      <c r="K235" s="2">
        <f t="shared" si="260"/>
        <v>21495027</v>
      </c>
      <c r="L235" s="2">
        <f t="shared" si="260"/>
        <v>0</v>
      </c>
      <c r="M235" s="2">
        <f t="shared" si="260"/>
        <v>21495027</v>
      </c>
      <c r="N235" s="2">
        <f t="shared" si="260"/>
        <v>0</v>
      </c>
      <c r="O235" s="2">
        <f t="shared" si="260"/>
        <v>21495027</v>
      </c>
      <c r="P235" s="2">
        <f t="shared" si="260"/>
        <v>0</v>
      </c>
      <c r="Q235" s="2">
        <f t="shared" si="260"/>
        <v>21495027</v>
      </c>
      <c r="R235" s="2">
        <f t="shared" si="260"/>
        <v>0</v>
      </c>
      <c r="S235" s="2">
        <f t="shared" si="260"/>
        <v>21495027</v>
      </c>
      <c r="T235" s="2"/>
      <c r="U235" s="2"/>
      <c r="V235" s="95"/>
      <c r="W235" s="2">
        <f t="shared" si="260"/>
        <v>0</v>
      </c>
      <c r="X235" s="2">
        <f t="shared" si="232"/>
        <v>21495027</v>
      </c>
      <c r="Z235" s="8"/>
    </row>
    <row r="236" spans="1:26" s="12" customFormat="1" ht="34.5" hidden="1" customHeight="1" x14ac:dyDescent="0.25">
      <c r="A236" s="295"/>
      <c r="B236" s="303" t="s">
        <v>87</v>
      </c>
      <c r="C236" s="295"/>
      <c r="D236" s="173">
        <v>52</v>
      </c>
      <c r="E236" s="173">
        <v>0</v>
      </c>
      <c r="F236" s="173">
        <v>852</v>
      </c>
      <c r="G236" s="1" t="s">
        <v>36</v>
      </c>
      <c r="H236" s="1" t="s">
        <v>17</v>
      </c>
      <c r="I236" s="1" t="s">
        <v>334</v>
      </c>
      <c r="J236" s="1" t="s">
        <v>88</v>
      </c>
      <c r="K236" s="2">
        <f>'[2]6 Вед15'!J230</f>
        <v>21495027</v>
      </c>
      <c r="L236" s="2">
        <f>'[2]6 Вед15'!K230</f>
        <v>0</v>
      </c>
      <c r="M236" s="2">
        <f t="shared" si="177"/>
        <v>21495027</v>
      </c>
      <c r="N236" s="2">
        <f>'[2]6 Вед15'!M230</f>
        <v>0</v>
      </c>
      <c r="O236" s="2">
        <f t="shared" si="178"/>
        <v>21495027</v>
      </c>
      <c r="P236" s="2">
        <f>'[2]6 Вед15'!O230</f>
        <v>0</v>
      </c>
      <c r="Q236" s="2">
        <f t="shared" ref="Q236" si="261">O236+P236</f>
        <v>21495027</v>
      </c>
      <c r="R236" s="2">
        <f>'[2]6 Вед15'!Q230</f>
        <v>0</v>
      </c>
      <c r="S236" s="2">
        <f t="shared" ref="S236" si="262">Q236+R236</f>
        <v>21495027</v>
      </c>
      <c r="T236" s="2"/>
      <c r="U236" s="2"/>
      <c r="V236" s="95"/>
      <c r="W236" s="2">
        <f>'[2]6 Вед15'!V230</f>
        <v>0</v>
      </c>
      <c r="X236" s="2">
        <f t="shared" si="232"/>
        <v>21495027</v>
      </c>
      <c r="Z236" s="8"/>
    </row>
    <row r="237" spans="1:26" s="12" customFormat="1" ht="15" hidden="1" customHeight="1" x14ac:dyDescent="0.25">
      <c r="A237" s="330" t="s">
        <v>608</v>
      </c>
      <c r="B237" s="331"/>
      <c r="C237" s="295"/>
      <c r="D237" s="173">
        <v>52</v>
      </c>
      <c r="E237" s="173">
        <v>0</v>
      </c>
      <c r="F237" s="173">
        <v>852</v>
      </c>
      <c r="G237" s="1" t="s">
        <v>36</v>
      </c>
      <c r="H237" s="1" t="s">
        <v>17</v>
      </c>
      <c r="I237" s="1" t="s">
        <v>610</v>
      </c>
      <c r="J237" s="1"/>
      <c r="K237" s="2">
        <f t="shared" si="260"/>
        <v>0</v>
      </c>
      <c r="L237" s="2">
        <f t="shared" si="260"/>
        <v>0</v>
      </c>
      <c r="M237" s="2">
        <f t="shared" si="260"/>
        <v>0</v>
      </c>
      <c r="N237" s="2">
        <f t="shared" si="260"/>
        <v>808050</v>
      </c>
      <c r="O237" s="2">
        <f t="shared" si="260"/>
        <v>808050</v>
      </c>
      <c r="P237" s="2">
        <f t="shared" si="260"/>
        <v>0</v>
      </c>
      <c r="Q237" s="2">
        <f t="shared" si="260"/>
        <v>808050</v>
      </c>
      <c r="R237" s="2">
        <f t="shared" si="260"/>
        <v>0</v>
      </c>
      <c r="S237" s="2">
        <f t="shared" si="260"/>
        <v>808050</v>
      </c>
      <c r="T237" s="2"/>
      <c r="U237" s="2"/>
      <c r="V237" s="95"/>
      <c r="W237" s="2">
        <f t="shared" si="260"/>
        <v>0</v>
      </c>
      <c r="X237" s="2">
        <f t="shared" si="232"/>
        <v>808050</v>
      </c>
      <c r="Z237" s="8"/>
    </row>
    <row r="238" spans="1:26" s="12" customFormat="1" ht="24" hidden="1" x14ac:dyDescent="0.25">
      <c r="A238" s="291"/>
      <c r="B238" s="291" t="s">
        <v>90</v>
      </c>
      <c r="C238" s="295"/>
      <c r="D238" s="173">
        <v>52</v>
      </c>
      <c r="E238" s="173">
        <v>0</v>
      </c>
      <c r="F238" s="173">
        <v>852</v>
      </c>
      <c r="G238" s="1" t="s">
        <v>36</v>
      </c>
      <c r="H238" s="1" t="s">
        <v>17</v>
      </c>
      <c r="I238" s="1" t="s">
        <v>610</v>
      </c>
      <c r="J238" s="1" t="s">
        <v>86</v>
      </c>
      <c r="K238" s="2">
        <f t="shared" si="260"/>
        <v>0</v>
      </c>
      <c r="L238" s="2">
        <f t="shared" si="260"/>
        <v>0</v>
      </c>
      <c r="M238" s="2">
        <f t="shared" si="260"/>
        <v>0</v>
      </c>
      <c r="N238" s="2">
        <f t="shared" si="260"/>
        <v>808050</v>
      </c>
      <c r="O238" s="2">
        <f t="shared" si="260"/>
        <v>808050</v>
      </c>
      <c r="P238" s="2">
        <f t="shared" si="260"/>
        <v>0</v>
      </c>
      <c r="Q238" s="2">
        <f t="shared" si="260"/>
        <v>808050</v>
      </c>
      <c r="R238" s="2">
        <f t="shared" si="260"/>
        <v>0</v>
      </c>
      <c r="S238" s="2">
        <f t="shared" si="260"/>
        <v>808050</v>
      </c>
      <c r="T238" s="2"/>
      <c r="U238" s="2"/>
      <c r="V238" s="95"/>
      <c r="W238" s="2">
        <f t="shared" si="260"/>
        <v>0</v>
      </c>
      <c r="X238" s="2">
        <f t="shared" si="232"/>
        <v>808050</v>
      </c>
      <c r="Z238" s="8"/>
    </row>
    <row r="239" spans="1:26" s="12" customFormat="1" hidden="1" x14ac:dyDescent="0.25">
      <c r="A239" s="291"/>
      <c r="B239" s="16" t="s">
        <v>118</v>
      </c>
      <c r="C239" s="295"/>
      <c r="D239" s="173">
        <v>52</v>
      </c>
      <c r="E239" s="173">
        <v>0</v>
      </c>
      <c r="F239" s="173">
        <v>852</v>
      </c>
      <c r="G239" s="1" t="s">
        <v>36</v>
      </c>
      <c r="H239" s="1" t="s">
        <v>17</v>
      </c>
      <c r="I239" s="1" t="s">
        <v>610</v>
      </c>
      <c r="J239" s="1" t="s">
        <v>119</v>
      </c>
      <c r="K239" s="2"/>
      <c r="L239" s="2">
        <f>'[2]6 Вед15'!K255</f>
        <v>0</v>
      </c>
      <c r="M239" s="2">
        <f t="shared" ref="M239:M308" si="263">K239+L239</f>
        <v>0</v>
      </c>
      <c r="N239" s="2">
        <f>'[2]6 Вед15'!M255</f>
        <v>808050</v>
      </c>
      <c r="O239" s="2">
        <f t="shared" ref="O239:O304" si="264">M239+N239</f>
        <v>808050</v>
      </c>
      <c r="P239" s="2">
        <f>'[2]6 Вед15'!O255</f>
        <v>0</v>
      </c>
      <c r="Q239" s="2">
        <f t="shared" ref="Q239" si="265">O239+P239</f>
        <v>808050</v>
      </c>
      <c r="R239" s="2">
        <f>'[2]6 Вед15'!Q255</f>
        <v>0</v>
      </c>
      <c r="S239" s="2">
        <f t="shared" ref="S239" si="266">Q239+R239</f>
        <v>808050</v>
      </c>
      <c r="T239" s="2"/>
      <c r="U239" s="2"/>
      <c r="V239" s="95"/>
      <c r="W239" s="2">
        <f>'[2]6 Вед15'!V255</f>
        <v>0</v>
      </c>
      <c r="X239" s="2">
        <f t="shared" si="232"/>
        <v>808050</v>
      </c>
      <c r="Z239" s="8"/>
    </row>
    <row r="240" spans="1:26" s="12" customFormat="1" ht="33" customHeight="1" x14ac:dyDescent="0.25">
      <c r="A240" s="323" t="s">
        <v>112</v>
      </c>
      <c r="B240" s="323"/>
      <c r="C240" s="295"/>
      <c r="D240" s="173">
        <v>52</v>
      </c>
      <c r="E240" s="173">
        <v>0</v>
      </c>
      <c r="F240" s="173">
        <v>852</v>
      </c>
      <c r="G240" s="1" t="s">
        <v>36</v>
      </c>
      <c r="H240" s="1" t="s">
        <v>17</v>
      </c>
      <c r="I240" s="1" t="s">
        <v>335</v>
      </c>
      <c r="J240" s="1"/>
      <c r="K240" s="2">
        <f t="shared" ref="K240:S240" si="267">K241+K243</f>
        <v>4690260</v>
      </c>
      <c r="L240" s="2">
        <f t="shared" si="267"/>
        <v>0</v>
      </c>
      <c r="M240" s="2">
        <f t="shared" si="267"/>
        <v>4690260</v>
      </c>
      <c r="N240" s="2">
        <f t="shared" si="267"/>
        <v>0</v>
      </c>
      <c r="O240" s="2">
        <f t="shared" si="267"/>
        <v>4690260</v>
      </c>
      <c r="P240" s="2">
        <f t="shared" si="267"/>
        <v>0</v>
      </c>
      <c r="Q240" s="2">
        <f t="shared" si="267"/>
        <v>4690260</v>
      </c>
      <c r="R240" s="2">
        <f t="shared" si="267"/>
        <v>0</v>
      </c>
      <c r="S240" s="2">
        <f t="shared" si="267"/>
        <v>4690260</v>
      </c>
      <c r="T240" s="2"/>
      <c r="U240" s="2"/>
      <c r="V240" s="95"/>
      <c r="W240" s="2">
        <f t="shared" ref="W240" si="268">W241+W243</f>
        <v>-141764</v>
      </c>
      <c r="X240" s="2">
        <f t="shared" si="232"/>
        <v>4548496</v>
      </c>
      <c r="Z240" s="8"/>
    </row>
    <row r="241" spans="1:26" s="12" customFormat="1" ht="24" x14ac:dyDescent="0.25">
      <c r="A241" s="295"/>
      <c r="B241" s="303" t="s">
        <v>90</v>
      </c>
      <c r="C241" s="295"/>
      <c r="D241" s="173">
        <v>52</v>
      </c>
      <c r="E241" s="173">
        <v>0</v>
      </c>
      <c r="F241" s="173">
        <v>852</v>
      </c>
      <c r="G241" s="1" t="s">
        <v>36</v>
      </c>
      <c r="H241" s="1" t="s">
        <v>17</v>
      </c>
      <c r="I241" s="1" t="s">
        <v>335</v>
      </c>
      <c r="J241" s="1" t="s">
        <v>86</v>
      </c>
      <c r="K241" s="2">
        <f t="shared" ref="K241:W241" si="269">K242</f>
        <v>3291200</v>
      </c>
      <c r="L241" s="2">
        <f t="shared" si="269"/>
        <v>0</v>
      </c>
      <c r="M241" s="2">
        <f t="shared" si="269"/>
        <v>3291200</v>
      </c>
      <c r="N241" s="2">
        <f t="shared" si="269"/>
        <v>0</v>
      </c>
      <c r="O241" s="2">
        <f t="shared" si="269"/>
        <v>3291200</v>
      </c>
      <c r="P241" s="2">
        <f t="shared" si="269"/>
        <v>0</v>
      </c>
      <c r="Q241" s="2">
        <f t="shared" si="269"/>
        <v>3291200</v>
      </c>
      <c r="R241" s="2">
        <f t="shared" si="269"/>
        <v>0</v>
      </c>
      <c r="S241" s="2">
        <f t="shared" si="269"/>
        <v>3291200</v>
      </c>
      <c r="T241" s="2"/>
      <c r="U241" s="2"/>
      <c r="V241" s="95"/>
      <c r="W241" s="2">
        <f t="shared" si="269"/>
        <v>-10104.629999999999</v>
      </c>
      <c r="X241" s="2">
        <f t="shared" si="232"/>
        <v>3281095.37</v>
      </c>
      <c r="Z241" s="8"/>
    </row>
    <row r="242" spans="1:26" s="12" customFormat="1" ht="24.75" customHeight="1" x14ac:dyDescent="0.25">
      <c r="A242" s="295"/>
      <c r="B242" s="303" t="s">
        <v>87</v>
      </c>
      <c r="C242" s="295"/>
      <c r="D242" s="173">
        <v>52</v>
      </c>
      <c r="E242" s="173">
        <v>0</v>
      </c>
      <c r="F242" s="173">
        <v>852</v>
      </c>
      <c r="G242" s="1" t="s">
        <v>36</v>
      </c>
      <c r="H242" s="1" t="s">
        <v>17</v>
      </c>
      <c r="I242" s="1" t="s">
        <v>335</v>
      </c>
      <c r="J242" s="1" t="s">
        <v>88</v>
      </c>
      <c r="K242" s="2">
        <f>'[2]6 Вед15'!J233+'[2]6 Вед15'!J258</f>
        <v>3291200</v>
      </c>
      <c r="L242" s="2">
        <f>'[2]6 Вед15'!K233+'[2]6 Вед15'!K258</f>
        <v>0</v>
      </c>
      <c r="M242" s="2">
        <f t="shared" si="263"/>
        <v>3291200</v>
      </c>
      <c r="N242" s="2">
        <f>'[2]6 Вед15'!M233+'[2]6 Вед15'!M258</f>
        <v>0</v>
      </c>
      <c r="O242" s="2">
        <f t="shared" si="264"/>
        <v>3291200</v>
      </c>
      <c r="P242" s="2">
        <f>'[2]6 Вед15'!O233+'[2]6 Вед15'!O258</f>
        <v>0</v>
      </c>
      <c r="Q242" s="2">
        <f t="shared" ref="Q242" si="270">O242+P242</f>
        <v>3291200</v>
      </c>
      <c r="R242" s="2">
        <f>'[2]6 Вед15'!Q233+'[2]6 Вед15'!Q258</f>
        <v>0</v>
      </c>
      <c r="S242" s="2">
        <f t="shared" ref="S242" si="271">Q242+R242</f>
        <v>3291200</v>
      </c>
      <c r="T242" s="2"/>
      <c r="U242" s="2"/>
      <c r="V242" s="95"/>
      <c r="W242" s="2">
        <v>-10104.629999999999</v>
      </c>
      <c r="X242" s="2">
        <f t="shared" si="232"/>
        <v>3281095.37</v>
      </c>
      <c r="Z242" s="8"/>
    </row>
    <row r="243" spans="1:26" s="5" customFormat="1" x14ac:dyDescent="0.25">
      <c r="A243" s="14"/>
      <c r="B243" s="301" t="s">
        <v>98</v>
      </c>
      <c r="C243" s="301"/>
      <c r="D243" s="173">
        <v>52</v>
      </c>
      <c r="E243" s="173">
        <v>0</v>
      </c>
      <c r="F243" s="173">
        <v>852</v>
      </c>
      <c r="G243" s="1" t="s">
        <v>0</v>
      </c>
      <c r="H243" s="1" t="s">
        <v>6</v>
      </c>
      <c r="I243" s="1" t="s">
        <v>335</v>
      </c>
      <c r="J243" s="1" t="s">
        <v>99</v>
      </c>
      <c r="K243" s="2">
        <f t="shared" ref="K243:W243" si="272">K244</f>
        <v>1399060</v>
      </c>
      <c r="L243" s="2">
        <f t="shared" si="272"/>
        <v>0</v>
      </c>
      <c r="M243" s="2">
        <f t="shared" si="272"/>
        <v>1399060</v>
      </c>
      <c r="N243" s="2">
        <f t="shared" si="272"/>
        <v>0</v>
      </c>
      <c r="O243" s="2">
        <f t="shared" si="272"/>
        <v>1399060</v>
      </c>
      <c r="P243" s="2">
        <f t="shared" si="272"/>
        <v>0</v>
      </c>
      <c r="Q243" s="2">
        <f t="shared" si="272"/>
        <v>1399060</v>
      </c>
      <c r="R243" s="2">
        <f t="shared" si="272"/>
        <v>0</v>
      </c>
      <c r="S243" s="2">
        <f t="shared" si="272"/>
        <v>1399060</v>
      </c>
      <c r="T243" s="2"/>
      <c r="U243" s="2"/>
      <c r="V243" s="95"/>
      <c r="W243" s="2">
        <f t="shared" si="272"/>
        <v>-131659.37</v>
      </c>
      <c r="X243" s="2">
        <f t="shared" si="232"/>
        <v>1267400.6299999999</v>
      </c>
      <c r="Z243" s="8"/>
    </row>
    <row r="244" spans="1:26" s="12" customFormat="1" ht="24" customHeight="1" x14ac:dyDescent="0.25">
      <c r="A244" s="303"/>
      <c r="B244" s="303" t="s">
        <v>132</v>
      </c>
      <c r="C244" s="295"/>
      <c r="D244" s="173">
        <v>52</v>
      </c>
      <c r="E244" s="173">
        <v>0</v>
      </c>
      <c r="F244" s="173">
        <v>852</v>
      </c>
      <c r="G244" s="1" t="s">
        <v>36</v>
      </c>
      <c r="H244" s="1" t="s">
        <v>57</v>
      </c>
      <c r="I244" s="1" t="s">
        <v>335</v>
      </c>
      <c r="J244" s="1" t="s">
        <v>100</v>
      </c>
      <c r="K244" s="2">
        <f>'[2]6 Вед15'!J294</f>
        <v>1399060</v>
      </c>
      <c r="L244" s="2">
        <f>'[2]6 Вед15'!K294</f>
        <v>0</v>
      </c>
      <c r="M244" s="2">
        <f t="shared" si="263"/>
        <v>1399060</v>
      </c>
      <c r="N244" s="2">
        <f>'[2]6 Вед15'!M294</f>
        <v>0</v>
      </c>
      <c r="O244" s="2">
        <f t="shared" si="264"/>
        <v>1399060</v>
      </c>
      <c r="P244" s="2">
        <f>'[2]6 Вед15'!O294</f>
        <v>0</v>
      </c>
      <c r="Q244" s="2">
        <f t="shared" ref="Q244" si="273">O244+P244</f>
        <v>1399060</v>
      </c>
      <c r="R244" s="2">
        <f>'[2]6 Вед15'!Q294</f>
        <v>0</v>
      </c>
      <c r="S244" s="2">
        <f t="shared" ref="S244" si="274">Q244+R244</f>
        <v>1399060</v>
      </c>
      <c r="T244" s="2"/>
      <c r="U244" s="2"/>
      <c r="V244" s="95"/>
      <c r="W244" s="2">
        <v>-131659.37</v>
      </c>
      <c r="X244" s="2">
        <f t="shared" si="232"/>
        <v>1267400.6299999999</v>
      </c>
      <c r="Z244" s="8"/>
    </row>
    <row r="245" spans="1:26" s="5" customFormat="1" ht="24.75" customHeight="1" x14ac:dyDescent="0.25">
      <c r="A245" s="323" t="s">
        <v>438</v>
      </c>
      <c r="B245" s="323"/>
      <c r="C245" s="295"/>
      <c r="D245" s="173">
        <v>52</v>
      </c>
      <c r="E245" s="173">
        <v>0</v>
      </c>
      <c r="F245" s="173">
        <v>852</v>
      </c>
      <c r="G245" s="1" t="s">
        <v>0</v>
      </c>
      <c r="H245" s="1" t="s">
        <v>6</v>
      </c>
      <c r="I245" s="1" t="s">
        <v>344</v>
      </c>
      <c r="J245" s="10"/>
      <c r="K245" s="2">
        <f t="shared" ref="K245:W249" si="275">K246</f>
        <v>836736</v>
      </c>
      <c r="L245" s="2">
        <f t="shared" si="275"/>
        <v>0</v>
      </c>
      <c r="M245" s="2">
        <f t="shared" si="275"/>
        <v>836736</v>
      </c>
      <c r="N245" s="2">
        <f t="shared" si="275"/>
        <v>249959</v>
      </c>
      <c r="O245" s="2">
        <f t="shared" si="275"/>
        <v>1086695</v>
      </c>
      <c r="P245" s="2">
        <f t="shared" si="275"/>
        <v>0</v>
      </c>
      <c r="Q245" s="2">
        <f t="shared" si="275"/>
        <v>1086695</v>
      </c>
      <c r="R245" s="2">
        <f t="shared" si="275"/>
        <v>0</v>
      </c>
      <c r="S245" s="2">
        <f t="shared" si="275"/>
        <v>1086695</v>
      </c>
      <c r="T245" s="2"/>
      <c r="U245" s="2"/>
      <c r="V245" s="95"/>
      <c r="W245" s="2">
        <f t="shared" si="275"/>
        <v>437219</v>
      </c>
      <c r="X245" s="2">
        <f t="shared" si="232"/>
        <v>1523914</v>
      </c>
      <c r="Z245" s="8"/>
    </row>
    <row r="246" spans="1:26" s="5" customFormat="1" x14ac:dyDescent="0.25">
      <c r="A246" s="14"/>
      <c r="B246" s="301" t="s">
        <v>98</v>
      </c>
      <c r="C246" s="301"/>
      <c r="D246" s="173">
        <v>52</v>
      </c>
      <c r="E246" s="173">
        <v>0</v>
      </c>
      <c r="F246" s="173">
        <v>852</v>
      </c>
      <c r="G246" s="1" t="s">
        <v>0</v>
      </c>
      <c r="H246" s="1" t="s">
        <v>6</v>
      </c>
      <c r="I246" s="1" t="s">
        <v>344</v>
      </c>
      <c r="J246" s="1" t="s">
        <v>99</v>
      </c>
      <c r="K246" s="2">
        <f t="shared" si="275"/>
        <v>836736</v>
      </c>
      <c r="L246" s="2">
        <f t="shared" si="275"/>
        <v>0</v>
      </c>
      <c r="M246" s="2">
        <f t="shared" si="275"/>
        <v>836736</v>
      </c>
      <c r="N246" s="2">
        <f t="shared" si="275"/>
        <v>249959</v>
      </c>
      <c r="O246" s="2">
        <f t="shared" si="275"/>
        <v>1086695</v>
      </c>
      <c r="P246" s="2">
        <f t="shared" si="275"/>
        <v>0</v>
      </c>
      <c r="Q246" s="2">
        <f t="shared" si="275"/>
        <v>1086695</v>
      </c>
      <c r="R246" s="2">
        <f t="shared" si="275"/>
        <v>0</v>
      </c>
      <c r="S246" s="2">
        <f t="shared" si="275"/>
        <v>1086695</v>
      </c>
      <c r="T246" s="2"/>
      <c r="U246" s="2"/>
      <c r="V246" s="95"/>
      <c r="W246" s="2">
        <f t="shared" si="275"/>
        <v>437219</v>
      </c>
      <c r="X246" s="2">
        <f t="shared" si="232"/>
        <v>1523914</v>
      </c>
      <c r="Z246" s="8"/>
    </row>
    <row r="247" spans="1:26" s="5" customFormat="1" ht="24" x14ac:dyDescent="0.25">
      <c r="A247" s="291"/>
      <c r="B247" s="301" t="s">
        <v>132</v>
      </c>
      <c r="C247" s="301"/>
      <c r="D247" s="173">
        <v>52</v>
      </c>
      <c r="E247" s="173">
        <v>0</v>
      </c>
      <c r="F247" s="173">
        <v>852</v>
      </c>
      <c r="G247" s="1" t="s">
        <v>0</v>
      </c>
      <c r="H247" s="1" t="s">
        <v>6</v>
      </c>
      <c r="I247" s="1" t="s">
        <v>344</v>
      </c>
      <c r="J247" s="1" t="s">
        <v>100</v>
      </c>
      <c r="K247" s="2">
        <f>'[2]6 Вед15'!J306</f>
        <v>836736</v>
      </c>
      <c r="L247" s="2">
        <f>'[2]6 Вед15'!K306</f>
        <v>0</v>
      </c>
      <c r="M247" s="2">
        <f t="shared" si="263"/>
        <v>836736</v>
      </c>
      <c r="N247" s="2">
        <f>'[2]6 Вед15'!M306</f>
        <v>249959</v>
      </c>
      <c r="O247" s="2">
        <f t="shared" si="264"/>
        <v>1086695</v>
      </c>
      <c r="P247" s="2">
        <f>'[2]6 Вед15'!O306</f>
        <v>0</v>
      </c>
      <c r="Q247" s="2">
        <f t="shared" ref="Q247" si="276">O247+P247</f>
        <v>1086695</v>
      </c>
      <c r="R247" s="2">
        <f>'[2]6 Вед15'!Q306</f>
        <v>0</v>
      </c>
      <c r="S247" s="2">
        <f t="shared" ref="S247" si="277">Q247+R247</f>
        <v>1086695</v>
      </c>
      <c r="T247" s="2"/>
      <c r="U247" s="2"/>
      <c r="V247" s="95"/>
      <c r="W247" s="2">
        <v>437219</v>
      </c>
      <c r="X247" s="2">
        <f t="shared" si="232"/>
        <v>1523914</v>
      </c>
      <c r="Z247" s="8"/>
    </row>
    <row r="248" spans="1:26" s="5" customFormat="1" hidden="1" x14ac:dyDescent="0.25">
      <c r="A248" s="324" t="s">
        <v>654</v>
      </c>
      <c r="B248" s="324"/>
      <c r="C248" s="301"/>
      <c r="D248" s="173">
        <v>52</v>
      </c>
      <c r="E248" s="173">
        <v>0</v>
      </c>
      <c r="F248" s="173">
        <v>852</v>
      </c>
      <c r="G248" s="1"/>
      <c r="H248" s="1"/>
      <c r="I248" s="1" t="s">
        <v>657</v>
      </c>
      <c r="J248" s="1"/>
      <c r="K248" s="2"/>
      <c r="L248" s="2"/>
      <c r="M248" s="2"/>
      <c r="N248" s="2"/>
      <c r="O248" s="2">
        <f t="shared" si="275"/>
        <v>0</v>
      </c>
      <c r="P248" s="2">
        <f t="shared" si="275"/>
        <v>247500</v>
      </c>
      <c r="Q248" s="2">
        <f t="shared" si="275"/>
        <v>247500</v>
      </c>
      <c r="R248" s="2">
        <f t="shared" si="275"/>
        <v>0</v>
      </c>
      <c r="S248" s="2">
        <f t="shared" si="275"/>
        <v>247500</v>
      </c>
      <c r="T248" s="2"/>
      <c r="U248" s="2"/>
      <c r="V248" s="95"/>
      <c r="W248" s="2">
        <f t="shared" si="275"/>
        <v>0</v>
      </c>
      <c r="X248" s="2">
        <f t="shared" si="232"/>
        <v>247500</v>
      </c>
      <c r="Z248" s="8"/>
    </row>
    <row r="249" spans="1:26" s="5" customFormat="1" ht="24" hidden="1" x14ac:dyDescent="0.25">
      <c r="A249" s="291"/>
      <c r="B249" s="170" t="s">
        <v>90</v>
      </c>
      <c r="C249" s="301"/>
      <c r="D249" s="173">
        <v>52</v>
      </c>
      <c r="E249" s="173">
        <v>0</v>
      </c>
      <c r="F249" s="173">
        <v>852</v>
      </c>
      <c r="G249" s="1"/>
      <c r="H249" s="1"/>
      <c r="I249" s="1" t="s">
        <v>657</v>
      </c>
      <c r="J249" s="1" t="s">
        <v>86</v>
      </c>
      <c r="K249" s="2"/>
      <c r="L249" s="2"/>
      <c r="M249" s="2"/>
      <c r="N249" s="2"/>
      <c r="O249" s="2">
        <f t="shared" si="275"/>
        <v>0</v>
      </c>
      <c r="P249" s="2">
        <f t="shared" si="275"/>
        <v>247500</v>
      </c>
      <c r="Q249" s="2">
        <f t="shared" si="275"/>
        <v>247500</v>
      </c>
      <c r="R249" s="2">
        <f t="shared" si="275"/>
        <v>0</v>
      </c>
      <c r="S249" s="2">
        <f t="shared" si="275"/>
        <v>247500</v>
      </c>
      <c r="T249" s="2"/>
      <c r="U249" s="2"/>
      <c r="V249" s="95"/>
      <c r="W249" s="2">
        <f t="shared" si="275"/>
        <v>0</v>
      </c>
      <c r="X249" s="2">
        <f t="shared" si="232"/>
        <v>247500</v>
      </c>
      <c r="Z249" s="8"/>
    </row>
    <row r="250" spans="1:26" s="5" customFormat="1" hidden="1" x14ac:dyDescent="0.25">
      <c r="A250" s="291"/>
      <c r="B250" s="170" t="s">
        <v>118</v>
      </c>
      <c r="C250" s="301"/>
      <c r="D250" s="173">
        <v>52</v>
      </c>
      <c r="E250" s="173">
        <v>0</v>
      </c>
      <c r="F250" s="173">
        <v>852</v>
      </c>
      <c r="G250" s="1"/>
      <c r="H250" s="1"/>
      <c r="I250" s="1" t="s">
        <v>657</v>
      </c>
      <c r="J250" s="1" t="s">
        <v>119</v>
      </c>
      <c r="K250" s="2"/>
      <c r="L250" s="2"/>
      <c r="M250" s="2"/>
      <c r="N250" s="2"/>
      <c r="O250" s="2"/>
      <c r="P250" s="2">
        <f>'[2]6 Вед15'!O261</f>
        <v>247500</v>
      </c>
      <c r="Q250" s="2">
        <f t="shared" ref="Q250" si="278">O250+P250</f>
        <v>247500</v>
      </c>
      <c r="R250" s="2">
        <f>'[2]6 Вед15'!Q261</f>
        <v>0</v>
      </c>
      <c r="S250" s="2">
        <f t="shared" ref="S250" si="279">Q250+R250</f>
        <v>247500</v>
      </c>
      <c r="T250" s="2"/>
      <c r="U250" s="2"/>
      <c r="V250" s="95"/>
      <c r="W250" s="2">
        <f>'[2]6 Вед15'!V261</f>
        <v>0</v>
      </c>
      <c r="X250" s="2">
        <f t="shared" si="232"/>
        <v>247500</v>
      </c>
      <c r="Z250" s="8"/>
    </row>
    <row r="251" spans="1:26" s="5" customFormat="1" ht="25.5" hidden="1" customHeight="1" x14ac:dyDescent="0.25">
      <c r="A251" s="323" t="s">
        <v>133</v>
      </c>
      <c r="B251" s="323"/>
      <c r="C251" s="295"/>
      <c r="D251" s="173">
        <v>52</v>
      </c>
      <c r="E251" s="173">
        <v>0</v>
      </c>
      <c r="F251" s="173">
        <v>852</v>
      </c>
      <c r="G251" s="1" t="s">
        <v>0</v>
      </c>
      <c r="H251" s="1" t="s">
        <v>3</v>
      </c>
      <c r="I251" s="1" t="s">
        <v>342</v>
      </c>
      <c r="J251" s="10"/>
      <c r="K251" s="2">
        <f t="shared" ref="K251:W252" si="280">K252</f>
        <v>93000</v>
      </c>
      <c r="L251" s="2">
        <f t="shared" si="280"/>
        <v>0</v>
      </c>
      <c r="M251" s="2">
        <f t="shared" si="280"/>
        <v>93000</v>
      </c>
      <c r="N251" s="2">
        <f t="shared" si="280"/>
        <v>0</v>
      </c>
      <c r="O251" s="2">
        <f t="shared" si="280"/>
        <v>93000</v>
      </c>
      <c r="P251" s="2">
        <f t="shared" si="280"/>
        <v>0</v>
      </c>
      <c r="Q251" s="2">
        <f t="shared" si="280"/>
        <v>93000</v>
      </c>
      <c r="R251" s="2">
        <f t="shared" si="280"/>
        <v>79000</v>
      </c>
      <c r="S251" s="2">
        <f t="shared" si="280"/>
        <v>172000</v>
      </c>
      <c r="T251" s="2"/>
      <c r="U251" s="2"/>
      <c r="V251" s="95"/>
      <c r="W251" s="2">
        <f t="shared" si="280"/>
        <v>0</v>
      </c>
      <c r="X251" s="2">
        <f t="shared" si="232"/>
        <v>172000</v>
      </c>
      <c r="Z251" s="8"/>
    </row>
    <row r="252" spans="1:26" s="5" customFormat="1" hidden="1" x14ac:dyDescent="0.25">
      <c r="A252" s="14"/>
      <c r="B252" s="301" t="s">
        <v>98</v>
      </c>
      <c r="C252" s="301"/>
      <c r="D252" s="173">
        <v>52</v>
      </c>
      <c r="E252" s="173">
        <v>0</v>
      </c>
      <c r="F252" s="173">
        <v>852</v>
      </c>
      <c r="G252" s="1" t="s">
        <v>0</v>
      </c>
      <c r="H252" s="1" t="s">
        <v>3</v>
      </c>
      <c r="I252" s="1" t="s">
        <v>342</v>
      </c>
      <c r="J252" s="1" t="s">
        <v>99</v>
      </c>
      <c r="K252" s="2">
        <f t="shared" si="280"/>
        <v>93000</v>
      </c>
      <c r="L252" s="2">
        <f t="shared" si="280"/>
        <v>0</v>
      </c>
      <c r="M252" s="2">
        <f t="shared" si="280"/>
        <v>93000</v>
      </c>
      <c r="N252" s="2">
        <f t="shared" si="280"/>
        <v>0</v>
      </c>
      <c r="O252" s="2">
        <f t="shared" si="280"/>
        <v>93000</v>
      </c>
      <c r="P252" s="2">
        <f t="shared" si="280"/>
        <v>0</v>
      </c>
      <c r="Q252" s="2">
        <f t="shared" si="280"/>
        <v>93000</v>
      </c>
      <c r="R252" s="2">
        <f t="shared" si="280"/>
        <v>79000</v>
      </c>
      <c r="S252" s="2">
        <f t="shared" si="280"/>
        <v>172000</v>
      </c>
      <c r="T252" s="2"/>
      <c r="U252" s="2"/>
      <c r="V252" s="95"/>
      <c r="W252" s="2">
        <f t="shared" si="280"/>
        <v>0</v>
      </c>
      <c r="X252" s="2">
        <f t="shared" si="232"/>
        <v>172000</v>
      </c>
      <c r="Z252" s="8"/>
    </row>
    <row r="253" spans="1:26" s="5" customFormat="1" ht="24" hidden="1" x14ac:dyDescent="0.25">
      <c r="A253" s="291"/>
      <c r="B253" s="301" t="s">
        <v>132</v>
      </c>
      <c r="C253" s="301"/>
      <c r="D253" s="173">
        <v>52</v>
      </c>
      <c r="E253" s="173">
        <v>0</v>
      </c>
      <c r="F253" s="173">
        <v>852</v>
      </c>
      <c r="G253" s="1" t="s">
        <v>0</v>
      </c>
      <c r="H253" s="1" t="s">
        <v>3</v>
      </c>
      <c r="I253" s="1" t="s">
        <v>342</v>
      </c>
      <c r="J253" s="1" t="s">
        <v>100</v>
      </c>
      <c r="K253" s="2">
        <f>'[2]6 Вед15'!J302</f>
        <v>93000</v>
      </c>
      <c r="L253" s="2">
        <f>'[2]6 Вед15'!K302</f>
        <v>0</v>
      </c>
      <c r="M253" s="2">
        <f t="shared" si="263"/>
        <v>93000</v>
      </c>
      <c r="N253" s="2">
        <f>'[2]6 Вед15'!M302</f>
        <v>0</v>
      </c>
      <c r="O253" s="2">
        <f t="shared" si="264"/>
        <v>93000</v>
      </c>
      <c r="P253" s="2">
        <f>'[2]6 Вед15'!O302</f>
        <v>0</v>
      </c>
      <c r="Q253" s="2">
        <f t="shared" ref="Q253" si="281">O253+P253</f>
        <v>93000</v>
      </c>
      <c r="R253" s="2">
        <f>'[2]6 Вед15'!Q302</f>
        <v>79000</v>
      </c>
      <c r="S253" s="2">
        <f t="shared" ref="S253" si="282">Q253+R253</f>
        <v>172000</v>
      </c>
      <c r="T253" s="2"/>
      <c r="U253" s="2"/>
      <c r="V253" s="95"/>
      <c r="W253" s="2">
        <f>'[2]6 Вед15'!V302</f>
        <v>0</v>
      </c>
      <c r="X253" s="2">
        <f t="shared" si="232"/>
        <v>172000</v>
      </c>
      <c r="Z253" s="8"/>
    </row>
    <row r="254" spans="1:26" s="5" customFormat="1" ht="33.75" customHeight="1" x14ac:dyDescent="0.25">
      <c r="A254" s="347" t="s">
        <v>2</v>
      </c>
      <c r="B254" s="347"/>
      <c r="C254" s="301"/>
      <c r="D254" s="173">
        <v>52</v>
      </c>
      <c r="E254" s="173">
        <v>0</v>
      </c>
      <c r="F254" s="173">
        <v>852</v>
      </c>
      <c r="G254" s="1" t="s">
        <v>0</v>
      </c>
      <c r="H254" s="1" t="s">
        <v>6</v>
      </c>
      <c r="I254" s="1" t="s">
        <v>343</v>
      </c>
      <c r="J254" s="1"/>
      <c r="K254" s="2">
        <f>K255+K257+K259</f>
        <v>7634300</v>
      </c>
      <c r="L254" s="2">
        <f t="shared" ref="L254:X254" si="283">L255+L257+L259</f>
        <v>0</v>
      </c>
      <c r="M254" s="2">
        <f t="shared" si="283"/>
        <v>7634300</v>
      </c>
      <c r="N254" s="2">
        <f t="shared" si="283"/>
        <v>-46060</v>
      </c>
      <c r="O254" s="2">
        <f t="shared" si="283"/>
        <v>7588240</v>
      </c>
      <c r="P254" s="2">
        <f t="shared" si="283"/>
        <v>0</v>
      </c>
      <c r="Q254" s="2">
        <f t="shared" si="283"/>
        <v>7588240</v>
      </c>
      <c r="R254" s="2">
        <f t="shared" si="283"/>
        <v>0</v>
      </c>
      <c r="S254" s="2">
        <f t="shared" si="283"/>
        <v>7588240</v>
      </c>
      <c r="T254" s="2">
        <f t="shared" si="283"/>
        <v>0</v>
      </c>
      <c r="U254" s="2">
        <f t="shared" si="283"/>
        <v>0</v>
      </c>
      <c r="V254" s="95">
        <f t="shared" si="283"/>
        <v>0</v>
      </c>
      <c r="W254" s="2">
        <f t="shared" si="283"/>
        <v>-774140</v>
      </c>
      <c r="X254" s="2">
        <f t="shared" si="283"/>
        <v>6814100</v>
      </c>
      <c r="Z254" s="8"/>
    </row>
    <row r="255" spans="1:26" s="5" customFormat="1" ht="35.25" customHeight="1" x14ac:dyDescent="0.25">
      <c r="A255" s="291"/>
      <c r="B255" s="301" t="s">
        <v>21</v>
      </c>
      <c r="C255" s="291"/>
      <c r="D255" s="173">
        <v>52</v>
      </c>
      <c r="E255" s="173">
        <v>0</v>
      </c>
      <c r="F255" s="173">
        <v>852</v>
      </c>
      <c r="G255" s="17" t="s">
        <v>0</v>
      </c>
      <c r="H255" s="17" t="s">
        <v>1</v>
      </c>
      <c r="I255" s="17" t="s">
        <v>343</v>
      </c>
      <c r="J255" s="1" t="s">
        <v>23</v>
      </c>
      <c r="K255" s="2">
        <f t="shared" ref="K255:W255" si="284">K256</f>
        <v>420900</v>
      </c>
      <c r="L255" s="2">
        <f t="shared" si="284"/>
        <v>0</v>
      </c>
      <c r="M255" s="2">
        <f t="shared" si="284"/>
        <v>420900</v>
      </c>
      <c r="N255" s="2">
        <f t="shared" si="284"/>
        <v>0</v>
      </c>
      <c r="O255" s="2">
        <f t="shared" si="284"/>
        <v>420900</v>
      </c>
      <c r="P255" s="2">
        <f t="shared" si="284"/>
        <v>0</v>
      </c>
      <c r="Q255" s="2">
        <f t="shared" si="284"/>
        <v>420900</v>
      </c>
      <c r="R255" s="2">
        <f t="shared" si="284"/>
        <v>0</v>
      </c>
      <c r="S255" s="2">
        <f t="shared" si="284"/>
        <v>420900</v>
      </c>
      <c r="T255" s="2"/>
      <c r="U255" s="2"/>
      <c r="V255" s="95"/>
      <c r="W255" s="2">
        <f t="shared" si="284"/>
        <v>21799.07</v>
      </c>
      <c r="X255" s="2">
        <f t="shared" si="232"/>
        <v>442699.07</v>
      </c>
      <c r="Z255" s="8"/>
    </row>
    <row r="256" spans="1:26" s="5" customFormat="1" ht="15" customHeight="1" x14ac:dyDescent="0.25">
      <c r="A256" s="14"/>
      <c r="B256" s="301" t="s">
        <v>24</v>
      </c>
      <c r="C256" s="301"/>
      <c r="D256" s="173">
        <v>52</v>
      </c>
      <c r="E256" s="173">
        <v>0</v>
      </c>
      <c r="F256" s="173">
        <v>852</v>
      </c>
      <c r="G256" s="17" t="s">
        <v>0</v>
      </c>
      <c r="H256" s="17" t="s">
        <v>1</v>
      </c>
      <c r="I256" s="17" t="s">
        <v>343</v>
      </c>
      <c r="J256" s="1" t="s">
        <v>25</v>
      </c>
      <c r="K256" s="2">
        <f>'[2]6 Вед15'!J323</f>
        <v>420900</v>
      </c>
      <c r="L256" s="2">
        <f>'[2]6 Вед15'!K323</f>
        <v>0</v>
      </c>
      <c r="M256" s="2">
        <f t="shared" si="263"/>
        <v>420900</v>
      </c>
      <c r="N256" s="2">
        <f>'[2]6 Вед15'!M323</f>
        <v>0</v>
      </c>
      <c r="O256" s="2">
        <f t="shared" si="264"/>
        <v>420900</v>
      </c>
      <c r="P256" s="2">
        <f>'[2]6 Вед15'!O323</f>
        <v>0</v>
      </c>
      <c r="Q256" s="2">
        <f t="shared" ref="Q256" si="285">O256+P256</f>
        <v>420900</v>
      </c>
      <c r="R256" s="2">
        <f>'[2]6 Вед15'!Q323</f>
        <v>0</v>
      </c>
      <c r="S256" s="2">
        <f t="shared" ref="S256" si="286">Q256+R256</f>
        <v>420900</v>
      </c>
      <c r="T256" s="2"/>
      <c r="U256" s="2"/>
      <c r="V256" s="95"/>
      <c r="W256" s="2">
        <f>'[2]6 Вед15'!V323</f>
        <v>21799.07</v>
      </c>
      <c r="X256" s="2">
        <f t="shared" si="232"/>
        <v>442699.07</v>
      </c>
      <c r="Z256" s="8"/>
    </row>
    <row r="257" spans="1:26" s="5" customFormat="1" ht="15" customHeight="1" x14ac:dyDescent="0.25">
      <c r="A257" s="14"/>
      <c r="B257" s="303" t="s">
        <v>27</v>
      </c>
      <c r="C257" s="301"/>
      <c r="D257" s="173">
        <v>52</v>
      </c>
      <c r="E257" s="173">
        <v>0</v>
      </c>
      <c r="F257" s="173">
        <v>852</v>
      </c>
      <c r="G257" s="1" t="s">
        <v>135</v>
      </c>
      <c r="H257" s="1" t="s">
        <v>6</v>
      </c>
      <c r="I257" s="1" t="s">
        <v>343</v>
      </c>
      <c r="J257" s="1" t="s">
        <v>28</v>
      </c>
      <c r="K257" s="2">
        <f t="shared" ref="K257:W257" si="287">K258</f>
        <v>2032208</v>
      </c>
      <c r="L257" s="2">
        <f t="shared" si="287"/>
        <v>0</v>
      </c>
      <c r="M257" s="2">
        <f t="shared" si="287"/>
        <v>2032208</v>
      </c>
      <c r="N257" s="2">
        <f t="shared" si="287"/>
        <v>-46060</v>
      </c>
      <c r="O257" s="2">
        <f t="shared" si="287"/>
        <v>1986148</v>
      </c>
      <c r="P257" s="2">
        <f t="shared" si="287"/>
        <v>0</v>
      </c>
      <c r="Q257" s="2">
        <f t="shared" si="287"/>
        <v>1986148</v>
      </c>
      <c r="R257" s="2">
        <f t="shared" si="287"/>
        <v>0</v>
      </c>
      <c r="S257" s="2">
        <f t="shared" si="287"/>
        <v>1986148</v>
      </c>
      <c r="T257" s="2"/>
      <c r="U257" s="2"/>
      <c r="V257" s="95"/>
      <c r="W257" s="2">
        <f t="shared" si="287"/>
        <v>-125853.63</v>
      </c>
      <c r="X257" s="2">
        <f t="shared" si="232"/>
        <v>1860294.37</v>
      </c>
      <c r="Z257" s="8"/>
    </row>
    <row r="258" spans="1:26" s="5" customFormat="1" ht="15" customHeight="1" x14ac:dyDescent="0.25">
      <c r="A258" s="14"/>
      <c r="B258" s="303" t="s">
        <v>29</v>
      </c>
      <c r="C258" s="291"/>
      <c r="D258" s="173">
        <v>52</v>
      </c>
      <c r="E258" s="173">
        <v>0</v>
      </c>
      <c r="F258" s="173">
        <v>852</v>
      </c>
      <c r="G258" s="1" t="s">
        <v>135</v>
      </c>
      <c r="H258" s="1" t="s">
        <v>6</v>
      </c>
      <c r="I258" s="1" t="s">
        <v>343</v>
      </c>
      <c r="J258" s="1" t="s">
        <v>30</v>
      </c>
      <c r="K258" s="2">
        <f>'[2]6 Вед15'!J309+237100</f>
        <v>2032208</v>
      </c>
      <c r="L258" s="2">
        <f>'[2]6 Вед15'!K309</f>
        <v>0</v>
      </c>
      <c r="M258" s="2">
        <f t="shared" si="263"/>
        <v>2032208</v>
      </c>
      <c r="N258" s="2">
        <f>'[2]6 Вед15'!M309-46060</f>
        <v>-46060</v>
      </c>
      <c r="O258" s="2">
        <f t="shared" si="264"/>
        <v>1986148</v>
      </c>
      <c r="P258" s="2">
        <f>'[2]6 Вед15'!O309</f>
        <v>0</v>
      </c>
      <c r="Q258" s="2">
        <f t="shared" ref="Q258" si="288">O258+P258</f>
        <v>1986148</v>
      </c>
      <c r="R258" s="2">
        <f>'[2]6 Вед15'!Q309</f>
        <v>0</v>
      </c>
      <c r="S258" s="2">
        <f t="shared" ref="S258" si="289">Q258+R258</f>
        <v>1986148</v>
      </c>
      <c r="T258" s="2"/>
      <c r="U258" s="2"/>
      <c r="V258" s="95"/>
      <c r="W258" s="2">
        <f>-104054.56-21799.07</f>
        <v>-125853.63</v>
      </c>
      <c r="X258" s="2">
        <f t="shared" si="232"/>
        <v>1860294.37</v>
      </c>
      <c r="Z258" s="8"/>
    </row>
    <row r="259" spans="1:26" s="5" customFormat="1" x14ac:dyDescent="0.25">
      <c r="A259" s="299"/>
      <c r="B259" s="301" t="s">
        <v>98</v>
      </c>
      <c r="C259" s="301"/>
      <c r="D259" s="173">
        <v>52</v>
      </c>
      <c r="E259" s="173">
        <v>0</v>
      </c>
      <c r="F259" s="173">
        <v>852</v>
      </c>
      <c r="G259" s="1" t="s">
        <v>0</v>
      </c>
      <c r="H259" s="1" t="s">
        <v>6</v>
      </c>
      <c r="I259" s="1" t="s">
        <v>343</v>
      </c>
      <c r="J259" s="1" t="s">
        <v>99</v>
      </c>
      <c r="K259" s="2">
        <f t="shared" ref="K259:W259" si="290">K260</f>
        <v>5181192</v>
      </c>
      <c r="L259" s="2">
        <f t="shared" si="290"/>
        <v>0</v>
      </c>
      <c r="M259" s="2">
        <f t="shared" si="290"/>
        <v>5181192</v>
      </c>
      <c r="N259" s="2">
        <f t="shared" si="290"/>
        <v>0</v>
      </c>
      <c r="O259" s="2">
        <f t="shared" si="290"/>
        <v>5181192</v>
      </c>
      <c r="P259" s="2">
        <f t="shared" si="290"/>
        <v>0</v>
      </c>
      <c r="Q259" s="2">
        <f t="shared" si="290"/>
        <v>5181192</v>
      </c>
      <c r="R259" s="2">
        <f t="shared" si="290"/>
        <v>0</v>
      </c>
      <c r="S259" s="2">
        <f t="shared" si="290"/>
        <v>5181192</v>
      </c>
      <c r="T259" s="2"/>
      <c r="U259" s="2"/>
      <c r="V259" s="95"/>
      <c r="W259" s="2">
        <f t="shared" si="290"/>
        <v>-670085.43999999994</v>
      </c>
      <c r="X259" s="2">
        <f t="shared" si="232"/>
        <v>4511106.5600000005</v>
      </c>
      <c r="Z259" s="8"/>
    </row>
    <row r="260" spans="1:26" s="5" customFormat="1" ht="24" x14ac:dyDescent="0.25">
      <c r="A260" s="299"/>
      <c r="B260" s="301" t="s">
        <v>360</v>
      </c>
      <c r="C260" s="301"/>
      <c r="D260" s="173">
        <v>52</v>
      </c>
      <c r="E260" s="173">
        <v>0</v>
      </c>
      <c r="F260" s="173">
        <v>852</v>
      </c>
      <c r="G260" s="1" t="s">
        <v>0</v>
      </c>
      <c r="H260" s="1" t="s">
        <v>6</v>
      </c>
      <c r="I260" s="1" t="s">
        <v>343</v>
      </c>
      <c r="J260" s="1" t="s">
        <v>8</v>
      </c>
      <c r="K260" s="2">
        <f>'[2]6 Вед15'!J311</f>
        <v>5181192</v>
      </c>
      <c r="L260" s="2">
        <f>'[2]6 Вед15'!K311</f>
        <v>0</v>
      </c>
      <c r="M260" s="2">
        <f t="shared" si="263"/>
        <v>5181192</v>
      </c>
      <c r="N260" s="2">
        <f>'[2]6 Вед15'!M311</f>
        <v>0</v>
      </c>
      <c r="O260" s="2">
        <f t="shared" si="264"/>
        <v>5181192</v>
      </c>
      <c r="P260" s="2">
        <f>'[2]6 Вед15'!O311</f>
        <v>0</v>
      </c>
      <c r="Q260" s="2">
        <f t="shared" ref="Q260" si="291">O260+P260</f>
        <v>5181192</v>
      </c>
      <c r="R260" s="2">
        <f>'[2]6 Вед15'!Q311</f>
        <v>0</v>
      </c>
      <c r="S260" s="2">
        <f t="shared" ref="S260" si="292">Q260+R260</f>
        <v>5181192</v>
      </c>
      <c r="T260" s="2"/>
      <c r="U260" s="2"/>
      <c r="V260" s="95"/>
      <c r="W260" s="2">
        <v>-670085.43999999994</v>
      </c>
      <c r="X260" s="2">
        <f t="shared" si="232"/>
        <v>4511106.5600000005</v>
      </c>
      <c r="Z260" s="8"/>
    </row>
    <row r="261" spans="1:26" s="5" customFormat="1" ht="16.5" customHeight="1" x14ac:dyDescent="0.25">
      <c r="A261" s="324" t="s">
        <v>116</v>
      </c>
      <c r="B261" s="324"/>
      <c r="C261" s="291"/>
      <c r="D261" s="173">
        <v>52</v>
      </c>
      <c r="E261" s="173">
        <v>0</v>
      </c>
      <c r="F261" s="173">
        <v>852</v>
      </c>
      <c r="G261" s="17" t="s">
        <v>36</v>
      </c>
      <c r="H261" s="1" t="s">
        <v>17</v>
      </c>
      <c r="I261" s="1" t="s">
        <v>324</v>
      </c>
      <c r="J261" s="1"/>
      <c r="K261" s="2">
        <f t="shared" ref="K261:W262" si="293">K262</f>
        <v>1110000</v>
      </c>
      <c r="L261" s="2">
        <f t="shared" si="293"/>
        <v>154200</v>
      </c>
      <c r="M261" s="2">
        <f t="shared" si="293"/>
        <v>1264200</v>
      </c>
      <c r="N261" s="2">
        <f t="shared" si="293"/>
        <v>49248</v>
      </c>
      <c r="O261" s="2">
        <f t="shared" si="293"/>
        <v>1313448</v>
      </c>
      <c r="P261" s="2">
        <f t="shared" si="293"/>
        <v>0</v>
      </c>
      <c r="Q261" s="2">
        <f t="shared" si="293"/>
        <v>1313448</v>
      </c>
      <c r="R261" s="2">
        <f t="shared" si="293"/>
        <v>86571</v>
      </c>
      <c r="S261" s="2">
        <f t="shared" si="293"/>
        <v>1400019</v>
      </c>
      <c r="T261" s="2"/>
      <c r="U261" s="2"/>
      <c r="V261" s="95"/>
      <c r="W261" s="2">
        <f t="shared" si="293"/>
        <v>330633</v>
      </c>
      <c r="X261" s="2">
        <f t="shared" si="232"/>
        <v>1730652</v>
      </c>
      <c r="Z261" s="8"/>
    </row>
    <row r="262" spans="1:26" s="5" customFormat="1" ht="23.25" customHeight="1" x14ac:dyDescent="0.25">
      <c r="A262" s="291"/>
      <c r="B262" s="303" t="s">
        <v>90</v>
      </c>
      <c r="C262" s="291"/>
      <c r="D262" s="173">
        <v>52</v>
      </c>
      <c r="E262" s="173">
        <v>0</v>
      </c>
      <c r="F262" s="173">
        <v>852</v>
      </c>
      <c r="G262" s="1" t="s">
        <v>36</v>
      </c>
      <c r="H262" s="1" t="s">
        <v>17</v>
      </c>
      <c r="I262" s="1" t="s">
        <v>324</v>
      </c>
      <c r="J262" s="1" t="s">
        <v>86</v>
      </c>
      <c r="K262" s="2">
        <f t="shared" si="293"/>
        <v>1110000</v>
      </c>
      <c r="L262" s="2">
        <f t="shared" si="293"/>
        <v>154200</v>
      </c>
      <c r="M262" s="2">
        <f t="shared" si="293"/>
        <v>1264200</v>
      </c>
      <c r="N262" s="2">
        <f t="shared" si="293"/>
        <v>49248</v>
      </c>
      <c r="O262" s="2">
        <f t="shared" si="293"/>
        <v>1313448</v>
      </c>
      <c r="P262" s="2">
        <f t="shared" si="293"/>
        <v>0</v>
      </c>
      <c r="Q262" s="2">
        <f t="shared" si="293"/>
        <v>1313448</v>
      </c>
      <c r="R262" s="2">
        <f t="shared" si="293"/>
        <v>86571</v>
      </c>
      <c r="S262" s="2">
        <f t="shared" si="293"/>
        <v>1400019</v>
      </c>
      <c r="T262" s="2"/>
      <c r="U262" s="2"/>
      <c r="V262" s="95"/>
      <c r="W262" s="2">
        <f t="shared" si="293"/>
        <v>330633</v>
      </c>
      <c r="X262" s="2">
        <f t="shared" si="232"/>
        <v>1730652</v>
      </c>
      <c r="Z262" s="8"/>
    </row>
    <row r="263" spans="1:26" s="5" customFormat="1" x14ac:dyDescent="0.25">
      <c r="A263" s="301"/>
      <c r="B263" s="301" t="s">
        <v>118</v>
      </c>
      <c r="C263" s="301"/>
      <c r="D263" s="173">
        <v>52</v>
      </c>
      <c r="E263" s="173">
        <v>0</v>
      </c>
      <c r="F263" s="173">
        <v>852</v>
      </c>
      <c r="G263" s="1" t="s">
        <v>36</v>
      </c>
      <c r="H263" s="1" t="s">
        <v>17</v>
      </c>
      <c r="I263" s="1" t="s">
        <v>324</v>
      </c>
      <c r="J263" s="1" t="s">
        <v>119</v>
      </c>
      <c r="K263" s="2">
        <f>'[2]6 Вед15'!J264</f>
        <v>1110000</v>
      </c>
      <c r="L263" s="2">
        <f>'[2]6 Вед15'!K264</f>
        <v>154200</v>
      </c>
      <c r="M263" s="2">
        <f t="shared" si="263"/>
        <v>1264200</v>
      </c>
      <c r="N263" s="2">
        <f>'[2]6 Вед15'!M264</f>
        <v>49248</v>
      </c>
      <c r="O263" s="2">
        <f t="shared" si="264"/>
        <v>1313448</v>
      </c>
      <c r="P263" s="2">
        <f>'[2]6 Вед15'!O264</f>
        <v>0</v>
      </c>
      <c r="Q263" s="2">
        <f t="shared" ref="Q263" si="294">O263+P263</f>
        <v>1313448</v>
      </c>
      <c r="R263" s="2">
        <f>'[2]6 Вед15'!Q236+'[2]6 Вед15'!Q264</f>
        <v>86571</v>
      </c>
      <c r="S263" s="2">
        <f t="shared" ref="S263" si="295">Q263+R263</f>
        <v>1400019</v>
      </c>
      <c r="T263" s="2"/>
      <c r="U263" s="2"/>
      <c r="V263" s="95"/>
      <c r="W263" s="2">
        <v>330633</v>
      </c>
      <c r="X263" s="2">
        <f t="shared" si="232"/>
        <v>1730652</v>
      </c>
      <c r="Z263" s="8"/>
    </row>
    <row r="264" spans="1:26" s="5" customFormat="1" ht="24.75" customHeight="1" x14ac:dyDescent="0.25">
      <c r="A264" s="324" t="s">
        <v>120</v>
      </c>
      <c r="B264" s="324"/>
      <c r="C264" s="291"/>
      <c r="D264" s="173">
        <v>52</v>
      </c>
      <c r="E264" s="173">
        <v>0</v>
      </c>
      <c r="F264" s="173">
        <v>852</v>
      </c>
      <c r="G264" s="17" t="s">
        <v>36</v>
      </c>
      <c r="H264" s="17" t="s">
        <v>17</v>
      </c>
      <c r="I264" s="17" t="s">
        <v>340</v>
      </c>
      <c r="J264" s="1"/>
      <c r="K264" s="2">
        <f t="shared" ref="K264:W265" si="296">K265</f>
        <v>1038500</v>
      </c>
      <c r="L264" s="2">
        <f t="shared" si="296"/>
        <v>171280</v>
      </c>
      <c r="M264" s="2">
        <f t="shared" si="296"/>
        <v>1209780</v>
      </c>
      <c r="N264" s="2">
        <f t="shared" si="296"/>
        <v>0</v>
      </c>
      <c r="O264" s="2">
        <f t="shared" si="296"/>
        <v>1209780</v>
      </c>
      <c r="P264" s="2">
        <f t="shared" si="296"/>
        <v>0</v>
      </c>
      <c r="Q264" s="2">
        <f t="shared" si="296"/>
        <v>1209780</v>
      </c>
      <c r="R264" s="2">
        <f t="shared" si="296"/>
        <v>242533</v>
      </c>
      <c r="S264" s="2">
        <f t="shared" si="296"/>
        <v>1452313</v>
      </c>
      <c r="T264" s="2"/>
      <c r="U264" s="2"/>
      <c r="V264" s="95"/>
      <c r="W264" s="2">
        <f t="shared" si="296"/>
        <v>99538</v>
      </c>
      <c r="X264" s="2">
        <f t="shared" si="232"/>
        <v>1551851</v>
      </c>
      <c r="Z264" s="8"/>
    </row>
    <row r="265" spans="1:26" s="5" customFormat="1" ht="24" x14ac:dyDescent="0.25">
      <c r="A265" s="291"/>
      <c r="B265" s="303" t="s">
        <v>90</v>
      </c>
      <c r="C265" s="291"/>
      <c r="D265" s="173">
        <v>52</v>
      </c>
      <c r="E265" s="173">
        <v>0</v>
      </c>
      <c r="F265" s="173">
        <v>852</v>
      </c>
      <c r="G265" s="1" t="s">
        <v>36</v>
      </c>
      <c r="H265" s="1" t="s">
        <v>17</v>
      </c>
      <c r="I265" s="17" t="s">
        <v>340</v>
      </c>
      <c r="J265" s="1" t="s">
        <v>86</v>
      </c>
      <c r="K265" s="2">
        <f t="shared" si="296"/>
        <v>1038500</v>
      </c>
      <c r="L265" s="2">
        <f t="shared" si="296"/>
        <v>171280</v>
      </c>
      <c r="M265" s="2">
        <f t="shared" si="296"/>
        <v>1209780</v>
      </c>
      <c r="N265" s="2">
        <f t="shared" si="296"/>
        <v>0</v>
      </c>
      <c r="O265" s="2">
        <f t="shared" si="296"/>
        <v>1209780</v>
      </c>
      <c r="P265" s="2">
        <f t="shared" si="296"/>
        <v>0</v>
      </c>
      <c r="Q265" s="2">
        <f t="shared" si="296"/>
        <v>1209780</v>
      </c>
      <c r="R265" s="2">
        <f t="shared" si="296"/>
        <v>242533</v>
      </c>
      <c r="S265" s="2">
        <f t="shared" si="296"/>
        <v>1452313</v>
      </c>
      <c r="T265" s="2"/>
      <c r="U265" s="2"/>
      <c r="V265" s="95"/>
      <c r="W265" s="2">
        <f t="shared" si="296"/>
        <v>99538</v>
      </c>
      <c r="X265" s="2">
        <f t="shared" si="232"/>
        <v>1551851</v>
      </c>
      <c r="Z265" s="8"/>
    </row>
    <row r="266" spans="1:26" s="5" customFormat="1" x14ac:dyDescent="0.25">
      <c r="A266" s="301"/>
      <c r="B266" s="301" t="s">
        <v>118</v>
      </c>
      <c r="C266" s="301"/>
      <c r="D266" s="173">
        <v>52</v>
      </c>
      <c r="E266" s="173">
        <v>0</v>
      </c>
      <c r="F266" s="173">
        <v>852</v>
      </c>
      <c r="G266" s="1" t="s">
        <v>36</v>
      </c>
      <c r="H266" s="1" t="s">
        <v>17</v>
      </c>
      <c r="I266" s="17" t="s">
        <v>340</v>
      </c>
      <c r="J266" s="1" t="s">
        <v>119</v>
      </c>
      <c r="K266" s="2">
        <f>'[2]6 Вед15'!J239+'[2]6 Вед15'!J267</f>
        <v>1038500</v>
      </c>
      <c r="L266" s="2">
        <f>'[2]6 Вед15'!K239+'[2]6 Вед15'!K267</f>
        <v>171280</v>
      </c>
      <c r="M266" s="2">
        <f t="shared" si="263"/>
        <v>1209780</v>
      </c>
      <c r="N266" s="2">
        <f>'[2]6 Вед15'!M239+'[2]6 Вед15'!M267</f>
        <v>0</v>
      </c>
      <c r="O266" s="2">
        <f t="shared" si="264"/>
        <v>1209780</v>
      </c>
      <c r="P266" s="2">
        <f>'[2]6 Вед15'!O239+'[2]6 Вед15'!O267</f>
        <v>0</v>
      </c>
      <c r="Q266" s="2">
        <f t="shared" ref="Q266" si="297">O266+P266</f>
        <v>1209780</v>
      </c>
      <c r="R266" s="2">
        <f>'[2]6 Вед15'!Q239+'[2]6 Вед15'!Q267+'[2]6 Вед15'!Q297</f>
        <v>242533</v>
      </c>
      <c r="S266" s="2">
        <f t="shared" ref="S266" si="298">Q266+R266</f>
        <v>1452313</v>
      </c>
      <c r="T266" s="2"/>
      <c r="U266" s="2"/>
      <c r="V266" s="95"/>
      <c r="W266" s="2">
        <v>99538</v>
      </c>
      <c r="X266" s="2">
        <f t="shared" si="232"/>
        <v>1551851</v>
      </c>
      <c r="Z266" s="8"/>
    </row>
    <row r="267" spans="1:26" s="5" customFormat="1" ht="24" hidden="1" customHeight="1" x14ac:dyDescent="0.25">
      <c r="A267" s="324" t="s">
        <v>128</v>
      </c>
      <c r="B267" s="324"/>
      <c r="C267" s="291"/>
      <c r="D267" s="173">
        <v>52</v>
      </c>
      <c r="E267" s="173">
        <v>0</v>
      </c>
      <c r="F267" s="173">
        <v>852</v>
      </c>
      <c r="G267" s="1" t="s">
        <v>36</v>
      </c>
      <c r="H267" s="1" t="s">
        <v>36</v>
      </c>
      <c r="I267" s="1" t="s">
        <v>402</v>
      </c>
      <c r="J267" s="1"/>
      <c r="K267" s="2">
        <f t="shared" ref="K267:W268" si="299">K268</f>
        <v>122200</v>
      </c>
      <c r="L267" s="2">
        <f t="shared" si="299"/>
        <v>0</v>
      </c>
      <c r="M267" s="2">
        <f t="shared" si="299"/>
        <v>122200</v>
      </c>
      <c r="N267" s="2">
        <f t="shared" si="299"/>
        <v>0</v>
      </c>
      <c r="O267" s="2">
        <f t="shared" si="299"/>
        <v>122200</v>
      </c>
      <c r="P267" s="2">
        <f t="shared" si="299"/>
        <v>0</v>
      </c>
      <c r="Q267" s="2">
        <f t="shared" si="299"/>
        <v>122200</v>
      </c>
      <c r="R267" s="2">
        <f t="shared" si="299"/>
        <v>0</v>
      </c>
      <c r="S267" s="2">
        <f t="shared" si="299"/>
        <v>122200</v>
      </c>
      <c r="T267" s="2"/>
      <c r="U267" s="2"/>
      <c r="V267" s="95"/>
      <c r="W267" s="2">
        <f t="shared" si="299"/>
        <v>0</v>
      </c>
      <c r="X267" s="2">
        <f t="shared" si="232"/>
        <v>122200</v>
      </c>
      <c r="Z267" s="8"/>
    </row>
    <row r="268" spans="1:26" s="5" customFormat="1" ht="25.5" hidden="1" customHeight="1" x14ac:dyDescent="0.25">
      <c r="A268" s="14"/>
      <c r="B268" s="303" t="s">
        <v>27</v>
      </c>
      <c r="C268" s="301"/>
      <c r="D268" s="173">
        <v>52</v>
      </c>
      <c r="E268" s="173">
        <v>0</v>
      </c>
      <c r="F268" s="173">
        <v>852</v>
      </c>
      <c r="G268" s="1" t="s">
        <v>36</v>
      </c>
      <c r="H268" s="1" t="s">
        <v>36</v>
      </c>
      <c r="I268" s="1" t="s">
        <v>402</v>
      </c>
      <c r="J268" s="1" t="s">
        <v>28</v>
      </c>
      <c r="K268" s="2">
        <f t="shared" si="299"/>
        <v>122200</v>
      </c>
      <c r="L268" s="2">
        <f t="shared" si="299"/>
        <v>0</v>
      </c>
      <c r="M268" s="2">
        <f t="shared" si="299"/>
        <v>122200</v>
      </c>
      <c r="N268" s="2">
        <f t="shared" si="299"/>
        <v>0</v>
      </c>
      <c r="O268" s="2">
        <f t="shared" si="299"/>
        <v>122200</v>
      </c>
      <c r="P268" s="2">
        <f t="shared" si="299"/>
        <v>0</v>
      </c>
      <c r="Q268" s="2">
        <f t="shared" si="299"/>
        <v>122200</v>
      </c>
      <c r="R268" s="2">
        <f t="shared" si="299"/>
        <v>0</v>
      </c>
      <c r="S268" s="2">
        <f t="shared" si="299"/>
        <v>122200</v>
      </c>
      <c r="T268" s="2"/>
      <c r="U268" s="2"/>
      <c r="V268" s="95"/>
      <c r="W268" s="2">
        <f t="shared" si="299"/>
        <v>0</v>
      </c>
      <c r="X268" s="2">
        <f t="shared" si="232"/>
        <v>122200</v>
      </c>
      <c r="Z268" s="8"/>
    </row>
    <row r="269" spans="1:26" s="5" customFormat="1" ht="26.25" hidden="1" customHeight="1" x14ac:dyDescent="0.25">
      <c r="A269" s="14"/>
      <c r="B269" s="303" t="s">
        <v>29</v>
      </c>
      <c r="C269" s="291"/>
      <c r="D269" s="173">
        <v>52</v>
      </c>
      <c r="E269" s="173">
        <v>0</v>
      </c>
      <c r="F269" s="173">
        <v>852</v>
      </c>
      <c r="G269" s="1" t="s">
        <v>36</v>
      </c>
      <c r="H269" s="1" t="s">
        <v>36</v>
      </c>
      <c r="I269" s="1" t="s">
        <v>402</v>
      </c>
      <c r="J269" s="1" t="s">
        <v>30</v>
      </c>
      <c r="K269" s="2">
        <f>'[2]6 Вед15'!J277</f>
        <v>122200</v>
      </c>
      <c r="L269" s="95">
        <f>'[2]6 Вед15'!K277</f>
        <v>0</v>
      </c>
      <c r="M269" s="2">
        <f t="shared" si="263"/>
        <v>122200</v>
      </c>
      <c r="N269" s="95">
        <f>'[2]6 Вед15'!M277</f>
        <v>0</v>
      </c>
      <c r="O269" s="2">
        <f t="shared" si="264"/>
        <v>122200</v>
      </c>
      <c r="P269" s="95">
        <f>'[2]6 Вед15'!O277</f>
        <v>0</v>
      </c>
      <c r="Q269" s="2">
        <f t="shared" ref="Q269" si="300">O269+P269</f>
        <v>122200</v>
      </c>
      <c r="R269" s="95">
        <f>'[2]6 Вед15'!Q277</f>
        <v>0</v>
      </c>
      <c r="S269" s="2">
        <f t="shared" ref="S269" si="301">Q269+R269</f>
        <v>122200</v>
      </c>
      <c r="T269" s="95"/>
      <c r="U269" s="95"/>
      <c r="V269" s="95"/>
      <c r="W269" s="2">
        <f>'[2]6 Вед15'!V277</f>
        <v>0</v>
      </c>
      <c r="X269" s="2">
        <f t="shared" si="232"/>
        <v>122200</v>
      </c>
      <c r="Z269" s="8"/>
    </row>
    <row r="270" spans="1:26" s="5" customFormat="1" ht="48.75" hidden="1" customHeight="1" x14ac:dyDescent="0.25">
      <c r="A270" s="323" t="s">
        <v>5</v>
      </c>
      <c r="B270" s="323"/>
      <c r="C270" s="301"/>
      <c r="D270" s="173">
        <v>52</v>
      </c>
      <c r="E270" s="173">
        <v>0</v>
      </c>
      <c r="F270" s="173">
        <v>852</v>
      </c>
      <c r="G270" s="1" t="s">
        <v>0</v>
      </c>
      <c r="H270" s="1" t="s">
        <v>6</v>
      </c>
      <c r="I270" s="1" t="s">
        <v>345</v>
      </c>
      <c r="J270" s="1"/>
      <c r="K270" s="2">
        <f t="shared" ref="K270:W274" si="302">K271</f>
        <v>158000</v>
      </c>
      <c r="L270" s="2">
        <f t="shared" si="302"/>
        <v>0</v>
      </c>
      <c r="M270" s="2">
        <f t="shared" si="302"/>
        <v>158000</v>
      </c>
      <c r="N270" s="2">
        <f t="shared" si="302"/>
        <v>0</v>
      </c>
      <c r="O270" s="2">
        <f t="shared" si="302"/>
        <v>158000</v>
      </c>
      <c r="P270" s="2">
        <f t="shared" si="302"/>
        <v>0</v>
      </c>
      <c r="Q270" s="2">
        <f t="shared" si="302"/>
        <v>158000</v>
      </c>
      <c r="R270" s="2">
        <f t="shared" si="302"/>
        <v>-34322.089999999997</v>
      </c>
      <c r="S270" s="2">
        <f t="shared" si="302"/>
        <v>123677.91</v>
      </c>
      <c r="T270" s="2"/>
      <c r="U270" s="2"/>
      <c r="V270" s="95"/>
      <c r="W270" s="2">
        <f t="shared" si="302"/>
        <v>0</v>
      </c>
      <c r="X270" s="2">
        <f t="shared" si="232"/>
        <v>123677.91</v>
      </c>
      <c r="Z270" s="8"/>
    </row>
    <row r="271" spans="1:26" s="5" customFormat="1" hidden="1" x14ac:dyDescent="0.25">
      <c r="A271" s="299"/>
      <c r="B271" s="301" t="s">
        <v>98</v>
      </c>
      <c r="C271" s="301"/>
      <c r="D271" s="173">
        <v>52</v>
      </c>
      <c r="E271" s="173">
        <v>0</v>
      </c>
      <c r="F271" s="173">
        <v>852</v>
      </c>
      <c r="G271" s="1" t="s">
        <v>0</v>
      </c>
      <c r="H271" s="1" t="s">
        <v>6</v>
      </c>
      <c r="I271" s="1" t="s">
        <v>345</v>
      </c>
      <c r="J271" s="1" t="s">
        <v>99</v>
      </c>
      <c r="K271" s="2">
        <f t="shared" si="302"/>
        <v>158000</v>
      </c>
      <c r="L271" s="2">
        <f t="shared" si="302"/>
        <v>0</v>
      </c>
      <c r="M271" s="2">
        <f t="shared" si="302"/>
        <v>158000</v>
      </c>
      <c r="N271" s="2">
        <f t="shared" si="302"/>
        <v>0</v>
      </c>
      <c r="O271" s="2">
        <f t="shared" si="302"/>
        <v>158000</v>
      </c>
      <c r="P271" s="2">
        <f t="shared" si="302"/>
        <v>0</v>
      </c>
      <c r="Q271" s="2">
        <f t="shared" si="302"/>
        <v>158000</v>
      </c>
      <c r="R271" s="2">
        <f t="shared" si="302"/>
        <v>-34322.089999999997</v>
      </c>
      <c r="S271" s="2">
        <f t="shared" si="302"/>
        <v>123677.91</v>
      </c>
      <c r="T271" s="2"/>
      <c r="U271" s="2"/>
      <c r="V271" s="95"/>
      <c r="W271" s="2">
        <f t="shared" si="302"/>
        <v>0</v>
      </c>
      <c r="X271" s="2">
        <f t="shared" si="232"/>
        <v>123677.91</v>
      </c>
      <c r="Z271" s="8"/>
    </row>
    <row r="272" spans="1:26" s="5" customFormat="1" ht="24" hidden="1" x14ac:dyDescent="0.25">
      <c r="A272" s="299"/>
      <c r="B272" s="301" t="s">
        <v>360</v>
      </c>
      <c r="C272" s="301"/>
      <c r="D272" s="173">
        <v>52</v>
      </c>
      <c r="E272" s="173">
        <v>0</v>
      </c>
      <c r="F272" s="173">
        <v>852</v>
      </c>
      <c r="G272" s="1" t="s">
        <v>0</v>
      </c>
      <c r="H272" s="1" t="s">
        <v>6</v>
      </c>
      <c r="I272" s="1" t="s">
        <v>345</v>
      </c>
      <c r="J272" s="1" t="s">
        <v>8</v>
      </c>
      <c r="K272" s="2">
        <f>'[2]6 Вед15'!J314</f>
        <v>158000</v>
      </c>
      <c r="L272" s="95">
        <f>'[2]6 Вед15'!K314</f>
        <v>0</v>
      </c>
      <c r="M272" s="2">
        <f t="shared" si="263"/>
        <v>158000</v>
      </c>
      <c r="N272" s="95">
        <f>'[2]6 Вед15'!M314</f>
        <v>0</v>
      </c>
      <c r="O272" s="2">
        <f t="shared" si="264"/>
        <v>158000</v>
      </c>
      <c r="P272" s="95">
        <f>'[2]6 Вед15'!O314</f>
        <v>0</v>
      </c>
      <c r="Q272" s="2">
        <f t="shared" ref="Q272" si="303">O272+P272</f>
        <v>158000</v>
      </c>
      <c r="R272" s="95">
        <f>'[2]6 Вед15'!Q314</f>
        <v>-34322.089999999997</v>
      </c>
      <c r="S272" s="2">
        <f t="shared" ref="S272" si="304">Q272+R272</f>
        <v>123677.91</v>
      </c>
      <c r="T272" s="95"/>
      <c r="U272" s="95"/>
      <c r="V272" s="95"/>
      <c r="W272" s="2">
        <f>'[2]6 Вед15'!V314</f>
        <v>0</v>
      </c>
      <c r="X272" s="2">
        <f t="shared" si="232"/>
        <v>123677.91</v>
      </c>
      <c r="Z272" s="8"/>
    </row>
    <row r="273" spans="1:26" s="5" customFormat="1" ht="25.5" customHeight="1" x14ac:dyDescent="0.25">
      <c r="A273" s="330" t="s">
        <v>746</v>
      </c>
      <c r="B273" s="331"/>
      <c r="C273" s="301"/>
      <c r="D273" s="173">
        <v>52</v>
      </c>
      <c r="E273" s="173">
        <v>0</v>
      </c>
      <c r="F273" s="173">
        <v>852</v>
      </c>
      <c r="G273" s="17" t="s">
        <v>36</v>
      </c>
      <c r="H273" s="17" t="s">
        <v>17</v>
      </c>
      <c r="I273" s="17" t="s">
        <v>759</v>
      </c>
      <c r="J273" s="1"/>
      <c r="K273" s="2"/>
      <c r="L273" s="95"/>
      <c r="M273" s="2"/>
      <c r="N273" s="95"/>
      <c r="O273" s="2"/>
      <c r="P273" s="95"/>
      <c r="Q273" s="2"/>
      <c r="R273" s="95"/>
      <c r="S273" s="2">
        <f t="shared" si="302"/>
        <v>0</v>
      </c>
      <c r="T273" s="2"/>
      <c r="U273" s="2"/>
      <c r="V273" s="95"/>
      <c r="W273" s="2">
        <f t="shared" si="302"/>
        <v>80000</v>
      </c>
      <c r="X273" s="2">
        <f t="shared" si="232"/>
        <v>80000</v>
      </c>
      <c r="Z273" s="8"/>
    </row>
    <row r="274" spans="1:26" s="5" customFormat="1" ht="24" x14ac:dyDescent="0.25">
      <c r="A274" s="291"/>
      <c r="B274" s="291" t="s">
        <v>90</v>
      </c>
      <c r="C274" s="301"/>
      <c r="D274" s="173">
        <v>52</v>
      </c>
      <c r="E274" s="173">
        <v>0</v>
      </c>
      <c r="F274" s="173">
        <v>852</v>
      </c>
      <c r="G274" s="1" t="s">
        <v>36</v>
      </c>
      <c r="H274" s="1" t="s">
        <v>17</v>
      </c>
      <c r="I274" s="17" t="s">
        <v>759</v>
      </c>
      <c r="J274" s="1" t="s">
        <v>86</v>
      </c>
      <c r="K274" s="2"/>
      <c r="L274" s="95"/>
      <c r="M274" s="2"/>
      <c r="N274" s="95"/>
      <c r="O274" s="2"/>
      <c r="P274" s="95"/>
      <c r="Q274" s="2"/>
      <c r="R274" s="95"/>
      <c r="S274" s="2">
        <f t="shared" si="302"/>
        <v>0</v>
      </c>
      <c r="T274" s="2"/>
      <c r="U274" s="2"/>
      <c r="V274" s="95"/>
      <c r="W274" s="2">
        <f t="shared" si="302"/>
        <v>80000</v>
      </c>
      <c r="X274" s="2">
        <f t="shared" si="232"/>
        <v>80000</v>
      </c>
      <c r="Z274" s="8"/>
    </row>
    <row r="275" spans="1:26" s="5" customFormat="1" x14ac:dyDescent="0.25">
      <c r="A275" s="291"/>
      <c r="B275" s="303" t="s">
        <v>118</v>
      </c>
      <c r="C275" s="301"/>
      <c r="D275" s="173">
        <v>52</v>
      </c>
      <c r="E275" s="173">
        <v>0</v>
      </c>
      <c r="F275" s="173">
        <v>852</v>
      </c>
      <c r="G275" s="1" t="s">
        <v>36</v>
      </c>
      <c r="H275" s="1" t="s">
        <v>17</v>
      </c>
      <c r="I275" s="17" t="s">
        <v>759</v>
      </c>
      <c r="J275" s="1" t="s">
        <v>119</v>
      </c>
      <c r="K275" s="2"/>
      <c r="L275" s="95"/>
      <c r="M275" s="2"/>
      <c r="N275" s="95"/>
      <c r="O275" s="2"/>
      <c r="P275" s="95"/>
      <c r="Q275" s="2"/>
      <c r="R275" s="95"/>
      <c r="S275" s="2">
        <f t="shared" ref="S275" si="305">Q275+R275</f>
        <v>0</v>
      </c>
      <c r="T275" s="95"/>
      <c r="U275" s="95"/>
      <c r="V275" s="95"/>
      <c r="W275" s="2">
        <v>80000</v>
      </c>
      <c r="X275" s="2">
        <f t="shared" si="232"/>
        <v>80000</v>
      </c>
      <c r="Z275" s="8"/>
    </row>
    <row r="276" spans="1:26" s="5" customFormat="1" ht="45" customHeight="1" x14ac:dyDescent="0.25">
      <c r="A276" s="330" t="s">
        <v>748</v>
      </c>
      <c r="B276" s="331"/>
      <c r="C276" s="301"/>
      <c r="D276" s="173">
        <v>52</v>
      </c>
      <c r="E276" s="173">
        <v>0</v>
      </c>
      <c r="F276" s="173">
        <v>852</v>
      </c>
      <c r="G276" s="17" t="s">
        <v>36</v>
      </c>
      <c r="H276" s="17" t="s">
        <v>17</v>
      </c>
      <c r="I276" s="17" t="s">
        <v>760</v>
      </c>
      <c r="J276" s="1"/>
      <c r="K276" s="2"/>
      <c r="L276" s="95"/>
      <c r="M276" s="2"/>
      <c r="N276" s="95"/>
      <c r="O276" s="2"/>
      <c r="P276" s="95"/>
      <c r="Q276" s="2"/>
      <c r="R276" s="95"/>
      <c r="S276" s="2"/>
      <c r="T276" s="95"/>
      <c r="U276" s="95"/>
      <c r="V276" s="95"/>
      <c r="W276" s="2">
        <f>W277</f>
        <v>1000000</v>
      </c>
      <c r="X276" s="2">
        <f t="shared" si="232"/>
        <v>1000000</v>
      </c>
      <c r="Z276" s="8"/>
    </row>
    <row r="277" spans="1:26" s="5" customFormat="1" ht="24" x14ac:dyDescent="0.25">
      <c r="A277" s="291"/>
      <c r="B277" s="170" t="s">
        <v>90</v>
      </c>
      <c r="C277" s="301"/>
      <c r="D277" s="173">
        <v>52</v>
      </c>
      <c r="E277" s="173">
        <v>0</v>
      </c>
      <c r="F277" s="173">
        <v>852</v>
      </c>
      <c r="G277" s="1" t="s">
        <v>36</v>
      </c>
      <c r="H277" s="1" t="s">
        <v>17</v>
      </c>
      <c r="I277" s="17" t="s">
        <v>760</v>
      </c>
      <c r="J277" s="1" t="s">
        <v>86</v>
      </c>
      <c r="K277" s="2"/>
      <c r="L277" s="95"/>
      <c r="M277" s="2"/>
      <c r="N277" s="95"/>
      <c r="O277" s="2"/>
      <c r="P277" s="95"/>
      <c r="Q277" s="2"/>
      <c r="R277" s="95"/>
      <c r="S277" s="2"/>
      <c r="T277" s="95"/>
      <c r="U277" s="95"/>
      <c r="V277" s="95"/>
      <c r="W277" s="2">
        <f>W278</f>
        <v>1000000</v>
      </c>
      <c r="X277" s="2">
        <f t="shared" si="232"/>
        <v>1000000</v>
      </c>
      <c r="Z277" s="8"/>
    </row>
    <row r="278" spans="1:26" s="5" customFormat="1" ht="15" customHeight="1" x14ac:dyDescent="0.25">
      <c r="A278" s="291"/>
      <c r="B278" s="280" t="s">
        <v>118</v>
      </c>
      <c r="C278" s="301"/>
      <c r="D278" s="173">
        <v>52</v>
      </c>
      <c r="E278" s="173">
        <v>0</v>
      </c>
      <c r="F278" s="173">
        <v>852</v>
      </c>
      <c r="G278" s="1" t="s">
        <v>36</v>
      </c>
      <c r="H278" s="1" t="s">
        <v>17</v>
      </c>
      <c r="I278" s="17" t="s">
        <v>760</v>
      </c>
      <c r="J278" s="1" t="s">
        <v>119</v>
      </c>
      <c r="K278" s="2"/>
      <c r="L278" s="95"/>
      <c r="M278" s="2"/>
      <c r="N278" s="95"/>
      <c r="O278" s="2"/>
      <c r="P278" s="95"/>
      <c r="Q278" s="2"/>
      <c r="R278" s="95"/>
      <c r="S278" s="2"/>
      <c r="T278" s="95"/>
      <c r="U278" s="95"/>
      <c r="V278" s="95"/>
      <c r="W278" s="2">
        <v>1000000</v>
      </c>
      <c r="X278" s="2">
        <f t="shared" si="232"/>
        <v>1000000</v>
      </c>
      <c r="Z278" s="8"/>
    </row>
    <row r="279" spans="1:26" s="5" customFormat="1" ht="24.75" customHeight="1" x14ac:dyDescent="0.25">
      <c r="A279" s="361" t="s">
        <v>499</v>
      </c>
      <c r="B279" s="362"/>
      <c r="C279" s="292"/>
      <c r="D279" s="306">
        <v>53</v>
      </c>
      <c r="E279" s="173"/>
      <c r="F279" s="306"/>
      <c r="G279" s="33"/>
      <c r="H279" s="33"/>
      <c r="I279" s="33"/>
      <c r="J279" s="6"/>
      <c r="K279" s="7">
        <f t="shared" ref="K279:W279" si="306">K280</f>
        <v>19120517</v>
      </c>
      <c r="L279" s="7">
        <f t="shared" si="306"/>
        <v>0</v>
      </c>
      <c r="M279" s="7">
        <f t="shared" si="306"/>
        <v>19120517</v>
      </c>
      <c r="N279" s="7">
        <f t="shared" si="306"/>
        <v>-666401</v>
      </c>
      <c r="O279" s="7">
        <f t="shared" si="306"/>
        <v>18454116</v>
      </c>
      <c r="P279" s="7">
        <f t="shared" si="306"/>
        <v>-7950</v>
      </c>
      <c r="Q279" s="7">
        <f t="shared" si="306"/>
        <v>18446166</v>
      </c>
      <c r="R279" s="7">
        <f t="shared" si="306"/>
        <v>2752363.6</v>
      </c>
      <c r="S279" s="7">
        <f t="shared" si="306"/>
        <v>21198529.600000001</v>
      </c>
      <c r="T279" s="7"/>
      <c r="U279" s="7"/>
      <c r="V279" s="316"/>
      <c r="W279" s="7">
        <f t="shared" si="306"/>
        <v>152427.65</v>
      </c>
      <c r="X279" s="2">
        <f t="shared" si="232"/>
        <v>21350957.25</v>
      </c>
      <c r="Z279" s="8"/>
    </row>
    <row r="280" spans="1:26" s="5" customFormat="1" ht="14.25" customHeight="1" x14ac:dyDescent="0.25">
      <c r="A280" s="348" t="s">
        <v>141</v>
      </c>
      <c r="B280" s="349"/>
      <c r="C280" s="15"/>
      <c r="D280" s="15">
        <v>53</v>
      </c>
      <c r="E280" s="15">
        <v>0</v>
      </c>
      <c r="F280" s="15">
        <v>853</v>
      </c>
      <c r="G280" s="1"/>
      <c r="H280" s="1"/>
      <c r="I280" s="1"/>
      <c r="J280" s="1"/>
      <c r="K280" s="178">
        <f>K281+K289+K292+K295+K300+K305+K312+K309+K315</f>
        <v>19120517</v>
      </c>
      <c r="L280" s="178">
        <f t="shared" ref="L280:P280" si="307">L281+L289+L292+L295+L300+L305+L312+L309+L315</f>
        <v>0</v>
      </c>
      <c r="M280" s="178">
        <f t="shared" si="307"/>
        <v>19120517</v>
      </c>
      <c r="N280" s="178">
        <f t="shared" si="307"/>
        <v>-666401</v>
      </c>
      <c r="O280" s="178">
        <f t="shared" si="307"/>
        <v>18454116</v>
      </c>
      <c r="P280" s="178">
        <f t="shared" si="307"/>
        <v>-7950</v>
      </c>
      <c r="Q280" s="11">
        <f>Q281+Q289+Q292+Q295+Q300+Q305+Q312+Q309+Q315+Q318</f>
        <v>18446166</v>
      </c>
      <c r="R280" s="11">
        <f t="shared" ref="R280:S280" si="308">R281+R289+R292+R295+R300+R305+R312+R309+R315+R318</f>
        <v>2752363.6</v>
      </c>
      <c r="S280" s="11">
        <f t="shared" si="308"/>
        <v>21198529.600000001</v>
      </c>
      <c r="T280" s="11"/>
      <c r="U280" s="11"/>
      <c r="V280" s="165"/>
      <c r="W280" s="11">
        <f t="shared" ref="W280" si="309">W281+W289+W292+W295+W300+W305+W312+W309+W315+W318</f>
        <v>152427.65</v>
      </c>
      <c r="X280" s="2">
        <f t="shared" si="232"/>
        <v>21350957.25</v>
      </c>
      <c r="Z280" s="8"/>
    </row>
    <row r="281" spans="1:26" s="5" customFormat="1" ht="27" customHeight="1" x14ac:dyDescent="0.25">
      <c r="A281" s="324" t="s">
        <v>26</v>
      </c>
      <c r="B281" s="324"/>
      <c r="C281" s="173"/>
      <c r="D281" s="173">
        <v>53</v>
      </c>
      <c r="E281" s="173">
        <v>0</v>
      </c>
      <c r="F281" s="62">
        <v>853</v>
      </c>
      <c r="G281" s="1" t="s">
        <v>22</v>
      </c>
      <c r="H281" s="1" t="s">
        <v>1</v>
      </c>
      <c r="I281" s="1" t="s">
        <v>406</v>
      </c>
      <c r="J281" s="1"/>
      <c r="K281" s="2">
        <f t="shared" ref="K281:R281" si="310">K282+K284+K286</f>
        <v>3735300</v>
      </c>
      <c r="L281" s="2">
        <f t="shared" si="310"/>
        <v>0</v>
      </c>
      <c r="M281" s="2">
        <f t="shared" si="310"/>
        <v>3735300</v>
      </c>
      <c r="N281" s="2">
        <f t="shared" si="310"/>
        <v>0</v>
      </c>
      <c r="O281" s="2">
        <f t="shared" si="310"/>
        <v>3735300</v>
      </c>
      <c r="P281" s="2">
        <f t="shared" si="310"/>
        <v>0</v>
      </c>
      <c r="Q281" s="2">
        <f t="shared" si="310"/>
        <v>3735300</v>
      </c>
      <c r="R281" s="2">
        <f t="shared" si="310"/>
        <v>0</v>
      </c>
      <c r="S281" s="2">
        <f>S282+S284+S286</f>
        <v>3735300</v>
      </c>
      <c r="T281" s="2">
        <f t="shared" ref="T281:X281" si="311">T282+T284+T286</f>
        <v>0</v>
      </c>
      <c r="U281" s="2">
        <f t="shared" si="311"/>
        <v>0</v>
      </c>
      <c r="V281" s="95">
        <f t="shared" si="311"/>
        <v>0</v>
      </c>
      <c r="W281" s="2">
        <f t="shared" si="311"/>
        <v>0</v>
      </c>
      <c r="X281" s="2">
        <f t="shared" si="311"/>
        <v>3735300</v>
      </c>
      <c r="Z281" s="8"/>
    </row>
    <row r="282" spans="1:26" s="5" customFormat="1" ht="36" customHeight="1" x14ac:dyDescent="0.25">
      <c r="A282" s="14"/>
      <c r="B282" s="301" t="s">
        <v>21</v>
      </c>
      <c r="C282" s="173"/>
      <c r="D282" s="173">
        <v>53</v>
      </c>
      <c r="E282" s="173">
        <v>0</v>
      </c>
      <c r="F282" s="62">
        <v>853</v>
      </c>
      <c r="G282" s="1" t="s">
        <v>17</v>
      </c>
      <c r="H282" s="1" t="s">
        <v>1</v>
      </c>
      <c r="I282" s="1" t="s">
        <v>406</v>
      </c>
      <c r="J282" s="1" t="s">
        <v>23</v>
      </c>
      <c r="K282" s="2">
        <f t="shared" ref="K282:W282" si="312">K283</f>
        <v>3406500</v>
      </c>
      <c r="L282" s="2">
        <f t="shared" si="312"/>
        <v>0</v>
      </c>
      <c r="M282" s="2">
        <f t="shared" si="312"/>
        <v>3406500</v>
      </c>
      <c r="N282" s="2">
        <f t="shared" si="312"/>
        <v>0</v>
      </c>
      <c r="O282" s="2">
        <f t="shared" si="312"/>
        <v>3406500</v>
      </c>
      <c r="P282" s="2">
        <f t="shared" si="312"/>
        <v>0</v>
      </c>
      <c r="Q282" s="2">
        <f t="shared" si="312"/>
        <v>3406500</v>
      </c>
      <c r="R282" s="2">
        <f t="shared" si="312"/>
        <v>0</v>
      </c>
      <c r="S282" s="2">
        <f t="shared" si="312"/>
        <v>3406500</v>
      </c>
      <c r="T282" s="2"/>
      <c r="U282" s="2"/>
      <c r="V282" s="95"/>
      <c r="W282" s="2">
        <f t="shared" si="312"/>
        <v>15477</v>
      </c>
      <c r="X282" s="2">
        <f t="shared" si="232"/>
        <v>3421977</v>
      </c>
      <c r="Z282" s="8"/>
    </row>
    <row r="283" spans="1:26" s="5" customFormat="1" ht="15" customHeight="1" x14ac:dyDescent="0.25">
      <c r="A283" s="14"/>
      <c r="B283" s="301" t="s">
        <v>24</v>
      </c>
      <c r="C283" s="173"/>
      <c r="D283" s="173">
        <v>53</v>
      </c>
      <c r="E283" s="173">
        <v>0</v>
      </c>
      <c r="F283" s="62">
        <v>853</v>
      </c>
      <c r="G283" s="1" t="s">
        <v>17</v>
      </c>
      <c r="H283" s="1" t="s">
        <v>1</v>
      </c>
      <c r="I283" s="1" t="s">
        <v>406</v>
      </c>
      <c r="J283" s="1" t="s">
        <v>25</v>
      </c>
      <c r="K283" s="2">
        <f>'[2]6 Вед15'!J331</f>
        <v>3406500</v>
      </c>
      <c r="L283" s="95">
        <f>'[2]6 Вед15'!K331</f>
        <v>0</v>
      </c>
      <c r="M283" s="2">
        <f t="shared" si="263"/>
        <v>3406500</v>
      </c>
      <c r="N283" s="95">
        <f>'[2]6 Вед15'!M331</f>
        <v>0</v>
      </c>
      <c r="O283" s="2">
        <f t="shared" si="264"/>
        <v>3406500</v>
      </c>
      <c r="P283" s="95">
        <f>'[2]6 Вед15'!O331</f>
        <v>0</v>
      </c>
      <c r="Q283" s="2">
        <f t="shared" ref="Q283" si="313">O283+P283</f>
        <v>3406500</v>
      </c>
      <c r="R283" s="95">
        <f>'[2]6 Вед15'!Q331</f>
        <v>0</v>
      </c>
      <c r="S283" s="2">
        <f t="shared" ref="S283" si="314">Q283+R283</f>
        <v>3406500</v>
      </c>
      <c r="T283" s="95"/>
      <c r="U283" s="95"/>
      <c r="V283" s="95"/>
      <c r="W283" s="2">
        <v>15477</v>
      </c>
      <c r="X283" s="2">
        <f t="shared" si="232"/>
        <v>3421977</v>
      </c>
      <c r="Z283" s="8"/>
    </row>
    <row r="284" spans="1:26" s="5" customFormat="1" ht="15" customHeight="1" x14ac:dyDescent="0.25">
      <c r="A284" s="14"/>
      <c r="B284" s="303" t="s">
        <v>27</v>
      </c>
      <c r="C284" s="173"/>
      <c r="D284" s="173">
        <v>53</v>
      </c>
      <c r="E284" s="173">
        <v>0</v>
      </c>
      <c r="F284" s="62">
        <v>853</v>
      </c>
      <c r="G284" s="1" t="s">
        <v>17</v>
      </c>
      <c r="H284" s="1" t="s">
        <v>1</v>
      </c>
      <c r="I284" s="1" t="s">
        <v>406</v>
      </c>
      <c r="J284" s="1" t="s">
        <v>28</v>
      </c>
      <c r="K284" s="2">
        <f t="shared" ref="K284:W284" si="315">K285</f>
        <v>314800</v>
      </c>
      <c r="L284" s="2">
        <f t="shared" si="315"/>
        <v>0</v>
      </c>
      <c r="M284" s="2">
        <f t="shared" si="315"/>
        <v>314800</v>
      </c>
      <c r="N284" s="2">
        <f t="shared" si="315"/>
        <v>0</v>
      </c>
      <c r="O284" s="2">
        <f t="shared" si="315"/>
        <v>314800</v>
      </c>
      <c r="P284" s="2">
        <f t="shared" si="315"/>
        <v>0</v>
      </c>
      <c r="Q284" s="2">
        <f t="shared" si="315"/>
        <v>314800</v>
      </c>
      <c r="R284" s="2">
        <f t="shared" si="315"/>
        <v>0</v>
      </c>
      <c r="S284" s="2">
        <f t="shared" si="315"/>
        <v>314800</v>
      </c>
      <c r="T284" s="2"/>
      <c r="U284" s="2"/>
      <c r="V284" s="95"/>
      <c r="W284" s="2">
        <f t="shared" si="315"/>
        <v>-5064</v>
      </c>
      <c r="X284" s="2">
        <f t="shared" ref="X284:X347" si="316">S284+W284</f>
        <v>309736</v>
      </c>
      <c r="Z284" s="8"/>
    </row>
    <row r="285" spans="1:26" s="5" customFormat="1" ht="15" customHeight="1" x14ac:dyDescent="0.25">
      <c r="A285" s="14"/>
      <c r="B285" s="303" t="s">
        <v>29</v>
      </c>
      <c r="C285" s="173"/>
      <c r="D285" s="173">
        <v>53</v>
      </c>
      <c r="E285" s="173">
        <v>0</v>
      </c>
      <c r="F285" s="62">
        <v>853</v>
      </c>
      <c r="G285" s="1" t="s">
        <v>17</v>
      </c>
      <c r="H285" s="1" t="s">
        <v>1</v>
      </c>
      <c r="I285" s="1" t="s">
        <v>406</v>
      </c>
      <c r="J285" s="1" t="s">
        <v>30</v>
      </c>
      <c r="K285" s="2">
        <f>'[2]6 Вед15'!J333</f>
        <v>314800</v>
      </c>
      <c r="L285" s="95">
        <f>'[2]6 Вед15'!K333</f>
        <v>0</v>
      </c>
      <c r="M285" s="2">
        <f t="shared" si="263"/>
        <v>314800</v>
      </c>
      <c r="N285" s="95">
        <f>'[2]6 Вед15'!M333</f>
        <v>0</v>
      </c>
      <c r="O285" s="2">
        <f t="shared" si="264"/>
        <v>314800</v>
      </c>
      <c r="P285" s="95">
        <f>'[2]6 Вед15'!O333</f>
        <v>0</v>
      </c>
      <c r="Q285" s="2">
        <f t="shared" ref="Q285" si="317">O285+P285</f>
        <v>314800</v>
      </c>
      <c r="R285" s="95">
        <f>'[2]6 Вед15'!Q333</f>
        <v>0</v>
      </c>
      <c r="S285" s="2">
        <f t="shared" ref="S285" si="318">Q285+R285</f>
        <v>314800</v>
      </c>
      <c r="T285" s="95"/>
      <c r="U285" s="95"/>
      <c r="V285" s="95"/>
      <c r="W285" s="2">
        <v>-5064</v>
      </c>
      <c r="X285" s="2">
        <f t="shared" si="316"/>
        <v>309736</v>
      </c>
      <c r="Z285" s="8"/>
    </row>
    <row r="286" spans="1:26" s="5" customFormat="1" ht="14.25" customHeight="1" x14ac:dyDescent="0.25">
      <c r="A286" s="14"/>
      <c r="B286" s="303" t="s">
        <v>31</v>
      </c>
      <c r="C286" s="173"/>
      <c r="D286" s="173">
        <v>53</v>
      </c>
      <c r="E286" s="173">
        <v>0</v>
      </c>
      <c r="F286" s="62">
        <v>853</v>
      </c>
      <c r="G286" s="1" t="s">
        <v>17</v>
      </c>
      <c r="H286" s="1" t="s">
        <v>1</v>
      </c>
      <c r="I286" s="1" t="s">
        <v>406</v>
      </c>
      <c r="J286" s="1" t="s">
        <v>32</v>
      </c>
      <c r="K286" s="2">
        <f>K287+K288</f>
        <v>14000</v>
      </c>
      <c r="L286" s="2">
        <f t="shared" ref="L286:S286" si="319">L287+L288</f>
        <v>0</v>
      </c>
      <c r="M286" s="2">
        <f t="shared" si="319"/>
        <v>14000</v>
      </c>
      <c r="N286" s="2">
        <f t="shared" si="319"/>
        <v>0</v>
      </c>
      <c r="O286" s="2">
        <f t="shared" si="319"/>
        <v>14000</v>
      </c>
      <c r="P286" s="2">
        <f t="shared" si="319"/>
        <v>0</v>
      </c>
      <c r="Q286" s="2">
        <f t="shared" si="319"/>
        <v>14000</v>
      </c>
      <c r="R286" s="2">
        <f t="shared" si="319"/>
        <v>0</v>
      </c>
      <c r="S286" s="2">
        <f t="shared" si="319"/>
        <v>14000</v>
      </c>
      <c r="T286" s="2"/>
      <c r="U286" s="2"/>
      <c r="V286" s="95"/>
      <c r="W286" s="2">
        <f t="shared" ref="W286" si="320">W287+W288</f>
        <v>-10413</v>
      </c>
      <c r="X286" s="2">
        <f t="shared" si="316"/>
        <v>3587</v>
      </c>
      <c r="Z286" s="8"/>
    </row>
    <row r="287" spans="1:26" s="5" customFormat="1" ht="14.25" customHeight="1" x14ac:dyDescent="0.25">
      <c r="A287" s="14"/>
      <c r="B287" s="303" t="s">
        <v>33</v>
      </c>
      <c r="C287" s="173"/>
      <c r="D287" s="173">
        <v>53</v>
      </c>
      <c r="E287" s="173">
        <v>0</v>
      </c>
      <c r="F287" s="62">
        <v>853</v>
      </c>
      <c r="G287" s="1" t="s">
        <v>17</v>
      </c>
      <c r="H287" s="1" t="s">
        <v>1</v>
      </c>
      <c r="I287" s="1" t="s">
        <v>406</v>
      </c>
      <c r="J287" s="1" t="s">
        <v>34</v>
      </c>
      <c r="K287" s="2">
        <f>'[2]6 Вед15'!J335</f>
        <v>13870</v>
      </c>
      <c r="L287" s="95">
        <f>'[2]6 Вед15'!K335</f>
        <v>0</v>
      </c>
      <c r="M287" s="2">
        <f t="shared" si="263"/>
        <v>13870</v>
      </c>
      <c r="N287" s="95">
        <f>'[2]6 Вед15'!M335</f>
        <v>0</v>
      </c>
      <c r="O287" s="2">
        <f t="shared" si="264"/>
        <v>13870</v>
      </c>
      <c r="P287" s="95">
        <f>'[2]6 Вед15'!O335</f>
        <v>0</v>
      </c>
      <c r="Q287" s="2">
        <f t="shared" ref="Q287:Q288" si="321">O287+P287</f>
        <v>13870</v>
      </c>
      <c r="R287" s="95">
        <f>'[2]6 Вед15'!Q335</f>
        <v>0</v>
      </c>
      <c r="S287" s="2">
        <f t="shared" ref="S287:S288" si="322">Q287+R287</f>
        <v>13870</v>
      </c>
      <c r="T287" s="95"/>
      <c r="U287" s="95"/>
      <c r="V287" s="95"/>
      <c r="W287" s="2">
        <v>-10489</v>
      </c>
      <c r="X287" s="2">
        <f t="shared" si="316"/>
        <v>3381</v>
      </c>
      <c r="Z287" s="8"/>
    </row>
    <row r="288" spans="1:26" s="5" customFormat="1" ht="12.75" customHeight="1" x14ac:dyDescent="0.25">
      <c r="A288" s="14"/>
      <c r="B288" s="301" t="s">
        <v>435</v>
      </c>
      <c r="C288" s="173"/>
      <c r="D288" s="173">
        <v>53</v>
      </c>
      <c r="E288" s="173">
        <v>0</v>
      </c>
      <c r="F288" s="62">
        <v>853</v>
      </c>
      <c r="G288" s="1" t="s">
        <v>17</v>
      </c>
      <c r="H288" s="1" t="s">
        <v>1</v>
      </c>
      <c r="I288" s="1" t="s">
        <v>406</v>
      </c>
      <c r="J288" s="1" t="s">
        <v>35</v>
      </c>
      <c r="K288" s="2">
        <f>'[2]6 Вед15'!J336</f>
        <v>130</v>
      </c>
      <c r="L288" s="95"/>
      <c r="M288" s="2">
        <f t="shared" si="263"/>
        <v>130</v>
      </c>
      <c r="N288" s="95"/>
      <c r="O288" s="2">
        <f t="shared" si="264"/>
        <v>130</v>
      </c>
      <c r="P288" s="95"/>
      <c r="Q288" s="2">
        <f t="shared" si="321"/>
        <v>130</v>
      </c>
      <c r="R288" s="95"/>
      <c r="S288" s="2">
        <f t="shared" si="322"/>
        <v>130</v>
      </c>
      <c r="T288" s="95"/>
      <c r="U288" s="95"/>
      <c r="V288" s="95"/>
      <c r="W288" s="2">
        <v>76</v>
      </c>
      <c r="X288" s="2">
        <f t="shared" si="316"/>
        <v>206</v>
      </c>
      <c r="Z288" s="8"/>
    </row>
    <row r="289" spans="1:26" s="5" customFormat="1" ht="59.25" hidden="1" customHeight="1" x14ac:dyDescent="0.25">
      <c r="A289" s="324" t="s">
        <v>45</v>
      </c>
      <c r="B289" s="324"/>
      <c r="C289" s="173"/>
      <c r="D289" s="173">
        <v>53</v>
      </c>
      <c r="E289" s="173">
        <v>0</v>
      </c>
      <c r="F289" s="62">
        <v>853</v>
      </c>
      <c r="G289" s="1" t="s">
        <v>17</v>
      </c>
      <c r="H289" s="1" t="s">
        <v>44</v>
      </c>
      <c r="I289" s="1" t="s">
        <v>315</v>
      </c>
      <c r="J289" s="1"/>
      <c r="K289" s="2">
        <f t="shared" ref="K289:W290" si="323">K290</f>
        <v>200</v>
      </c>
      <c r="L289" s="2">
        <f t="shared" si="323"/>
        <v>0</v>
      </c>
      <c r="M289" s="2">
        <f t="shared" si="323"/>
        <v>200</v>
      </c>
      <c r="N289" s="2">
        <f t="shared" si="323"/>
        <v>0</v>
      </c>
      <c r="O289" s="2">
        <f t="shared" si="323"/>
        <v>200</v>
      </c>
      <c r="P289" s="2">
        <f t="shared" si="323"/>
        <v>0</v>
      </c>
      <c r="Q289" s="2">
        <f t="shared" si="323"/>
        <v>200</v>
      </c>
      <c r="R289" s="2">
        <f t="shared" si="323"/>
        <v>0</v>
      </c>
      <c r="S289" s="2">
        <f t="shared" si="323"/>
        <v>200</v>
      </c>
      <c r="T289" s="2"/>
      <c r="U289" s="2"/>
      <c r="V289" s="95"/>
      <c r="W289" s="2">
        <f t="shared" si="323"/>
        <v>0</v>
      </c>
      <c r="X289" s="2">
        <f t="shared" si="316"/>
        <v>200</v>
      </c>
      <c r="Z289" s="8"/>
    </row>
    <row r="290" spans="1:26" s="5" customFormat="1" hidden="1" x14ac:dyDescent="0.25">
      <c r="A290" s="14"/>
      <c r="B290" s="301" t="s">
        <v>143</v>
      </c>
      <c r="C290" s="301"/>
      <c r="D290" s="173">
        <v>53</v>
      </c>
      <c r="E290" s="173">
        <v>0</v>
      </c>
      <c r="F290" s="62">
        <v>853</v>
      </c>
      <c r="G290" s="1" t="s">
        <v>17</v>
      </c>
      <c r="H290" s="17" t="s">
        <v>44</v>
      </c>
      <c r="I290" s="17" t="s">
        <v>315</v>
      </c>
      <c r="J290" s="1" t="s">
        <v>144</v>
      </c>
      <c r="K290" s="2">
        <f t="shared" si="323"/>
        <v>200</v>
      </c>
      <c r="L290" s="2">
        <f t="shared" si="323"/>
        <v>0</v>
      </c>
      <c r="M290" s="2">
        <f t="shared" si="323"/>
        <v>200</v>
      </c>
      <c r="N290" s="2">
        <f t="shared" si="323"/>
        <v>0</v>
      </c>
      <c r="O290" s="2">
        <f t="shared" si="323"/>
        <v>200</v>
      </c>
      <c r="P290" s="2">
        <f t="shared" si="323"/>
        <v>0</v>
      </c>
      <c r="Q290" s="2">
        <f t="shared" si="323"/>
        <v>200</v>
      </c>
      <c r="R290" s="2">
        <f t="shared" si="323"/>
        <v>0</v>
      </c>
      <c r="S290" s="2">
        <f t="shared" si="323"/>
        <v>200</v>
      </c>
      <c r="T290" s="2"/>
      <c r="U290" s="2"/>
      <c r="V290" s="95"/>
      <c r="W290" s="2">
        <f t="shared" si="323"/>
        <v>0</v>
      </c>
      <c r="X290" s="2">
        <f t="shared" si="316"/>
        <v>200</v>
      </c>
      <c r="Z290" s="8"/>
    </row>
    <row r="291" spans="1:26" s="5" customFormat="1" hidden="1" x14ac:dyDescent="0.25">
      <c r="A291" s="14"/>
      <c r="B291" s="301" t="s">
        <v>145</v>
      </c>
      <c r="C291" s="301"/>
      <c r="D291" s="173">
        <v>53</v>
      </c>
      <c r="E291" s="173">
        <v>0</v>
      </c>
      <c r="F291" s="62">
        <v>853</v>
      </c>
      <c r="G291" s="1" t="s">
        <v>17</v>
      </c>
      <c r="H291" s="17" t="s">
        <v>44</v>
      </c>
      <c r="I291" s="17" t="s">
        <v>315</v>
      </c>
      <c r="J291" s="1" t="s">
        <v>146</v>
      </c>
      <c r="K291" s="2">
        <f>'[2]6 Вед15'!J340</f>
        <v>200</v>
      </c>
      <c r="L291" s="95">
        <f>'[2]6 Вед15'!K340</f>
        <v>0</v>
      </c>
      <c r="M291" s="2">
        <f t="shared" si="263"/>
        <v>200</v>
      </c>
      <c r="N291" s="95">
        <f>'[2]6 Вед15'!M340</f>
        <v>0</v>
      </c>
      <c r="O291" s="2">
        <f t="shared" si="264"/>
        <v>200</v>
      </c>
      <c r="P291" s="95">
        <f>'[2]6 Вед15'!O340</f>
        <v>0</v>
      </c>
      <c r="Q291" s="2">
        <f t="shared" ref="Q291" si="324">O291+P291</f>
        <v>200</v>
      </c>
      <c r="R291" s="95">
        <f>'[2]6 Вед15'!Q340</f>
        <v>0</v>
      </c>
      <c r="S291" s="2">
        <f t="shared" ref="S291" si="325">Q291+R291</f>
        <v>200</v>
      </c>
      <c r="T291" s="95"/>
      <c r="U291" s="95"/>
      <c r="V291" s="95"/>
      <c r="W291" s="2">
        <f>'[2]6 Вед15'!V340</f>
        <v>0</v>
      </c>
      <c r="X291" s="2">
        <f t="shared" si="316"/>
        <v>200</v>
      </c>
      <c r="Z291" s="8"/>
    </row>
    <row r="292" spans="1:26" s="5" customFormat="1" ht="35.25" customHeight="1" x14ac:dyDescent="0.25">
      <c r="A292" s="323" t="s">
        <v>85</v>
      </c>
      <c r="B292" s="323"/>
      <c r="C292" s="291"/>
      <c r="D292" s="173">
        <v>53</v>
      </c>
      <c r="E292" s="173">
        <v>0</v>
      </c>
      <c r="F292" s="173">
        <v>853</v>
      </c>
      <c r="G292" s="1" t="s">
        <v>83</v>
      </c>
      <c r="H292" s="1" t="s">
        <v>17</v>
      </c>
      <c r="I292" s="1" t="s">
        <v>325</v>
      </c>
      <c r="J292" s="1"/>
      <c r="K292" s="2">
        <f t="shared" ref="K292:W293" si="326">K293</f>
        <v>95400</v>
      </c>
      <c r="L292" s="2">
        <f t="shared" si="326"/>
        <v>0</v>
      </c>
      <c r="M292" s="2">
        <f t="shared" si="326"/>
        <v>95400</v>
      </c>
      <c r="N292" s="2">
        <f t="shared" si="326"/>
        <v>0</v>
      </c>
      <c r="O292" s="2">
        <f t="shared" si="326"/>
        <v>95400</v>
      </c>
      <c r="P292" s="2">
        <f t="shared" si="326"/>
        <v>-7950</v>
      </c>
      <c r="Q292" s="2">
        <f t="shared" si="326"/>
        <v>87450</v>
      </c>
      <c r="R292" s="2">
        <f t="shared" si="326"/>
        <v>0</v>
      </c>
      <c r="S292" s="2">
        <f t="shared" si="326"/>
        <v>87450</v>
      </c>
      <c r="T292" s="2"/>
      <c r="U292" s="2"/>
      <c r="V292" s="95"/>
      <c r="W292" s="2">
        <f t="shared" si="326"/>
        <v>-15900</v>
      </c>
      <c r="X292" s="2">
        <f t="shared" si="316"/>
        <v>71550</v>
      </c>
      <c r="Z292" s="8"/>
    </row>
    <row r="293" spans="1:26" s="5" customFormat="1" x14ac:dyDescent="0.25">
      <c r="A293" s="14"/>
      <c r="B293" s="291" t="s">
        <v>143</v>
      </c>
      <c r="C293" s="301"/>
      <c r="D293" s="173">
        <v>53</v>
      </c>
      <c r="E293" s="173">
        <v>0</v>
      </c>
      <c r="F293" s="62">
        <v>853</v>
      </c>
      <c r="G293" s="1" t="s">
        <v>83</v>
      </c>
      <c r="H293" s="1" t="s">
        <v>6</v>
      </c>
      <c r="I293" s="1" t="s">
        <v>325</v>
      </c>
      <c r="J293" s="1" t="s">
        <v>144</v>
      </c>
      <c r="K293" s="2">
        <f t="shared" si="326"/>
        <v>95400</v>
      </c>
      <c r="L293" s="2">
        <f t="shared" si="326"/>
        <v>0</v>
      </c>
      <c r="M293" s="2">
        <f t="shared" si="326"/>
        <v>95400</v>
      </c>
      <c r="N293" s="2">
        <f t="shared" si="326"/>
        <v>0</v>
      </c>
      <c r="O293" s="2">
        <f t="shared" si="326"/>
        <v>95400</v>
      </c>
      <c r="P293" s="2">
        <f t="shared" si="326"/>
        <v>-7950</v>
      </c>
      <c r="Q293" s="2">
        <f t="shared" si="326"/>
        <v>87450</v>
      </c>
      <c r="R293" s="2">
        <f t="shared" si="326"/>
        <v>0</v>
      </c>
      <c r="S293" s="2">
        <f t="shared" si="326"/>
        <v>87450</v>
      </c>
      <c r="T293" s="2"/>
      <c r="U293" s="2"/>
      <c r="V293" s="95"/>
      <c r="W293" s="2">
        <f t="shared" si="326"/>
        <v>-15900</v>
      </c>
      <c r="X293" s="2">
        <f t="shared" si="316"/>
        <v>71550</v>
      </c>
      <c r="Z293" s="8"/>
    </row>
    <row r="294" spans="1:26" s="5" customFormat="1" x14ac:dyDescent="0.25">
      <c r="A294" s="248"/>
      <c r="B294" s="291" t="s">
        <v>145</v>
      </c>
      <c r="C294" s="291"/>
      <c r="D294" s="173">
        <v>53</v>
      </c>
      <c r="E294" s="173">
        <v>0</v>
      </c>
      <c r="F294" s="62">
        <v>853</v>
      </c>
      <c r="G294" s="1" t="s">
        <v>83</v>
      </c>
      <c r="H294" s="1" t="s">
        <v>6</v>
      </c>
      <c r="I294" s="1" t="s">
        <v>325</v>
      </c>
      <c r="J294" s="1" t="s">
        <v>146</v>
      </c>
      <c r="K294" s="2">
        <f>'[2]6 Вед15'!J368</f>
        <v>95400</v>
      </c>
      <c r="L294" s="2">
        <f>'[2]6 Вед15'!K368</f>
        <v>0</v>
      </c>
      <c r="M294" s="2">
        <f t="shared" si="263"/>
        <v>95400</v>
      </c>
      <c r="N294" s="2">
        <f>'[2]6 Вед15'!M368</f>
        <v>0</v>
      </c>
      <c r="O294" s="2">
        <f t="shared" si="264"/>
        <v>95400</v>
      </c>
      <c r="P294" s="2">
        <f>'[2]6 Вед15'!O368</f>
        <v>-7950</v>
      </c>
      <c r="Q294" s="2">
        <f t="shared" ref="Q294" si="327">O294+P294</f>
        <v>87450</v>
      </c>
      <c r="R294" s="2">
        <f>'[2]6 Вед15'!Q368</f>
        <v>0</v>
      </c>
      <c r="S294" s="2">
        <f t="shared" ref="S294" si="328">Q294+R294</f>
        <v>87450</v>
      </c>
      <c r="T294" s="2"/>
      <c r="U294" s="2"/>
      <c r="V294" s="95"/>
      <c r="W294" s="2">
        <v>-15900</v>
      </c>
      <c r="X294" s="2">
        <f t="shared" si="316"/>
        <v>71550</v>
      </c>
      <c r="Z294" s="8"/>
    </row>
    <row r="295" spans="1:26" s="5" customFormat="1" ht="15" hidden="1" customHeight="1" x14ac:dyDescent="0.25">
      <c r="A295" s="323" t="s">
        <v>153</v>
      </c>
      <c r="B295" s="323"/>
      <c r="C295" s="295"/>
      <c r="D295" s="173">
        <v>53</v>
      </c>
      <c r="E295" s="173">
        <v>0</v>
      </c>
      <c r="F295" s="62">
        <v>853</v>
      </c>
      <c r="G295" s="17" t="s">
        <v>151</v>
      </c>
      <c r="H295" s="17" t="s">
        <v>17</v>
      </c>
      <c r="I295" s="17" t="s">
        <v>346</v>
      </c>
      <c r="J295" s="19"/>
      <c r="K295" s="36">
        <f t="shared" ref="K295:W296" si="329">K296</f>
        <v>5882000</v>
      </c>
      <c r="L295" s="36">
        <f t="shared" si="329"/>
        <v>0</v>
      </c>
      <c r="M295" s="36">
        <f t="shared" si="329"/>
        <v>5882000</v>
      </c>
      <c r="N295" s="36">
        <f t="shared" si="329"/>
        <v>0</v>
      </c>
      <c r="O295" s="36">
        <f t="shared" si="329"/>
        <v>5882000</v>
      </c>
      <c r="P295" s="36">
        <f t="shared" si="329"/>
        <v>0</v>
      </c>
      <c r="Q295" s="36">
        <f t="shared" si="329"/>
        <v>5882000</v>
      </c>
      <c r="R295" s="36">
        <f t="shared" si="329"/>
        <v>0</v>
      </c>
      <c r="S295" s="36">
        <f t="shared" si="329"/>
        <v>5882000</v>
      </c>
      <c r="T295" s="36"/>
      <c r="U295" s="36"/>
      <c r="V295" s="315"/>
      <c r="W295" s="36">
        <f t="shared" si="329"/>
        <v>0</v>
      </c>
      <c r="X295" s="2">
        <f t="shared" si="316"/>
        <v>5882000</v>
      </c>
      <c r="Z295" s="8"/>
    </row>
    <row r="296" spans="1:26" s="5" customFormat="1" hidden="1" x14ac:dyDescent="0.25">
      <c r="A296" s="14"/>
      <c r="B296" s="301" t="s">
        <v>143</v>
      </c>
      <c r="C296" s="301"/>
      <c r="D296" s="173">
        <v>53</v>
      </c>
      <c r="E296" s="173">
        <v>0</v>
      </c>
      <c r="F296" s="62">
        <v>853</v>
      </c>
      <c r="G296" s="1" t="s">
        <v>151</v>
      </c>
      <c r="H296" s="1" t="s">
        <v>17</v>
      </c>
      <c r="I296" s="1" t="s">
        <v>346</v>
      </c>
      <c r="J296" s="1" t="s">
        <v>144</v>
      </c>
      <c r="K296" s="2">
        <f>K297</f>
        <v>5882000</v>
      </c>
      <c r="L296" s="2">
        <f t="shared" si="329"/>
        <v>0</v>
      </c>
      <c r="M296" s="2">
        <f t="shared" si="329"/>
        <v>5882000</v>
      </c>
      <c r="N296" s="2">
        <f t="shared" si="329"/>
        <v>0</v>
      </c>
      <c r="O296" s="2">
        <f t="shared" si="329"/>
        <v>5882000</v>
      </c>
      <c r="P296" s="2">
        <f t="shared" si="329"/>
        <v>0</v>
      </c>
      <c r="Q296" s="2">
        <f t="shared" si="329"/>
        <v>5882000</v>
      </c>
      <c r="R296" s="2">
        <f t="shared" si="329"/>
        <v>0</v>
      </c>
      <c r="S296" s="2">
        <f t="shared" si="329"/>
        <v>5882000</v>
      </c>
      <c r="T296" s="2"/>
      <c r="U296" s="2"/>
      <c r="V296" s="95"/>
      <c r="W296" s="2">
        <f t="shared" si="329"/>
        <v>0</v>
      </c>
      <c r="X296" s="2">
        <f t="shared" si="316"/>
        <v>5882000</v>
      </c>
      <c r="Z296" s="8"/>
    </row>
    <row r="297" spans="1:26" s="5" customFormat="1" hidden="1" x14ac:dyDescent="0.25">
      <c r="A297" s="14"/>
      <c r="B297" s="301" t="s">
        <v>559</v>
      </c>
      <c r="C297" s="301"/>
      <c r="D297" s="173">
        <v>53</v>
      </c>
      <c r="E297" s="173">
        <v>0</v>
      </c>
      <c r="F297" s="62">
        <v>853</v>
      </c>
      <c r="G297" s="1" t="s">
        <v>151</v>
      </c>
      <c r="H297" s="1" t="s">
        <v>17</v>
      </c>
      <c r="I297" s="1" t="s">
        <v>346</v>
      </c>
      <c r="J297" s="1" t="s">
        <v>560</v>
      </c>
      <c r="K297" s="2">
        <f>K298+K299</f>
        <v>5882000</v>
      </c>
      <c r="L297" s="2">
        <f t="shared" ref="L297" si="330">L298+L299</f>
        <v>0</v>
      </c>
      <c r="M297" s="2">
        <f t="shared" si="263"/>
        <v>5882000</v>
      </c>
      <c r="N297" s="2">
        <f t="shared" ref="N297" si="331">N298+N299</f>
        <v>0</v>
      </c>
      <c r="O297" s="2">
        <f t="shared" si="264"/>
        <v>5882000</v>
      </c>
      <c r="P297" s="2">
        <f t="shared" ref="P297:R297" si="332">P298+P299</f>
        <v>0</v>
      </c>
      <c r="Q297" s="2">
        <f t="shared" ref="Q297:Q298" si="333">O297+P297</f>
        <v>5882000</v>
      </c>
      <c r="R297" s="2">
        <f t="shared" si="332"/>
        <v>0</v>
      </c>
      <c r="S297" s="2">
        <f t="shared" ref="S297:S298" si="334">Q297+R297</f>
        <v>5882000</v>
      </c>
      <c r="T297" s="2"/>
      <c r="U297" s="2"/>
      <c r="V297" s="95"/>
      <c r="W297" s="2">
        <f t="shared" ref="W297" si="335">W298+W299</f>
        <v>0</v>
      </c>
      <c r="X297" s="2">
        <f t="shared" si="316"/>
        <v>5882000</v>
      </c>
      <c r="Z297" s="8"/>
    </row>
    <row r="298" spans="1:26" s="5" customFormat="1" hidden="1" x14ac:dyDescent="0.25">
      <c r="A298" s="14"/>
      <c r="B298" s="301" t="s">
        <v>265</v>
      </c>
      <c r="C298" s="301"/>
      <c r="D298" s="173">
        <v>53</v>
      </c>
      <c r="E298" s="173">
        <v>0</v>
      </c>
      <c r="F298" s="62">
        <v>853</v>
      </c>
      <c r="G298" s="1" t="s">
        <v>151</v>
      </c>
      <c r="H298" s="1" t="s">
        <v>17</v>
      </c>
      <c r="I298" s="1" t="s">
        <v>346</v>
      </c>
      <c r="J298" s="1" t="s">
        <v>558</v>
      </c>
      <c r="K298" s="2"/>
      <c r="L298" s="2">
        <f>'[2]6 Вед15'!K374</f>
        <v>5882000</v>
      </c>
      <c r="M298" s="2">
        <f t="shared" si="263"/>
        <v>5882000</v>
      </c>
      <c r="N298" s="2">
        <f>'[2]6 Вед15'!M374</f>
        <v>0</v>
      </c>
      <c r="O298" s="2">
        <f t="shared" si="264"/>
        <v>5882000</v>
      </c>
      <c r="P298" s="2">
        <f>'[2]6 Вед15'!O374</f>
        <v>0</v>
      </c>
      <c r="Q298" s="2">
        <f t="shared" si="333"/>
        <v>5882000</v>
      </c>
      <c r="R298" s="2">
        <f>'[2]6 Вед15'!Q374</f>
        <v>0</v>
      </c>
      <c r="S298" s="2">
        <f t="shared" si="334"/>
        <v>5882000</v>
      </c>
      <c r="T298" s="2"/>
      <c r="U298" s="2"/>
      <c r="V298" s="95"/>
      <c r="W298" s="2">
        <f>'[2]6 Вед15'!V374</f>
        <v>0</v>
      </c>
      <c r="X298" s="2">
        <f t="shared" si="316"/>
        <v>5882000</v>
      </c>
      <c r="Z298" s="8"/>
    </row>
    <row r="299" spans="1:26" s="5" customFormat="1" hidden="1" x14ac:dyDescent="0.25">
      <c r="A299" s="14"/>
      <c r="B299" s="291" t="s">
        <v>155</v>
      </c>
      <c r="C299" s="291"/>
      <c r="D299" s="173">
        <v>53</v>
      </c>
      <c r="E299" s="173">
        <v>0</v>
      </c>
      <c r="F299" s="62">
        <v>853</v>
      </c>
      <c r="G299" s="1" t="s">
        <v>151</v>
      </c>
      <c r="H299" s="1" t="s">
        <v>17</v>
      </c>
      <c r="I299" s="1" t="s">
        <v>346</v>
      </c>
      <c r="J299" s="1" t="s">
        <v>156</v>
      </c>
      <c r="K299" s="2">
        <f>'[2]6 Вед15'!J375</f>
        <v>5882000</v>
      </c>
      <c r="L299" s="2">
        <f>'[2]6 Вед15'!K375</f>
        <v>-5882000</v>
      </c>
      <c r="M299" s="2">
        <f>'[2]6 Вед15'!L375</f>
        <v>0</v>
      </c>
      <c r="N299" s="2">
        <f>'[2]6 Вед15'!M375</f>
        <v>0</v>
      </c>
      <c r="O299" s="2">
        <f>'[2]6 Вед15'!N375</f>
        <v>0</v>
      </c>
      <c r="P299" s="2">
        <f>'[2]6 Вед15'!O375</f>
        <v>0</v>
      </c>
      <c r="Q299" s="2">
        <f>'[2]6 Вед15'!P375</f>
        <v>0</v>
      </c>
      <c r="R299" s="2">
        <f>'[2]6 Вед15'!Q375</f>
        <v>0</v>
      </c>
      <c r="S299" s="2">
        <f>'[2]6 Вед15'!U375</f>
        <v>0</v>
      </c>
      <c r="T299" s="2"/>
      <c r="U299" s="2"/>
      <c r="V299" s="95"/>
      <c r="W299" s="2">
        <f>'[2]6 Вед15'!V375</f>
        <v>0</v>
      </c>
      <c r="X299" s="2">
        <f t="shared" si="316"/>
        <v>0</v>
      </c>
      <c r="Z299" s="8"/>
    </row>
    <row r="300" spans="1:26" s="5" customFormat="1" ht="15" customHeight="1" x14ac:dyDescent="0.25">
      <c r="A300" s="347" t="s">
        <v>158</v>
      </c>
      <c r="B300" s="347"/>
      <c r="C300" s="301"/>
      <c r="D300" s="173">
        <v>53</v>
      </c>
      <c r="E300" s="173">
        <v>0</v>
      </c>
      <c r="F300" s="62">
        <v>853</v>
      </c>
      <c r="G300" s="1" t="s">
        <v>151</v>
      </c>
      <c r="H300" s="1" t="s">
        <v>72</v>
      </c>
      <c r="I300" s="1" t="s">
        <v>347</v>
      </c>
      <c r="J300" s="1"/>
      <c r="K300" s="2">
        <f t="shared" ref="K300:W301" si="336">K301</f>
        <v>8607000</v>
      </c>
      <c r="L300" s="95">
        <f t="shared" si="336"/>
        <v>0</v>
      </c>
      <c r="M300" s="2">
        <f t="shared" si="263"/>
        <v>8607000</v>
      </c>
      <c r="N300" s="95">
        <f t="shared" si="336"/>
        <v>-860700</v>
      </c>
      <c r="O300" s="2">
        <f t="shared" si="264"/>
        <v>7746300</v>
      </c>
      <c r="P300" s="95">
        <f t="shared" si="336"/>
        <v>0</v>
      </c>
      <c r="Q300" s="2">
        <f t="shared" ref="Q300" si="337">O300+P300</f>
        <v>7746300</v>
      </c>
      <c r="R300" s="95">
        <f t="shared" si="336"/>
        <v>0</v>
      </c>
      <c r="S300" s="2">
        <f t="shared" ref="S300" si="338">Q300+R300</f>
        <v>7746300</v>
      </c>
      <c r="T300" s="95"/>
      <c r="U300" s="95"/>
      <c r="V300" s="95"/>
      <c r="W300" s="2">
        <f t="shared" si="336"/>
        <v>100000</v>
      </c>
      <c r="X300" s="2">
        <f t="shared" si="316"/>
        <v>7846300</v>
      </c>
      <c r="Z300" s="8"/>
    </row>
    <row r="301" spans="1:26" s="5" customFormat="1" x14ac:dyDescent="0.25">
      <c r="A301" s="14"/>
      <c r="B301" s="301" t="s">
        <v>143</v>
      </c>
      <c r="C301" s="301"/>
      <c r="D301" s="173">
        <v>53</v>
      </c>
      <c r="E301" s="173">
        <v>0</v>
      </c>
      <c r="F301" s="62">
        <v>853</v>
      </c>
      <c r="G301" s="1" t="s">
        <v>151</v>
      </c>
      <c r="H301" s="1" t="s">
        <v>72</v>
      </c>
      <c r="I301" s="1" t="s">
        <v>347</v>
      </c>
      <c r="J301" s="1" t="s">
        <v>144</v>
      </c>
      <c r="K301" s="2">
        <f>K302</f>
        <v>8607000</v>
      </c>
      <c r="L301" s="2">
        <f t="shared" si="336"/>
        <v>0</v>
      </c>
      <c r="M301" s="2">
        <f t="shared" si="336"/>
        <v>8607000</v>
      </c>
      <c r="N301" s="2">
        <f t="shared" si="336"/>
        <v>-860700</v>
      </c>
      <c r="O301" s="2">
        <f t="shared" si="336"/>
        <v>7746300</v>
      </c>
      <c r="P301" s="2">
        <f t="shared" si="336"/>
        <v>0</v>
      </c>
      <c r="Q301" s="2">
        <f t="shared" si="336"/>
        <v>7746300</v>
      </c>
      <c r="R301" s="2">
        <f t="shared" si="336"/>
        <v>0</v>
      </c>
      <c r="S301" s="2">
        <f t="shared" si="336"/>
        <v>7746300</v>
      </c>
      <c r="T301" s="2"/>
      <c r="U301" s="2"/>
      <c r="V301" s="95"/>
      <c r="W301" s="2">
        <f t="shared" si="336"/>
        <v>100000</v>
      </c>
      <c r="X301" s="2">
        <f t="shared" si="316"/>
        <v>7846300</v>
      </c>
      <c r="Z301" s="8"/>
    </row>
    <row r="302" spans="1:26" s="5" customFormat="1" x14ac:dyDescent="0.25">
      <c r="A302" s="14"/>
      <c r="B302" s="301" t="s">
        <v>559</v>
      </c>
      <c r="C302" s="301"/>
      <c r="D302" s="173">
        <v>53</v>
      </c>
      <c r="E302" s="173">
        <v>0</v>
      </c>
      <c r="F302" s="62">
        <v>853</v>
      </c>
      <c r="G302" s="1" t="s">
        <v>151</v>
      </c>
      <c r="H302" s="1" t="s">
        <v>17</v>
      </c>
      <c r="I302" s="1" t="s">
        <v>347</v>
      </c>
      <c r="J302" s="1" t="s">
        <v>560</v>
      </c>
      <c r="K302" s="2">
        <f>K303+K304</f>
        <v>8607000</v>
      </c>
      <c r="L302" s="2">
        <f t="shared" ref="L302:S302" si="339">L303+L304</f>
        <v>0</v>
      </c>
      <c r="M302" s="2">
        <f t="shared" si="339"/>
        <v>8607000</v>
      </c>
      <c r="N302" s="2">
        <f t="shared" si="339"/>
        <v>-860700</v>
      </c>
      <c r="O302" s="2">
        <f t="shared" si="339"/>
        <v>7746300</v>
      </c>
      <c r="P302" s="2">
        <f t="shared" si="339"/>
        <v>0</v>
      </c>
      <c r="Q302" s="2">
        <f t="shared" si="339"/>
        <v>7746300</v>
      </c>
      <c r="R302" s="2">
        <f t="shared" si="339"/>
        <v>0</v>
      </c>
      <c r="S302" s="2">
        <f t="shared" si="339"/>
        <v>7746300</v>
      </c>
      <c r="T302" s="2"/>
      <c r="U302" s="2"/>
      <c r="V302" s="95"/>
      <c r="W302" s="2">
        <f t="shared" ref="W302" si="340">W303+W304</f>
        <v>100000</v>
      </c>
      <c r="X302" s="2">
        <f t="shared" si="316"/>
        <v>7846300</v>
      </c>
      <c r="Z302" s="8"/>
    </row>
    <row r="303" spans="1:26" s="5" customFormat="1" x14ac:dyDescent="0.25">
      <c r="A303" s="14"/>
      <c r="B303" s="301" t="s">
        <v>157</v>
      </c>
      <c r="C303" s="301"/>
      <c r="D303" s="173">
        <v>53</v>
      </c>
      <c r="E303" s="173">
        <v>0</v>
      </c>
      <c r="F303" s="62">
        <v>853</v>
      </c>
      <c r="G303" s="1" t="s">
        <v>151</v>
      </c>
      <c r="H303" s="1" t="s">
        <v>72</v>
      </c>
      <c r="I303" s="1" t="s">
        <v>347</v>
      </c>
      <c r="J303" s="1" t="s">
        <v>593</v>
      </c>
      <c r="K303" s="2">
        <f>'[2]6 Вед15'!J380</f>
        <v>0</v>
      </c>
      <c r="L303" s="2">
        <f>'[2]6 Вед15'!K380</f>
        <v>8607000</v>
      </c>
      <c r="M303" s="2">
        <f t="shared" si="263"/>
        <v>8607000</v>
      </c>
      <c r="N303" s="2">
        <f>'[2]6 Вед15'!M380</f>
        <v>-860700</v>
      </c>
      <c r="O303" s="2">
        <f t="shared" si="264"/>
        <v>7746300</v>
      </c>
      <c r="P303" s="2">
        <f>'[2]6 Вед15'!O380</f>
        <v>0</v>
      </c>
      <c r="Q303" s="2">
        <f t="shared" ref="Q303:Q304" si="341">O303+P303</f>
        <v>7746300</v>
      </c>
      <c r="R303" s="2">
        <f>'[2]6 Вед15'!Q380</f>
        <v>0</v>
      </c>
      <c r="S303" s="2">
        <f t="shared" ref="S303:S304" si="342">Q303+R303</f>
        <v>7746300</v>
      </c>
      <c r="T303" s="2"/>
      <c r="U303" s="2"/>
      <c r="V303" s="95"/>
      <c r="W303" s="2">
        <v>100000</v>
      </c>
      <c r="X303" s="2">
        <f t="shared" si="316"/>
        <v>7846300</v>
      </c>
      <c r="Z303" s="8"/>
    </row>
    <row r="304" spans="1:26" s="5" customFormat="1" hidden="1" x14ac:dyDescent="0.25">
      <c r="A304" s="14"/>
      <c r="B304" s="291" t="s">
        <v>155</v>
      </c>
      <c r="C304" s="291"/>
      <c r="D304" s="173">
        <v>53</v>
      </c>
      <c r="E304" s="173">
        <v>0</v>
      </c>
      <c r="F304" s="62">
        <v>853</v>
      </c>
      <c r="G304" s="1" t="s">
        <v>151</v>
      </c>
      <c r="H304" s="1" t="s">
        <v>72</v>
      </c>
      <c r="I304" s="1" t="s">
        <v>347</v>
      </c>
      <c r="J304" s="1" t="s">
        <v>156</v>
      </c>
      <c r="K304" s="2">
        <f>'[2]6 Вед15'!J381</f>
        <v>8607000</v>
      </c>
      <c r="L304" s="2">
        <f>'[2]6 Вед15'!K381</f>
        <v>-8607000</v>
      </c>
      <c r="M304" s="2">
        <f t="shared" si="263"/>
        <v>0</v>
      </c>
      <c r="N304" s="2">
        <f>'[2]6 Вед15'!M381</f>
        <v>0</v>
      </c>
      <c r="O304" s="2">
        <f t="shared" si="264"/>
        <v>0</v>
      </c>
      <c r="P304" s="2">
        <f>'[2]6 Вед15'!O381</f>
        <v>0</v>
      </c>
      <c r="Q304" s="2">
        <f t="shared" si="341"/>
        <v>0</v>
      </c>
      <c r="R304" s="2">
        <f>'[2]6 Вед15'!Q381</f>
        <v>0</v>
      </c>
      <c r="S304" s="2">
        <f t="shared" si="342"/>
        <v>0</v>
      </c>
      <c r="T304" s="2"/>
      <c r="U304" s="2"/>
      <c r="V304" s="95"/>
      <c r="W304" s="2">
        <f>'[2]6 Вед15'!V381</f>
        <v>0</v>
      </c>
      <c r="X304" s="2">
        <f t="shared" si="316"/>
        <v>0</v>
      </c>
      <c r="Z304" s="8"/>
    </row>
    <row r="305" spans="1:26" s="5" customFormat="1" ht="34.5" hidden="1" customHeight="1" x14ac:dyDescent="0.25">
      <c r="A305" s="330" t="s">
        <v>632</v>
      </c>
      <c r="B305" s="331"/>
      <c r="C305" s="291"/>
      <c r="D305" s="173">
        <v>53</v>
      </c>
      <c r="E305" s="173">
        <v>0</v>
      </c>
      <c r="F305" s="62">
        <v>853</v>
      </c>
      <c r="G305" s="1" t="s">
        <v>151</v>
      </c>
      <c r="H305" s="1" t="s">
        <v>72</v>
      </c>
      <c r="I305" s="1" t="s">
        <v>634</v>
      </c>
      <c r="J305" s="1"/>
      <c r="K305" s="2"/>
      <c r="L305" s="95"/>
      <c r="M305" s="2">
        <f>M306</f>
        <v>0</v>
      </c>
      <c r="N305" s="2">
        <f t="shared" ref="N305:W307" si="343">N306</f>
        <v>200000</v>
      </c>
      <c r="O305" s="2">
        <f t="shared" si="343"/>
        <v>200000</v>
      </c>
      <c r="P305" s="2">
        <f t="shared" si="343"/>
        <v>0</v>
      </c>
      <c r="Q305" s="2">
        <f t="shared" si="343"/>
        <v>200000</v>
      </c>
      <c r="R305" s="2">
        <f t="shared" si="343"/>
        <v>0</v>
      </c>
      <c r="S305" s="2">
        <f t="shared" si="343"/>
        <v>200000</v>
      </c>
      <c r="T305" s="2"/>
      <c r="U305" s="2"/>
      <c r="V305" s="95"/>
      <c r="W305" s="2">
        <f t="shared" si="343"/>
        <v>0</v>
      </c>
      <c r="X305" s="2">
        <f t="shared" si="316"/>
        <v>200000</v>
      </c>
      <c r="Z305" s="8"/>
    </row>
    <row r="306" spans="1:26" s="5" customFormat="1" hidden="1" x14ac:dyDescent="0.25">
      <c r="A306" s="298"/>
      <c r="B306" s="301" t="s">
        <v>143</v>
      </c>
      <c r="C306" s="291"/>
      <c r="D306" s="173">
        <v>53</v>
      </c>
      <c r="E306" s="173">
        <v>0</v>
      </c>
      <c r="F306" s="62">
        <v>853</v>
      </c>
      <c r="G306" s="1" t="s">
        <v>151</v>
      </c>
      <c r="H306" s="1" t="s">
        <v>72</v>
      </c>
      <c r="I306" s="1" t="s">
        <v>634</v>
      </c>
      <c r="J306" s="1" t="s">
        <v>144</v>
      </c>
      <c r="K306" s="2"/>
      <c r="L306" s="95"/>
      <c r="M306" s="2">
        <f>M307</f>
        <v>0</v>
      </c>
      <c r="N306" s="2">
        <f t="shared" si="343"/>
        <v>200000</v>
      </c>
      <c r="O306" s="2">
        <f t="shared" si="343"/>
        <v>200000</v>
      </c>
      <c r="P306" s="2">
        <f t="shared" si="343"/>
        <v>0</v>
      </c>
      <c r="Q306" s="2">
        <f t="shared" si="343"/>
        <v>200000</v>
      </c>
      <c r="R306" s="2">
        <f t="shared" si="343"/>
        <v>0</v>
      </c>
      <c r="S306" s="2">
        <f t="shared" si="343"/>
        <v>200000</v>
      </c>
      <c r="T306" s="2"/>
      <c r="U306" s="2"/>
      <c r="V306" s="95"/>
      <c r="W306" s="2">
        <f t="shared" si="343"/>
        <v>0</v>
      </c>
      <c r="X306" s="2">
        <f t="shared" si="316"/>
        <v>200000</v>
      </c>
      <c r="Z306" s="8"/>
    </row>
    <row r="307" spans="1:26" s="5" customFormat="1" hidden="1" x14ac:dyDescent="0.25">
      <c r="A307" s="14"/>
      <c r="B307" s="301" t="s">
        <v>559</v>
      </c>
      <c r="C307" s="301"/>
      <c r="D307" s="173">
        <v>53</v>
      </c>
      <c r="E307" s="173">
        <v>0</v>
      </c>
      <c r="F307" s="62">
        <v>853</v>
      </c>
      <c r="G307" s="1" t="s">
        <v>151</v>
      </c>
      <c r="H307" s="1" t="s">
        <v>17</v>
      </c>
      <c r="I307" s="1" t="s">
        <v>634</v>
      </c>
      <c r="J307" s="1" t="s">
        <v>560</v>
      </c>
      <c r="K307" s="2">
        <f>K308</f>
        <v>0</v>
      </c>
      <c r="L307" s="2">
        <f t="shared" ref="L307" si="344">L308</f>
        <v>0</v>
      </c>
      <c r="M307" s="2">
        <f>M308</f>
        <v>0</v>
      </c>
      <c r="N307" s="2">
        <f t="shared" si="343"/>
        <v>200000</v>
      </c>
      <c r="O307" s="2">
        <f t="shared" si="343"/>
        <v>200000</v>
      </c>
      <c r="P307" s="2">
        <f t="shared" si="343"/>
        <v>0</v>
      </c>
      <c r="Q307" s="2">
        <f t="shared" si="343"/>
        <v>200000</v>
      </c>
      <c r="R307" s="2">
        <f t="shared" si="343"/>
        <v>0</v>
      </c>
      <c r="S307" s="2">
        <f t="shared" si="343"/>
        <v>200000</v>
      </c>
      <c r="T307" s="2"/>
      <c r="U307" s="2"/>
      <c r="V307" s="95"/>
      <c r="W307" s="2">
        <f t="shared" si="343"/>
        <v>0</v>
      </c>
      <c r="X307" s="2">
        <f t="shared" si="316"/>
        <v>200000</v>
      </c>
      <c r="Z307" s="8"/>
    </row>
    <row r="308" spans="1:26" s="5" customFormat="1" hidden="1" x14ac:dyDescent="0.25">
      <c r="A308" s="298"/>
      <c r="B308" s="291" t="s">
        <v>157</v>
      </c>
      <c r="C308" s="291"/>
      <c r="D308" s="173">
        <v>53</v>
      </c>
      <c r="E308" s="173">
        <v>0</v>
      </c>
      <c r="F308" s="62">
        <v>853</v>
      </c>
      <c r="G308" s="1" t="s">
        <v>151</v>
      </c>
      <c r="H308" s="1" t="s">
        <v>72</v>
      </c>
      <c r="I308" s="1" t="s">
        <v>634</v>
      </c>
      <c r="J308" s="1" t="s">
        <v>593</v>
      </c>
      <c r="K308" s="2"/>
      <c r="L308" s="95"/>
      <c r="M308" s="2">
        <f t="shared" si="263"/>
        <v>0</v>
      </c>
      <c r="N308" s="95">
        <f>'[2]6 Вед15'!M385</f>
        <v>200000</v>
      </c>
      <c r="O308" s="2">
        <f t="shared" ref="O308:O351" si="345">M308+N308</f>
        <v>200000</v>
      </c>
      <c r="P308" s="95">
        <f>'[2]6 Вед15'!O385</f>
        <v>0</v>
      </c>
      <c r="Q308" s="2">
        <f t="shared" ref="Q308" si="346">O308+P308</f>
        <v>200000</v>
      </c>
      <c r="R308" s="95">
        <f>'[2]6 Вед15'!Q385</f>
        <v>0</v>
      </c>
      <c r="S308" s="2">
        <f t="shared" ref="S308" si="347">Q308+R308</f>
        <v>200000</v>
      </c>
      <c r="T308" s="95"/>
      <c r="U308" s="95"/>
      <c r="V308" s="95"/>
      <c r="W308" s="2">
        <f>'[2]6 Вед15'!V385</f>
        <v>0</v>
      </c>
      <c r="X308" s="2">
        <f t="shared" si="316"/>
        <v>200000</v>
      </c>
      <c r="Z308" s="8"/>
    </row>
    <row r="309" spans="1:26" s="5" customFormat="1" ht="45.75" hidden="1" customHeight="1" x14ac:dyDescent="0.25">
      <c r="A309" s="330" t="s">
        <v>631</v>
      </c>
      <c r="B309" s="331"/>
      <c r="C309" s="291"/>
      <c r="D309" s="173">
        <v>53</v>
      </c>
      <c r="E309" s="173">
        <v>0</v>
      </c>
      <c r="F309" s="62">
        <v>853</v>
      </c>
      <c r="G309" s="17"/>
      <c r="H309" s="17"/>
      <c r="I309" s="17" t="s">
        <v>630</v>
      </c>
      <c r="J309" s="1"/>
      <c r="K309" s="2"/>
      <c r="L309" s="95"/>
      <c r="M309" s="2">
        <f>M310</f>
        <v>0</v>
      </c>
      <c r="N309" s="2">
        <f t="shared" ref="N309:W310" si="348">N310</f>
        <v>300</v>
      </c>
      <c r="O309" s="2">
        <f t="shared" si="348"/>
        <v>300</v>
      </c>
      <c r="P309" s="2">
        <f t="shared" si="348"/>
        <v>0</v>
      </c>
      <c r="Q309" s="2">
        <f t="shared" si="348"/>
        <v>300</v>
      </c>
      <c r="R309" s="2">
        <f t="shared" si="348"/>
        <v>206263</v>
      </c>
      <c r="S309" s="2">
        <f t="shared" si="348"/>
        <v>206563</v>
      </c>
      <c r="T309" s="2"/>
      <c r="U309" s="2"/>
      <c r="V309" s="95"/>
      <c r="W309" s="2">
        <f t="shared" si="348"/>
        <v>0</v>
      </c>
      <c r="X309" s="2">
        <f t="shared" si="316"/>
        <v>206563</v>
      </c>
      <c r="Z309" s="8"/>
    </row>
    <row r="310" spans="1:26" s="5" customFormat="1" hidden="1" x14ac:dyDescent="0.25">
      <c r="A310" s="291"/>
      <c r="B310" s="301" t="s">
        <v>143</v>
      </c>
      <c r="C310" s="291"/>
      <c r="D310" s="173">
        <v>53</v>
      </c>
      <c r="E310" s="173">
        <v>0</v>
      </c>
      <c r="F310" s="62">
        <v>853</v>
      </c>
      <c r="G310" s="17"/>
      <c r="H310" s="17"/>
      <c r="I310" s="17" t="s">
        <v>630</v>
      </c>
      <c r="J310" s="1" t="s">
        <v>144</v>
      </c>
      <c r="K310" s="2"/>
      <c r="L310" s="95"/>
      <c r="M310" s="2">
        <f>M311</f>
        <v>0</v>
      </c>
      <c r="N310" s="2">
        <f t="shared" si="348"/>
        <v>300</v>
      </c>
      <c r="O310" s="2">
        <f t="shared" si="348"/>
        <v>300</v>
      </c>
      <c r="P310" s="2">
        <f t="shared" si="348"/>
        <v>0</v>
      </c>
      <c r="Q310" s="2">
        <f t="shared" si="348"/>
        <v>300</v>
      </c>
      <c r="R310" s="2">
        <f t="shared" si="348"/>
        <v>206263</v>
      </c>
      <c r="S310" s="2">
        <f t="shared" si="348"/>
        <v>206563</v>
      </c>
      <c r="T310" s="2"/>
      <c r="U310" s="2"/>
      <c r="V310" s="95"/>
      <c r="W310" s="2">
        <f t="shared" si="348"/>
        <v>0</v>
      </c>
      <c r="X310" s="2">
        <f t="shared" si="316"/>
        <v>206563</v>
      </c>
      <c r="Z310" s="8"/>
    </row>
    <row r="311" spans="1:26" s="5" customFormat="1" hidden="1" x14ac:dyDescent="0.25">
      <c r="A311" s="291"/>
      <c r="B311" s="291" t="s">
        <v>155</v>
      </c>
      <c r="C311" s="291"/>
      <c r="D311" s="173">
        <v>53</v>
      </c>
      <c r="E311" s="173">
        <v>0</v>
      </c>
      <c r="F311" s="62">
        <v>853</v>
      </c>
      <c r="G311" s="17"/>
      <c r="H311" s="17"/>
      <c r="I311" s="17" t="s">
        <v>630</v>
      </c>
      <c r="J311" s="1" t="s">
        <v>156</v>
      </c>
      <c r="K311" s="2"/>
      <c r="L311" s="95"/>
      <c r="M311" s="2">
        <f t="shared" ref="M311:M354" si="349">K311+L311</f>
        <v>0</v>
      </c>
      <c r="N311" s="95">
        <f>'[2]6 Вед15'!M359</f>
        <v>300</v>
      </c>
      <c r="O311" s="2">
        <f t="shared" si="345"/>
        <v>300</v>
      </c>
      <c r="P311" s="95">
        <f>'[2]6 Вед15'!O359</f>
        <v>0</v>
      </c>
      <c r="Q311" s="2">
        <f t="shared" ref="Q311" si="350">O311+P311</f>
        <v>300</v>
      </c>
      <c r="R311" s="95">
        <f>'[2]6 Вед15'!Q359</f>
        <v>206263</v>
      </c>
      <c r="S311" s="2">
        <f t="shared" ref="S311" si="351">Q311+R311</f>
        <v>206563</v>
      </c>
      <c r="T311" s="95"/>
      <c r="U311" s="95"/>
      <c r="V311" s="95"/>
      <c r="W311" s="2">
        <f>'[2]6 Вед15'!V359</f>
        <v>0</v>
      </c>
      <c r="X311" s="2">
        <f t="shared" si="316"/>
        <v>206563</v>
      </c>
      <c r="Z311" s="8"/>
    </row>
    <row r="312" spans="1:26" s="32" customFormat="1" ht="34.5" customHeight="1" x14ac:dyDescent="0.25">
      <c r="A312" s="323" t="s">
        <v>490</v>
      </c>
      <c r="B312" s="323"/>
      <c r="C312" s="31"/>
      <c r="D312" s="80">
        <v>53</v>
      </c>
      <c r="E312" s="80">
        <v>0</v>
      </c>
      <c r="F312" s="62">
        <v>853</v>
      </c>
      <c r="G312" s="103" t="s">
        <v>72</v>
      </c>
      <c r="H312" s="103" t="s">
        <v>3</v>
      </c>
      <c r="I312" s="103">
        <v>5118</v>
      </c>
      <c r="J312" s="175" t="s">
        <v>149</v>
      </c>
      <c r="K312" s="104">
        <f t="shared" ref="K312:W313" si="352">K313</f>
        <v>800617</v>
      </c>
      <c r="L312" s="104">
        <f t="shared" si="352"/>
        <v>0</v>
      </c>
      <c r="M312" s="104">
        <f t="shared" si="352"/>
        <v>800617</v>
      </c>
      <c r="N312" s="104">
        <f t="shared" si="352"/>
        <v>-74105</v>
      </c>
      <c r="O312" s="104">
        <f t="shared" si="352"/>
        <v>726512</v>
      </c>
      <c r="P312" s="104">
        <f t="shared" si="352"/>
        <v>0</v>
      </c>
      <c r="Q312" s="104">
        <f t="shared" si="352"/>
        <v>726512</v>
      </c>
      <c r="R312" s="104">
        <f t="shared" si="352"/>
        <v>0</v>
      </c>
      <c r="S312" s="104">
        <f t="shared" si="352"/>
        <v>726512</v>
      </c>
      <c r="T312" s="104"/>
      <c r="U312" s="104"/>
      <c r="V312" s="317"/>
      <c r="W312" s="104">
        <f t="shared" si="352"/>
        <v>80719</v>
      </c>
      <c r="X312" s="2">
        <f t="shared" si="316"/>
        <v>807231</v>
      </c>
      <c r="Z312" s="8"/>
    </row>
    <row r="313" spans="1:26" s="32" customFormat="1" x14ac:dyDescent="0.25">
      <c r="A313" s="31"/>
      <c r="B313" s="303" t="s">
        <v>143</v>
      </c>
      <c r="C313" s="31"/>
      <c r="D313" s="80">
        <v>53</v>
      </c>
      <c r="E313" s="80">
        <v>0</v>
      </c>
      <c r="F313" s="62">
        <v>853</v>
      </c>
      <c r="G313" s="103" t="s">
        <v>72</v>
      </c>
      <c r="H313" s="103" t="s">
        <v>3</v>
      </c>
      <c r="I313" s="103">
        <v>5118</v>
      </c>
      <c r="J313" s="103" t="s">
        <v>144</v>
      </c>
      <c r="K313" s="104">
        <f t="shared" si="352"/>
        <v>800617</v>
      </c>
      <c r="L313" s="104">
        <f t="shared" si="352"/>
        <v>0</v>
      </c>
      <c r="M313" s="104">
        <f t="shared" si="352"/>
        <v>800617</v>
      </c>
      <c r="N313" s="104">
        <f t="shared" si="352"/>
        <v>-74105</v>
      </c>
      <c r="O313" s="104">
        <f t="shared" si="352"/>
        <v>726512</v>
      </c>
      <c r="P313" s="104">
        <f t="shared" si="352"/>
        <v>0</v>
      </c>
      <c r="Q313" s="104">
        <f t="shared" si="352"/>
        <v>726512</v>
      </c>
      <c r="R313" s="104">
        <f t="shared" si="352"/>
        <v>0</v>
      </c>
      <c r="S313" s="104">
        <f t="shared" si="352"/>
        <v>726512</v>
      </c>
      <c r="T313" s="104"/>
      <c r="U313" s="104"/>
      <c r="V313" s="317"/>
      <c r="W313" s="104">
        <f t="shared" si="352"/>
        <v>80719</v>
      </c>
      <c r="X313" s="2">
        <f t="shared" si="316"/>
        <v>807231</v>
      </c>
      <c r="Z313" s="8"/>
    </row>
    <row r="314" spans="1:26" s="32" customFormat="1" x14ac:dyDescent="0.25">
      <c r="A314" s="31"/>
      <c r="B314" s="303" t="s">
        <v>145</v>
      </c>
      <c r="C314" s="31"/>
      <c r="D314" s="80">
        <v>53</v>
      </c>
      <c r="E314" s="80">
        <v>0</v>
      </c>
      <c r="F314" s="62">
        <v>853</v>
      </c>
      <c r="G314" s="103" t="s">
        <v>72</v>
      </c>
      <c r="H314" s="103" t="s">
        <v>3</v>
      </c>
      <c r="I314" s="103">
        <v>5118</v>
      </c>
      <c r="J314" s="103" t="s">
        <v>146</v>
      </c>
      <c r="K314" s="104">
        <f>'[2]6 Вед15'!J345</f>
        <v>800617</v>
      </c>
      <c r="L314" s="167">
        <f>'[2]6 Вед15'!K345</f>
        <v>0</v>
      </c>
      <c r="M314" s="2">
        <f t="shared" si="349"/>
        <v>800617</v>
      </c>
      <c r="N314" s="167">
        <f>'[2]6 Вед15'!M345</f>
        <v>-74105</v>
      </c>
      <c r="O314" s="2">
        <f t="shared" si="345"/>
        <v>726512</v>
      </c>
      <c r="P314" s="167">
        <f>'[2]6 Вед15'!O345</f>
        <v>0</v>
      </c>
      <c r="Q314" s="2">
        <f t="shared" ref="Q314" si="353">O314+P314</f>
        <v>726512</v>
      </c>
      <c r="R314" s="167">
        <f>'[2]6 Вед15'!Q345</f>
        <v>0</v>
      </c>
      <c r="S314" s="2">
        <f t="shared" ref="S314" si="354">Q314+R314</f>
        <v>726512</v>
      </c>
      <c r="T314" s="78"/>
      <c r="U314" s="78"/>
      <c r="V314" s="78"/>
      <c r="W314" s="104">
        <v>80719</v>
      </c>
      <c r="X314" s="2">
        <f t="shared" si="316"/>
        <v>807231</v>
      </c>
      <c r="Z314" s="8"/>
    </row>
    <row r="315" spans="1:26" s="12" customFormat="1" ht="72.75" customHeight="1" x14ac:dyDescent="0.25">
      <c r="A315" s="330" t="s">
        <v>628</v>
      </c>
      <c r="B315" s="331"/>
      <c r="C315" s="291"/>
      <c r="D315" s="80">
        <v>53</v>
      </c>
      <c r="E315" s="173">
        <v>0</v>
      </c>
      <c r="F315" s="62">
        <v>853</v>
      </c>
      <c r="G315" s="17"/>
      <c r="H315" s="17"/>
      <c r="I315" s="17" t="s">
        <v>629</v>
      </c>
      <c r="J315" s="1"/>
      <c r="K315" s="2">
        <f t="shared" ref="K315:W319" si="355">K316</f>
        <v>0</v>
      </c>
      <c r="L315" s="2">
        <f t="shared" si="355"/>
        <v>0</v>
      </c>
      <c r="M315" s="2">
        <f t="shared" si="355"/>
        <v>0</v>
      </c>
      <c r="N315" s="2">
        <f t="shared" si="355"/>
        <v>68104</v>
      </c>
      <c r="O315" s="2">
        <f t="shared" si="355"/>
        <v>68104</v>
      </c>
      <c r="P315" s="2">
        <f t="shared" si="355"/>
        <v>0</v>
      </c>
      <c r="Q315" s="2">
        <f t="shared" si="355"/>
        <v>68104</v>
      </c>
      <c r="R315" s="2">
        <f t="shared" si="355"/>
        <v>68100.600000000006</v>
      </c>
      <c r="S315" s="2">
        <f t="shared" si="355"/>
        <v>136204.6</v>
      </c>
      <c r="T315" s="2"/>
      <c r="U315" s="2"/>
      <c r="V315" s="95"/>
      <c r="W315" s="2">
        <f t="shared" si="355"/>
        <v>-12391.35</v>
      </c>
      <c r="X315" s="2">
        <f t="shared" si="316"/>
        <v>123813.25</v>
      </c>
      <c r="Z315" s="8"/>
    </row>
    <row r="316" spans="1:26" s="12" customFormat="1" x14ac:dyDescent="0.25">
      <c r="A316" s="291"/>
      <c r="B316" s="301" t="s">
        <v>143</v>
      </c>
      <c r="C316" s="291"/>
      <c r="D316" s="80">
        <v>53</v>
      </c>
      <c r="E316" s="173">
        <v>0</v>
      </c>
      <c r="F316" s="62">
        <v>853</v>
      </c>
      <c r="G316" s="17"/>
      <c r="H316" s="17"/>
      <c r="I316" s="17" t="s">
        <v>629</v>
      </c>
      <c r="J316" s="1" t="s">
        <v>144</v>
      </c>
      <c r="K316" s="2">
        <f t="shared" si="355"/>
        <v>0</v>
      </c>
      <c r="L316" s="2">
        <f t="shared" si="355"/>
        <v>0</v>
      </c>
      <c r="M316" s="2">
        <f t="shared" si="355"/>
        <v>0</v>
      </c>
      <c r="N316" s="2">
        <f t="shared" si="355"/>
        <v>68104</v>
      </c>
      <c r="O316" s="2">
        <f t="shared" si="355"/>
        <v>68104</v>
      </c>
      <c r="P316" s="2">
        <f t="shared" si="355"/>
        <v>0</v>
      </c>
      <c r="Q316" s="2">
        <f t="shared" si="355"/>
        <v>68104</v>
      </c>
      <c r="R316" s="2">
        <f t="shared" si="355"/>
        <v>68100.600000000006</v>
      </c>
      <c r="S316" s="2">
        <f t="shared" si="355"/>
        <v>136204.6</v>
      </c>
      <c r="T316" s="2"/>
      <c r="U316" s="2"/>
      <c r="V316" s="95"/>
      <c r="W316" s="2">
        <f t="shared" si="355"/>
        <v>-12391.35</v>
      </c>
      <c r="X316" s="2">
        <f t="shared" si="316"/>
        <v>123813.25</v>
      </c>
      <c r="Z316" s="8"/>
    </row>
    <row r="317" spans="1:26" s="12" customFormat="1" x14ac:dyDescent="0.25">
      <c r="A317" s="291"/>
      <c r="B317" s="291" t="s">
        <v>155</v>
      </c>
      <c r="C317" s="291"/>
      <c r="D317" s="80">
        <v>53</v>
      </c>
      <c r="E317" s="173">
        <v>0</v>
      </c>
      <c r="F317" s="62">
        <v>853</v>
      </c>
      <c r="G317" s="17"/>
      <c r="H317" s="17"/>
      <c r="I317" s="17" t="s">
        <v>629</v>
      </c>
      <c r="J317" s="1" t="s">
        <v>156</v>
      </c>
      <c r="K317" s="2"/>
      <c r="L317" s="95"/>
      <c r="M317" s="2">
        <f t="shared" si="349"/>
        <v>0</v>
      </c>
      <c r="N317" s="95">
        <f>'[2]6 Вед15'!M355</f>
        <v>68104</v>
      </c>
      <c r="O317" s="2">
        <f t="shared" si="345"/>
        <v>68104</v>
      </c>
      <c r="P317" s="95">
        <f>'[2]6 Вед15'!O355</f>
        <v>0</v>
      </c>
      <c r="Q317" s="2">
        <f t="shared" ref="Q317" si="356">O317+P317</f>
        <v>68104</v>
      </c>
      <c r="R317" s="95">
        <f>'[2]6 Вед15'!Q355</f>
        <v>68100.600000000006</v>
      </c>
      <c r="S317" s="2">
        <f t="shared" ref="S317" si="357">Q317+R317</f>
        <v>136204.6</v>
      </c>
      <c r="T317" s="95"/>
      <c r="U317" s="95"/>
      <c r="V317" s="95"/>
      <c r="W317" s="2">
        <v>-12391.35</v>
      </c>
      <c r="X317" s="2">
        <f t="shared" si="316"/>
        <v>123813.25</v>
      </c>
      <c r="Z317" s="8"/>
    </row>
    <row r="318" spans="1:26" s="12" customFormat="1" ht="127.5" hidden="1" customHeight="1" x14ac:dyDescent="0.25">
      <c r="A318" s="324" t="s">
        <v>672</v>
      </c>
      <c r="B318" s="324"/>
      <c r="C318" s="291"/>
      <c r="D318" s="80">
        <v>53</v>
      </c>
      <c r="E318" s="173">
        <v>0</v>
      </c>
      <c r="F318" s="62">
        <v>853</v>
      </c>
      <c r="G318" s="17"/>
      <c r="H318" s="17"/>
      <c r="I318" s="17" t="s">
        <v>585</v>
      </c>
      <c r="J318" s="1"/>
      <c r="K318" s="2"/>
      <c r="L318" s="95"/>
      <c r="M318" s="2"/>
      <c r="N318" s="95"/>
      <c r="O318" s="2"/>
      <c r="P318" s="95"/>
      <c r="Q318" s="2">
        <f t="shared" si="355"/>
        <v>0</v>
      </c>
      <c r="R318" s="2">
        <f t="shared" si="355"/>
        <v>2478000</v>
      </c>
      <c r="S318" s="2">
        <f t="shared" si="355"/>
        <v>2478000</v>
      </c>
      <c r="T318" s="2"/>
      <c r="U318" s="2"/>
      <c r="V318" s="95"/>
      <c r="W318" s="2">
        <f t="shared" si="355"/>
        <v>0</v>
      </c>
      <c r="X318" s="2">
        <f t="shared" si="316"/>
        <v>2478000</v>
      </c>
      <c r="Z318" s="8"/>
    </row>
    <row r="319" spans="1:26" s="12" customFormat="1" hidden="1" x14ac:dyDescent="0.25">
      <c r="A319" s="291"/>
      <c r="B319" s="301" t="s">
        <v>143</v>
      </c>
      <c r="C319" s="291"/>
      <c r="D319" s="80">
        <v>53</v>
      </c>
      <c r="E319" s="173">
        <v>0</v>
      </c>
      <c r="F319" s="62">
        <v>853</v>
      </c>
      <c r="G319" s="17"/>
      <c r="H319" s="17"/>
      <c r="I319" s="17" t="s">
        <v>585</v>
      </c>
      <c r="J319" s="1" t="s">
        <v>144</v>
      </c>
      <c r="K319" s="2"/>
      <c r="L319" s="95"/>
      <c r="M319" s="2"/>
      <c r="N319" s="95"/>
      <c r="O319" s="2"/>
      <c r="P319" s="95"/>
      <c r="Q319" s="2">
        <f t="shared" si="355"/>
        <v>0</v>
      </c>
      <c r="R319" s="2">
        <f t="shared" si="355"/>
        <v>2478000</v>
      </c>
      <c r="S319" s="2">
        <f t="shared" si="355"/>
        <v>2478000</v>
      </c>
      <c r="T319" s="2"/>
      <c r="U319" s="2"/>
      <c r="V319" s="95"/>
      <c r="W319" s="2">
        <f t="shared" si="355"/>
        <v>0</v>
      </c>
      <c r="X319" s="2">
        <f t="shared" si="316"/>
        <v>2478000</v>
      </c>
      <c r="Z319" s="8"/>
    </row>
    <row r="320" spans="1:26" s="12" customFormat="1" hidden="1" x14ac:dyDescent="0.25">
      <c r="A320" s="291"/>
      <c r="B320" s="291" t="s">
        <v>155</v>
      </c>
      <c r="C320" s="291"/>
      <c r="D320" s="80">
        <v>53</v>
      </c>
      <c r="E320" s="173">
        <v>0</v>
      </c>
      <c r="F320" s="62">
        <v>853</v>
      </c>
      <c r="G320" s="17"/>
      <c r="H320" s="17"/>
      <c r="I320" s="17" t="s">
        <v>585</v>
      </c>
      <c r="J320" s="1" t="s">
        <v>156</v>
      </c>
      <c r="K320" s="2"/>
      <c r="L320" s="95"/>
      <c r="M320" s="2"/>
      <c r="N320" s="95"/>
      <c r="O320" s="2"/>
      <c r="P320" s="95"/>
      <c r="Q320" s="2">
        <f t="shared" ref="Q320" si="358">O320+P320</f>
        <v>0</v>
      </c>
      <c r="R320" s="95">
        <f>'[2]6 Вед15'!Q350</f>
        <v>2478000</v>
      </c>
      <c r="S320" s="2">
        <f t="shared" ref="S320" si="359">Q320+R320</f>
        <v>2478000</v>
      </c>
      <c r="T320" s="95"/>
      <c r="U320" s="95"/>
      <c r="V320" s="95"/>
      <c r="W320" s="2">
        <f>'[2]6 Вед15'!V350</f>
        <v>0</v>
      </c>
      <c r="X320" s="2">
        <f t="shared" si="316"/>
        <v>2478000</v>
      </c>
      <c r="Z320" s="8"/>
    </row>
    <row r="321" spans="1:26" s="5" customFormat="1" ht="13.5" customHeight="1" x14ac:dyDescent="0.25">
      <c r="A321" s="350" t="s">
        <v>349</v>
      </c>
      <c r="B321" s="351"/>
      <c r="C321" s="291"/>
      <c r="D321" s="306">
        <v>70</v>
      </c>
      <c r="E321" s="173"/>
      <c r="F321" s="62"/>
      <c r="G321" s="1"/>
      <c r="H321" s="1"/>
      <c r="I321" s="1"/>
      <c r="J321" s="37"/>
      <c r="K321" s="7">
        <f>K322+K331+K335+K346</f>
        <v>2123620</v>
      </c>
      <c r="L321" s="7">
        <f t="shared" ref="L321:S321" si="360">L322+L331+L335+L346</f>
        <v>0</v>
      </c>
      <c r="M321" s="7">
        <f t="shared" si="360"/>
        <v>2123620</v>
      </c>
      <c r="N321" s="7">
        <f t="shared" si="360"/>
        <v>0</v>
      </c>
      <c r="O321" s="7">
        <f t="shared" si="360"/>
        <v>2123620</v>
      </c>
      <c r="P321" s="7">
        <f t="shared" si="360"/>
        <v>25600</v>
      </c>
      <c r="Q321" s="7">
        <f t="shared" si="360"/>
        <v>2149220</v>
      </c>
      <c r="R321" s="7">
        <f t="shared" si="360"/>
        <v>0</v>
      </c>
      <c r="S321" s="7">
        <f t="shared" si="360"/>
        <v>2149220</v>
      </c>
      <c r="T321" s="7"/>
      <c r="U321" s="7"/>
      <c r="V321" s="316"/>
      <c r="W321" s="7">
        <f t="shared" ref="W321" si="361">W322+W331+W335+W346</f>
        <v>7474.7400000000016</v>
      </c>
      <c r="X321" s="2">
        <f t="shared" si="316"/>
        <v>2156694.7400000002</v>
      </c>
      <c r="Z321" s="8"/>
    </row>
    <row r="322" spans="1:26" s="5" customFormat="1" ht="13.5" customHeight="1" x14ac:dyDescent="0.25">
      <c r="A322" s="357" t="s">
        <v>15</v>
      </c>
      <c r="B322" s="358"/>
      <c r="C322" s="291"/>
      <c r="D322" s="15">
        <v>70</v>
      </c>
      <c r="E322" s="15">
        <v>0</v>
      </c>
      <c r="F322" s="79">
        <v>851</v>
      </c>
      <c r="G322" s="10"/>
      <c r="H322" s="10"/>
      <c r="I322" s="10"/>
      <c r="J322" s="177"/>
      <c r="K322" s="11">
        <f>K326</f>
        <v>200000</v>
      </c>
      <c r="L322" s="11">
        <f t="shared" ref="L322:N322" si="362">L326</f>
        <v>0</v>
      </c>
      <c r="M322" s="11">
        <f t="shared" si="362"/>
        <v>200000</v>
      </c>
      <c r="N322" s="11">
        <f t="shared" si="362"/>
        <v>0</v>
      </c>
      <c r="O322" s="11">
        <f>O323+O326</f>
        <v>200000</v>
      </c>
      <c r="P322" s="11">
        <f t="shared" ref="P322:S322" si="363">P323+P326</f>
        <v>25600</v>
      </c>
      <c r="Q322" s="11">
        <f t="shared" si="363"/>
        <v>225600</v>
      </c>
      <c r="R322" s="11">
        <f t="shared" si="363"/>
        <v>0</v>
      </c>
      <c r="S322" s="11">
        <f t="shared" si="363"/>
        <v>225600</v>
      </c>
      <c r="T322" s="11"/>
      <c r="U322" s="11"/>
      <c r="V322" s="165"/>
      <c r="W322" s="11">
        <f t="shared" ref="W322" si="364">W323+W326</f>
        <v>0</v>
      </c>
      <c r="X322" s="2">
        <f t="shared" si="316"/>
        <v>225600</v>
      </c>
      <c r="Z322" s="8"/>
    </row>
    <row r="323" spans="1:26" s="5" customFormat="1" ht="14.25" hidden="1" customHeight="1" x14ac:dyDescent="0.25">
      <c r="A323" s="346" t="s">
        <v>649</v>
      </c>
      <c r="B323" s="346"/>
      <c r="C323" s="173"/>
      <c r="D323" s="173">
        <v>70</v>
      </c>
      <c r="E323" s="173">
        <v>0</v>
      </c>
      <c r="F323" s="173">
        <v>851</v>
      </c>
      <c r="G323" s="1"/>
      <c r="H323" s="1"/>
      <c r="I323" s="1" t="s">
        <v>656</v>
      </c>
      <c r="J323" s="1"/>
      <c r="K323" s="2"/>
      <c r="L323" s="95"/>
      <c r="M323" s="2"/>
      <c r="N323" s="95"/>
      <c r="O323" s="2">
        <f t="shared" ref="O323:W324" si="365">O324</f>
        <v>0</v>
      </c>
      <c r="P323" s="2">
        <f t="shared" si="365"/>
        <v>25600</v>
      </c>
      <c r="Q323" s="2">
        <f t="shared" si="365"/>
        <v>25600</v>
      </c>
      <c r="R323" s="2">
        <f t="shared" si="365"/>
        <v>0</v>
      </c>
      <c r="S323" s="2">
        <f t="shared" si="365"/>
        <v>25600</v>
      </c>
      <c r="T323" s="2"/>
      <c r="U323" s="2"/>
      <c r="V323" s="95"/>
      <c r="W323" s="2">
        <f t="shared" si="365"/>
        <v>0</v>
      </c>
      <c r="X323" s="2">
        <f t="shared" si="316"/>
        <v>25600</v>
      </c>
      <c r="Z323" s="8"/>
    </row>
    <row r="324" spans="1:26" s="5" customFormat="1" ht="14.25" hidden="1" customHeight="1" x14ac:dyDescent="0.25">
      <c r="A324" s="14"/>
      <c r="B324" s="291" t="s">
        <v>31</v>
      </c>
      <c r="C324" s="173"/>
      <c r="D324" s="173">
        <v>70</v>
      </c>
      <c r="E324" s="173">
        <v>0</v>
      </c>
      <c r="F324" s="173">
        <v>851</v>
      </c>
      <c r="G324" s="1"/>
      <c r="H324" s="1"/>
      <c r="I324" s="1" t="s">
        <v>656</v>
      </c>
      <c r="J324" s="1" t="s">
        <v>32</v>
      </c>
      <c r="K324" s="2"/>
      <c r="L324" s="95"/>
      <c r="M324" s="2"/>
      <c r="N324" s="95"/>
      <c r="O324" s="2">
        <f t="shared" si="365"/>
        <v>0</v>
      </c>
      <c r="P324" s="2">
        <f t="shared" si="365"/>
        <v>25600</v>
      </c>
      <c r="Q324" s="2">
        <f t="shared" si="365"/>
        <v>25600</v>
      </c>
      <c r="R324" s="2">
        <f t="shared" si="365"/>
        <v>0</v>
      </c>
      <c r="S324" s="2">
        <f t="shared" si="365"/>
        <v>25600</v>
      </c>
      <c r="T324" s="2"/>
      <c r="U324" s="2"/>
      <c r="V324" s="95"/>
      <c r="W324" s="2">
        <f t="shared" si="365"/>
        <v>0</v>
      </c>
      <c r="X324" s="2">
        <f t="shared" si="316"/>
        <v>25600</v>
      </c>
      <c r="Z324" s="8"/>
    </row>
    <row r="325" spans="1:26" s="5" customFormat="1" ht="14.25" hidden="1" customHeight="1" x14ac:dyDescent="0.25">
      <c r="A325" s="14"/>
      <c r="B325" s="291" t="s">
        <v>651</v>
      </c>
      <c r="C325" s="173"/>
      <c r="D325" s="173">
        <v>70</v>
      </c>
      <c r="E325" s="173">
        <v>0</v>
      </c>
      <c r="F325" s="173">
        <v>851</v>
      </c>
      <c r="G325" s="1"/>
      <c r="H325" s="1"/>
      <c r="I325" s="1" t="s">
        <v>656</v>
      </c>
      <c r="J325" s="1" t="s">
        <v>652</v>
      </c>
      <c r="K325" s="2"/>
      <c r="L325" s="95"/>
      <c r="M325" s="2"/>
      <c r="N325" s="95"/>
      <c r="O325" s="2"/>
      <c r="P325" s="95">
        <f>'[2]6 Вед15'!O33</f>
        <v>25600</v>
      </c>
      <c r="Q325" s="2">
        <f t="shared" ref="Q325" si="366">O325+P325</f>
        <v>25600</v>
      </c>
      <c r="R325" s="95">
        <f>'[2]6 Вед15'!Q33</f>
        <v>0</v>
      </c>
      <c r="S325" s="2">
        <f t="shared" ref="S325" si="367">Q325+R325</f>
        <v>25600</v>
      </c>
      <c r="T325" s="95"/>
      <c r="U325" s="95"/>
      <c r="V325" s="95"/>
      <c r="W325" s="2">
        <f>'[2]6 Вед15'!V33</f>
        <v>0</v>
      </c>
      <c r="X325" s="2">
        <f t="shared" si="316"/>
        <v>25600</v>
      </c>
      <c r="Z325" s="8"/>
    </row>
    <row r="326" spans="1:26" s="5" customFormat="1" x14ac:dyDescent="0.25">
      <c r="A326" s="324" t="s">
        <v>40</v>
      </c>
      <c r="B326" s="324"/>
      <c r="C326" s="291"/>
      <c r="D326" s="173">
        <v>70</v>
      </c>
      <c r="E326" s="173">
        <v>0</v>
      </c>
      <c r="F326" s="173">
        <v>851</v>
      </c>
      <c r="G326" s="1" t="s">
        <v>17</v>
      </c>
      <c r="H326" s="1" t="s">
        <v>38</v>
      </c>
      <c r="I326" s="1" t="s">
        <v>350</v>
      </c>
      <c r="J326" s="1"/>
      <c r="K326" s="2">
        <f>K329</f>
        <v>200000</v>
      </c>
      <c r="L326" s="2">
        <f>L329</f>
        <v>0</v>
      </c>
      <c r="M326" s="2">
        <f>M329</f>
        <v>200000</v>
      </c>
      <c r="N326" s="2">
        <f>N329</f>
        <v>0</v>
      </c>
      <c r="O326" s="2">
        <f>O327+O329</f>
        <v>200000</v>
      </c>
      <c r="P326" s="2">
        <f t="shared" ref="P326:S326" si="368">P327+P329</f>
        <v>0</v>
      </c>
      <c r="Q326" s="2">
        <f t="shared" si="368"/>
        <v>200000</v>
      </c>
      <c r="R326" s="2">
        <f t="shared" si="368"/>
        <v>0</v>
      </c>
      <c r="S326" s="2">
        <f t="shared" si="368"/>
        <v>200000</v>
      </c>
      <c r="T326" s="2"/>
      <c r="U326" s="2"/>
      <c r="V326" s="95"/>
      <c r="W326" s="2">
        <f t="shared" ref="W326" si="369">W327+W329</f>
        <v>0</v>
      </c>
      <c r="X326" s="2">
        <f t="shared" si="316"/>
        <v>200000</v>
      </c>
      <c r="Z326" s="8"/>
    </row>
    <row r="327" spans="1:26" s="5" customFormat="1" x14ac:dyDescent="0.25">
      <c r="A327" s="291"/>
      <c r="B327" s="301" t="s">
        <v>98</v>
      </c>
      <c r="C327" s="291"/>
      <c r="D327" s="173">
        <v>70</v>
      </c>
      <c r="E327" s="173">
        <v>0</v>
      </c>
      <c r="F327" s="173">
        <v>851</v>
      </c>
      <c r="G327" s="1" t="s">
        <v>17</v>
      </c>
      <c r="H327" s="1" t="s">
        <v>38</v>
      </c>
      <c r="I327" s="1" t="s">
        <v>350</v>
      </c>
      <c r="J327" s="1" t="s">
        <v>99</v>
      </c>
      <c r="K327" s="2"/>
      <c r="L327" s="2"/>
      <c r="M327" s="2"/>
      <c r="N327" s="2"/>
      <c r="O327" s="2">
        <f t="shared" ref="O327:W327" si="370">O328</f>
        <v>0</v>
      </c>
      <c r="P327" s="2">
        <f t="shared" si="370"/>
        <v>59000</v>
      </c>
      <c r="Q327" s="2">
        <f t="shared" si="370"/>
        <v>59000</v>
      </c>
      <c r="R327" s="2">
        <f t="shared" si="370"/>
        <v>20000</v>
      </c>
      <c r="S327" s="2">
        <f t="shared" si="370"/>
        <v>79000</v>
      </c>
      <c r="T327" s="2"/>
      <c r="U327" s="2"/>
      <c r="V327" s="95"/>
      <c r="W327" s="2">
        <f t="shared" si="370"/>
        <v>15000</v>
      </c>
      <c r="X327" s="2">
        <f t="shared" si="316"/>
        <v>94000</v>
      </c>
      <c r="Z327" s="8"/>
    </row>
    <row r="328" spans="1:26" s="5" customFormat="1" ht="24" x14ac:dyDescent="0.25">
      <c r="A328" s="291"/>
      <c r="B328" s="301" t="s">
        <v>132</v>
      </c>
      <c r="C328" s="291"/>
      <c r="D328" s="173">
        <v>70</v>
      </c>
      <c r="E328" s="173">
        <v>0</v>
      </c>
      <c r="F328" s="173">
        <v>851</v>
      </c>
      <c r="G328" s="1" t="s">
        <v>17</v>
      </c>
      <c r="H328" s="1" t="s">
        <v>38</v>
      </c>
      <c r="I328" s="1" t="s">
        <v>350</v>
      </c>
      <c r="J328" s="1" t="s">
        <v>100</v>
      </c>
      <c r="K328" s="2"/>
      <c r="L328" s="2"/>
      <c r="M328" s="2"/>
      <c r="N328" s="2"/>
      <c r="O328" s="2"/>
      <c r="P328" s="95">
        <f>'[2]6 Вед15'!O197</f>
        <v>59000</v>
      </c>
      <c r="Q328" s="2">
        <f t="shared" ref="Q328" si="371">O328+P328</f>
        <v>59000</v>
      </c>
      <c r="R328" s="95">
        <f>'[2]6 Вед15'!Q197</f>
        <v>20000</v>
      </c>
      <c r="S328" s="2">
        <f t="shared" ref="S328" si="372">Q328+R328</f>
        <v>79000</v>
      </c>
      <c r="T328" s="95"/>
      <c r="U328" s="95"/>
      <c r="V328" s="95"/>
      <c r="W328" s="2">
        <v>15000</v>
      </c>
      <c r="X328" s="2">
        <f t="shared" si="316"/>
        <v>94000</v>
      </c>
      <c r="Z328" s="8"/>
    </row>
    <row r="329" spans="1:26" s="5" customFormat="1" x14ac:dyDescent="0.25">
      <c r="A329" s="14"/>
      <c r="B329" s="291" t="s">
        <v>31</v>
      </c>
      <c r="C329" s="291"/>
      <c r="D329" s="173">
        <v>70</v>
      </c>
      <c r="E329" s="173">
        <v>0</v>
      </c>
      <c r="F329" s="173">
        <v>851</v>
      </c>
      <c r="G329" s="1" t="s">
        <v>17</v>
      </c>
      <c r="H329" s="1" t="s">
        <v>38</v>
      </c>
      <c r="I329" s="1" t="s">
        <v>350</v>
      </c>
      <c r="J329" s="1" t="s">
        <v>32</v>
      </c>
      <c r="K329" s="2">
        <f t="shared" ref="K329:W329" si="373">K330</f>
        <v>200000</v>
      </c>
      <c r="L329" s="2">
        <f t="shared" si="373"/>
        <v>0</v>
      </c>
      <c r="M329" s="2">
        <f t="shared" si="373"/>
        <v>200000</v>
      </c>
      <c r="N329" s="2">
        <f t="shared" si="373"/>
        <v>0</v>
      </c>
      <c r="O329" s="2">
        <f t="shared" si="373"/>
        <v>200000</v>
      </c>
      <c r="P329" s="2">
        <f t="shared" si="373"/>
        <v>-59000</v>
      </c>
      <c r="Q329" s="2">
        <f t="shared" si="373"/>
        <v>141000</v>
      </c>
      <c r="R329" s="2">
        <f t="shared" si="373"/>
        <v>-20000</v>
      </c>
      <c r="S329" s="2">
        <f t="shared" si="373"/>
        <v>121000</v>
      </c>
      <c r="T329" s="2"/>
      <c r="U329" s="2"/>
      <c r="V329" s="95"/>
      <c r="W329" s="2">
        <f t="shared" si="373"/>
        <v>-15000</v>
      </c>
      <c r="X329" s="2">
        <f t="shared" si="316"/>
        <v>106000</v>
      </c>
      <c r="Z329" s="8"/>
    </row>
    <row r="330" spans="1:26" s="5" customFormat="1" x14ac:dyDescent="0.25">
      <c r="A330" s="14"/>
      <c r="B330" s="301" t="s">
        <v>41</v>
      </c>
      <c r="C330" s="301"/>
      <c r="D330" s="173">
        <v>70</v>
      </c>
      <c r="E330" s="173">
        <v>0</v>
      </c>
      <c r="F330" s="173">
        <v>851</v>
      </c>
      <c r="G330" s="1" t="s">
        <v>17</v>
      </c>
      <c r="H330" s="1" t="s">
        <v>38</v>
      </c>
      <c r="I330" s="1" t="s">
        <v>350</v>
      </c>
      <c r="J330" s="1" t="s">
        <v>42</v>
      </c>
      <c r="K330" s="2">
        <f>'[2]6 Вед15'!J37</f>
        <v>200000</v>
      </c>
      <c r="L330" s="95">
        <f>'[2]6 Вед15'!K37</f>
        <v>0</v>
      </c>
      <c r="M330" s="2">
        <f t="shared" si="349"/>
        <v>200000</v>
      </c>
      <c r="N330" s="95">
        <f>'[2]6 Вед15'!M37</f>
        <v>0</v>
      </c>
      <c r="O330" s="2">
        <f t="shared" si="345"/>
        <v>200000</v>
      </c>
      <c r="P330" s="95">
        <f>'[2]6 Вед15'!O37</f>
        <v>-59000</v>
      </c>
      <c r="Q330" s="2">
        <f t="shared" ref="Q330:Q334" si="374">O330+P330</f>
        <v>141000</v>
      </c>
      <c r="R330" s="95">
        <f>'[2]6 Вед15'!Q37</f>
        <v>-20000</v>
      </c>
      <c r="S330" s="2">
        <f t="shared" ref="S330:S334" si="375">Q330+R330</f>
        <v>121000</v>
      </c>
      <c r="T330" s="95"/>
      <c r="U330" s="95"/>
      <c r="V330" s="95"/>
      <c r="W330" s="2">
        <v>-15000</v>
      </c>
      <c r="X330" s="2">
        <f t="shared" si="316"/>
        <v>106000</v>
      </c>
      <c r="Z330" s="8"/>
    </row>
    <row r="331" spans="1:26" s="5" customFormat="1" ht="12" hidden="1" customHeight="1" x14ac:dyDescent="0.25">
      <c r="A331" s="328" t="s">
        <v>165</v>
      </c>
      <c r="B331" s="328"/>
      <c r="C331" s="301"/>
      <c r="D331" s="15">
        <v>70</v>
      </c>
      <c r="E331" s="15">
        <v>0</v>
      </c>
      <c r="F331" s="79">
        <v>853</v>
      </c>
      <c r="G331" s="15" t="s">
        <v>166</v>
      </c>
      <c r="H331" s="304" t="s">
        <v>149</v>
      </c>
      <c r="I331" s="1"/>
      <c r="J331" s="304" t="s">
        <v>149</v>
      </c>
      <c r="K331" s="11">
        <f t="shared" ref="K331:W333" si="376">K332</f>
        <v>0</v>
      </c>
      <c r="L331" s="165">
        <f t="shared" si="376"/>
        <v>0</v>
      </c>
      <c r="M331" s="2">
        <f t="shared" si="349"/>
        <v>0</v>
      </c>
      <c r="N331" s="165">
        <f t="shared" si="376"/>
        <v>0</v>
      </c>
      <c r="O331" s="2">
        <f t="shared" si="345"/>
        <v>0</v>
      </c>
      <c r="P331" s="165">
        <f t="shared" si="376"/>
        <v>0</v>
      </c>
      <c r="Q331" s="2">
        <f t="shared" si="374"/>
        <v>0</v>
      </c>
      <c r="R331" s="165">
        <f t="shared" si="376"/>
        <v>0</v>
      </c>
      <c r="S331" s="2">
        <f t="shared" si="375"/>
        <v>0</v>
      </c>
      <c r="T331" s="95"/>
      <c r="U331" s="95"/>
      <c r="V331" s="95"/>
      <c r="W331" s="11">
        <f t="shared" si="376"/>
        <v>0</v>
      </c>
      <c r="X331" s="2">
        <f t="shared" si="316"/>
        <v>0</v>
      </c>
      <c r="Z331" s="8"/>
    </row>
    <row r="332" spans="1:26" s="5" customFormat="1" hidden="1" x14ac:dyDescent="0.25">
      <c r="A332" s="328" t="s">
        <v>165</v>
      </c>
      <c r="B332" s="328"/>
      <c r="C332" s="301"/>
      <c r="D332" s="15">
        <v>70</v>
      </c>
      <c r="E332" s="15">
        <v>0</v>
      </c>
      <c r="F332" s="79">
        <v>853</v>
      </c>
      <c r="G332" s="15" t="s">
        <v>166</v>
      </c>
      <c r="H332" s="15" t="s">
        <v>166</v>
      </c>
      <c r="I332" s="1" t="s">
        <v>348</v>
      </c>
      <c r="J332" s="304" t="s">
        <v>149</v>
      </c>
      <c r="K332" s="11">
        <f t="shared" si="376"/>
        <v>0</v>
      </c>
      <c r="L332" s="165">
        <f t="shared" si="376"/>
        <v>0</v>
      </c>
      <c r="M332" s="2">
        <f t="shared" si="349"/>
        <v>0</v>
      </c>
      <c r="N332" s="165">
        <f t="shared" si="376"/>
        <v>0</v>
      </c>
      <c r="O332" s="2">
        <f t="shared" si="345"/>
        <v>0</v>
      </c>
      <c r="P332" s="165">
        <f t="shared" si="376"/>
        <v>0</v>
      </c>
      <c r="Q332" s="2">
        <f t="shared" si="374"/>
        <v>0</v>
      </c>
      <c r="R332" s="165">
        <f t="shared" si="376"/>
        <v>0</v>
      </c>
      <c r="S332" s="2">
        <f t="shared" si="375"/>
        <v>0</v>
      </c>
      <c r="T332" s="95"/>
      <c r="U332" s="95"/>
      <c r="V332" s="95"/>
      <c r="W332" s="11">
        <f t="shared" si="376"/>
        <v>0</v>
      </c>
      <c r="X332" s="2">
        <f t="shared" si="316"/>
        <v>0</v>
      </c>
      <c r="Z332" s="8"/>
    </row>
    <row r="333" spans="1:26" s="5" customFormat="1" hidden="1" x14ac:dyDescent="0.25">
      <c r="A333" s="14"/>
      <c r="B333" s="291" t="s">
        <v>165</v>
      </c>
      <c r="C333" s="301"/>
      <c r="D333" s="173">
        <v>70</v>
      </c>
      <c r="E333" s="173">
        <v>0</v>
      </c>
      <c r="F333" s="62">
        <v>853</v>
      </c>
      <c r="G333" s="173" t="s">
        <v>166</v>
      </c>
      <c r="H333" s="173" t="s">
        <v>166</v>
      </c>
      <c r="I333" s="1" t="s">
        <v>348</v>
      </c>
      <c r="J333" s="301" t="s">
        <v>149</v>
      </c>
      <c r="K333" s="2">
        <f t="shared" si="376"/>
        <v>0</v>
      </c>
      <c r="L333" s="95">
        <f t="shared" si="376"/>
        <v>0</v>
      </c>
      <c r="M333" s="2">
        <f t="shared" si="349"/>
        <v>0</v>
      </c>
      <c r="N333" s="95">
        <f t="shared" si="376"/>
        <v>0</v>
      </c>
      <c r="O333" s="2">
        <f t="shared" si="345"/>
        <v>0</v>
      </c>
      <c r="P333" s="95">
        <f t="shared" si="376"/>
        <v>0</v>
      </c>
      <c r="Q333" s="2">
        <f t="shared" si="374"/>
        <v>0</v>
      </c>
      <c r="R333" s="95">
        <f t="shared" si="376"/>
        <v>0</v>
      </c>
      <c r="S333" s="2">
        <f t="shared" si="375"/>
        <v>0</v>
      </c>
      <c r="T333" s="95"/>
      <c r="U333" s="95"/>
      <c r="V333" s="95"/>
      <c r="W333" s="2">
        <f t="shared" si="376"/>
        <v>0</v>
      </c>
      <c r="X333" s="2">
        <f t="shared" si="316"/>
        <v>0</v>
      </c>
      <c r="Z333" s="8"/>
    </row>
    <row r="334" spans="1:26" s="5" customFormat="1" hidden="1" x14ac:dyDescent="0.25">
      <c r="A334" s="14"/>
      <c r="B334" s="291" t="s">
        <v>165</v>
      </c>
      <c r="C334" s="301"/>
      <c r="D334" s="173">
        <v>70</v>
      </c>
      <c r="E334" s="173">
        <v>0</v>
      </c>
      <c r="F334" s="62">
        <v>853</v>
      </c>
      <c r="G334" s="173" t="s">
        <v>166</v>
      </c>
      <c r="H334" s="173" t="s">
        <v>166</v>
      </c>
      <c r="I334" s="1" t="s">
        <v>348</v>
      </c>
      <c r="J334" s="173" t="s">
        <v>168</v>
      </c>
      <c r="K334" s="2">
        <f>'[2]6 Вед15'!J389</f>
        <v>0</v>
      </c>
      <c r="L334" s="95">
        <f>'[2]6 Вед15'!K389</f>
        <v>0</v>
      </c>
      <c r="M334" s="2">
        <f t="shared" si="349"/>
        <v>0</v>
      </c>
      <c r="N334" s="95">
        <f>'[2]6 Вед15'!M389</f>
        <v>0</v>
      </c>
      <c r="O334" s="2">
        <f t="shared" si="345"/>
        <v>0</v>
      </c>
      <c r="P334" s="95">
        <f>'[2]6 Вед15'!O389</f>
        <v>0</v>
      </c>
      <c r="Q334" s="2">
        <f t="shared" si="374"/>
        <v>0</v>
      </c>
      <c r="R334" s="95">
        <f>'[2]6 Вед15'!Q389</f>
        <v>0</v>
      </c>
      <c r="S334" s="2">
        <f t="shared" si="375"/>
        <v>0</v>
      </c>
      <c r="T334" s="95"/>
      <c r="U334" s="95"/>
      <c r="V334" s="95"/>
      <c r="W334" s="2">
        <f>'[2]6 Вед15'!V389</f>
        <v>0</v>
      </c>
      <c r="X334" s="2">
        <f t="shared" si="316"/>
        <v>0</v>
      </c>
      <c r="Z334" s="8"/>
    </row>
    <row r="335" spans="1:26" s="12" customFormat="1" ht="13.5" customHeight="1" x14ac:dyDescent="0.25">
      <c r="A335" s="357" t="s">
        <v>160</v>
      </c>
      <c r="B335" s="358"/>
      <c r="C335" s="79"/>
      <c r="D335" s="79">
        <v>70</v>
      </c>
      <c r="E335" s="79">
        <v>0</v>
      </c>
      <c r="F335" s="79">
        <v>854</v>
      </c>
      <c r="G335" s="79"/>
      <c r="H335" s="10"/>
      <c r="I335" s="10"/>
      <c r="J335" s="10"/>
      <c r="K335" s="11">
        <f>K336+K339</f>
        <v>1416920</v>
      </c>
      <c r="L335" s="11">
        <f t="shared" ref="L335:S335" si="377">L336+L339</f>
        <v>0</v>
      </c>
      <c r="M335" s="11">
        <f t="shared" si="377"/>
        <v>1416920</v>
      </c>
      <c r="N335" s="11">
        <f t="shared" si="377"/>
        <v>0</v>
      </c>
      <c r="O335" s="11">
        <f t="shared" si="377"/>
        <v>1416920</v>
      </c>
      <c r="P335" s="11">
        <f t="shared" si="377"/>
        <v>0</v>
      </c>
      <c r="Q335" s="11">
        <f t="shared" si="377"/>
        <v>1416920</v>
      </c>
      <c r="R335" s="11">
        <f t="shared" si="377"/>
        <v>0</v>
      </c>
      <c r="S335" s="11">
        <f t="shared" si="377"/>
        <v>1416920</v>
      </c>
      <c r="T335" s="11"/>
      <c r="U335" s="11"/>
      <c r="V335" s="165"/>
      <c r="W335" s="11">
        <f t="shared" ref="W335" si="378">W336+W339</f>
        <v>2999.7400000000016</v>
      </c>
      <c r="X335" s="2">
        <f t="shared" si="316"/>
        <v>1419919.74</v>
      </c>
      <c r="Z335" s="8"/>
    </row>
    <row r="336" spans="1:26" s="5" customFormat="1" x14ac:dyDescent="0.25">
      <c r="A336" s="324" t="s">
        <v>422</v>
      </c>
      <c r="B336" s="324"/>
      <c r="C336" s="291"/>
      <c r="D336" s="173">
        <v>70</v>
      </c>
      <c r="E336" s="173">
        <v>0</v>
      </c>
      <c r="F336" s="173">
        <v>854</v>
      </c>
      <c r="G336" s="1" t="s">
        <v>22</v>
      </c>
      <c r="H336" s="1" t="s">
        <v>72</v>
      </c>
      <c r="I336" s="1" t="s">
        <v>424</v>
      </c>
      <c r="J336" s="1"/>
      <c r="K336" s="2">
        <f t="shared" ref="K336:W337" si="379">K337</f>
        <v>789500</v>
      </c>
      <c r="L336" s="2">
        <f t="shared" si="379"/>
        <v>0</v>
      </c>
      <c r="M336" s="2">
        <f t="shared" si="379"/>
        <v>789500</v>
      </c>
      <c r="N336" s="2">
        <f t="shared" si="379"/>
        <v>0</v>
      </c>
      <c r="O336" s="2">
        <f t="shared" si="379"/>
        <v>789500</v>
      </c>
      <c r="P336" s="2">
        <f t="shared" si="379"/>
        <v>0</v>
      </c>
      <c r="Q336" s="2">
        <f t="shared" si="379"/>
        <v>789500</v>
      </c>
      <c r="R336" s="2">
        <f t="shared" si="379"/>
        <v>0</v>
      </c>
      <c r="S336" s="2">
        <f t="shared" si="379"/>
        <v>789500</v>
      </c>
      <c r="T336" s="2"/>
      <c r="U336" s="2"/>
      <c r="V336" s="95"/>
      <c r="W336" s="2">
        <f t="shared" si="379"/>
        <v>31015.68</v>
      </c>
      <c r="X336" s="2">
        <f t="shared" si="316"/>
        <v>820515.68</v>
      </c>
      <c r="Z336" s="8"/>
    </row>
    <row r="337" spans="1:26" s="5" customFormat="1" ht="36" customHeight="1" x14ac:dyDescent="0.25">
      <c r="A337" s="291"/>
      <c r="B337" s="301" t="s">
        <v>21</v>
      </c>
      <c r="C337" s="291"/>
      <c r="D337" s="173">
        <v>70</v>
      </c>
      <c r="E337" s="173">
        <v>0</v>
      </c>
      <c r="F337" s="173">
        <v>854</v>
      </c>
      <c r="G337" s="1" t="s">
        <v>17</v>
      </c>
      <c r="H337" s="1" t="s">
        <v>72</v>
      </c>
      <c r="I337" s="1" t="s">
        <v>424</v>
      </c>
      <c r="J337" s="1" t="s">
        <v>23</v>
      </c>
      <c r="K337" s="2">
        <f t="shared" si="379"/>
        <v>789500</v>
      </c>
      <c r="L337" s="2">
        <f t="shared" si="379"/>
        <v>0</v>
      </c>
      <c r="M337" s="2">
        <f t="shared" si="379"/>
        <v>789500</v>
      </c>
      <c r="N337" s="2">
        <f t="shared" si="379"/>
        <v>0</v>
      </c>
      <c r="O337" s="2">
        <f t="shared" si="379"/>
        <v>789500</v>
      </c>
      <c r="P337" s="2">
        <f t="shared" si="379"/>
        <v>0</v>
      </c>
      <c r="Q337" s="2">
        <f t="shared" si="379"/>
        <v>789500</v>
      </c>
      <c r="R337" s="2">
        <f t="shared" si="379"/>
        <v>0</v>
      </c>
      <c r="S337" s="2">
        <f t="shared" si="379"/>
        <v>789500</v>
      </c>
      <c r="T337" s="2"/>
      <c r="U337" s="2"/>
      <c r="V337" s="95"/>
      <c r="W337" s="2">
        <f t="shared" si="379"/>
        <v>31015.68</v>
      </c>
      <c r="X337" s="2">
        <f t="shared" si="316"/>
        <v>820515.68</v>
      </c>
      <c r="Z337" s="8"/>
    </row>
    <row r="338" spans="1:26" s="5" customFormat="1" ht="15" customHeight="1" x14ac:dyDescent="0.25">
      <c r="A338" s="291"/>
      <c r="B338" s="301" t="s">
        <v>24</v>
      </c>
      <c r="C338" s="291"/>
      <c r="D338" s="173">
        <v>70</v>
      </c>
      <c r="E338" s="173">
        <v>0</v>
      </c>
      <c r="F338" s="173">
        <v>854</v>
      </c>
      <c r="G338" s="1" t="s">
        <v>17</v>
      </c>
      <c r="H338" s="1" t="s">
        <v>72</v>
      </c>
      <c r="I338" s="1" t="s">
        <v>424</v>
      </c>
      <c r="J338" s="1" t="s">
        <v>25</v>
      </c>
      <c r="K338" s="2">
        <f>'[2]6 Вед15'!J395</f>
        <v>789500</v>
      </c>
      <c r="L338" s="95">
        <f>'[2]6 Вед15'!K395</f>
        <v>0</v>
      </c>
      <c r="M338" s="2">
        <f t="shared" si="349"/>
        <v>789500</v>
      </c>
      <c r="N338" s="95">
        <f>'[2]6 Вед15'!M395</f>
        <v>0</v>
      </c>
      <c r="O338" s="2">
        <f t="shared" si="345"/>
        <v>789500</v>
      </c>
      <c r="P338" s="95">
        <f>'[2]6 Вед15'!O395</f>
        <v>0</v>
      </c>
      <c r="Q338" s="2">
        <f t="shared" ref="Q338" si="380">O338+P338</f>
        <v>789500</v>
      </c>
      <c r="R338" s="95">
        <f>'[2]6 Вед15'!Q395</f>
        <v>0</v>
      </c>
      <c r="S338" s="2">
        <f t="shared" ref="S338" si="381">Q338+R338</f>
        <v>789500</v>
      </c>
      <c r="T338" s="95"/>
      <c r="U338" s="95"/>
      <c r="V338" s="95"/>
      <c r="W338" s="2">
        <v>31015.68</v>
      </c>
      <c r="X338" s="2">
        <f t="shared" si="316"/>
        <v>820515.68</v>
      </c>
      <c r="Z338" s="8"/>
    </row>
    <row r="339" spans="1:26" s="5" customFormat="1" ht="23.25" customHeight="1" x14ac:dyDescent="0.25">
      <c r="A339" s="324" t="s">
        <v>26</v>
      </c>
      <c r="B339" s="324"/>
      <c r="C339" s="173"/>
      <c r="D339" s="173">
        <v>70</v>
      </c>
      <c r="E339" s="173">
        <v>0</v>
      </c>
      <c r="F339" s="173">
        <v>854</v>
      </c>
      <c r="G339" s="1" t="s">
        <v>22</v>
      </c>
      <c r="H339" s="1" t="s">
        <v>3</v>
      </c>
      <c r="I339" s="1" t="s">
        <v>406</v>
      </c>
      <c r="J339" s="1"/>
      <c r="K339" s="2">
        <f t="shared" ref="K339:S339" si="382">K340+K342+K344</f>
        <v>627420</v>
      </c>
      <c r="L339" s="2">
        <f t="shared" si="382"/>
        <v>0</v>
      </c>
      <c r="M339" s="2">
        <f t="shared" si="382"/>
        <v>627420</v>
      </c>
      <c r="N339" s="2">
        <f t="shared" si="382"/>
        <v>0</v>
      </c>
      <c r="O339" s="2">
        <f t="shared" si="382"/>
        <v>627420</v>
      </c>
      <c r="P339" s="2">
        <f t="shared" si="382"/>
        <v>0</v>
      </c>
      <c r="Q339" s="2">
        <f t="shared" si="382"/>
        <v>627420</v>
      </c>
      <c r="R339" s="2">
        <f t="shared" si="382"/>
        <v>0</v>
      </c>
      <c r="S339" s="2">
        <f t="shared" si="382"/>
        <v>627420</v>
      </c>
      <c r="T339" s="2"/>
      <c r="U339" s="2"/>
      <c r="V339" s="95"/>
      <c r="W339" s="2">
        <f t="shared" ref="W339" si="383">W340+W342+W344</f>
        <v>-28015.94</v>
      </c>
      <c r="X339" s="2">
        <f t="shared" si="316"/>
        <v>599404.06000000006</v>
      </c>
      <c r="Z339" s="8"/>
    </row>
    <row r="340" spans="1:26" s="5" customFormat="1" ht="36.75" customHeight="1" x14ac:dyDescent="0.25">
      <c r="A340" s="14"/>
      <c r="B340" s="301" t="s">
        <v>21</v>
      </c>
      <c r="C340" s="173"/>
      <c r="D340" s="173">
        <v>70</v>
      </c>
      <c r="E340" s="173">
        <v>0</v>
      </c>
      <c r="F340" s="173">
        <v>854</v>
      </c>
      <c r="G340" s="1" t="s">
        <v>17</v>
      </c>
      <c r="H340" s="1" t="s">
        <v>3</v>
      </c>
      <c r="I340" s="1" t="s">
        <v>406</v>
      </c>
      <c r="J340" s="1" t="s">
        <v>23</v>
      </c>
      <c r="K340" s="2">
        <f t="shared" ref="K340:W340" si="384">K341</f>
        <v>418200</v>
      </c>
      <c r="L340" s="2">
        <f t="shared" si="384"/>
        <v>0</v>
      </c>
      <c r="M340" s="2">
        <f t="shared" si="384"/>
        <v>418200</v>
      </c>
      <c r="N340" s="2">
        <f t="shared" si="384"/>
        <v>0</v>
      </c>
      <c r="O340" s="2">
        <f t="shared" si="384"/>
        <v>418200</v>
      </c>
      <c r="P340" s="2">
        <f t="shared" si="384"/>
        <v>0</v>
      </c>
      <c r="Q340" s="2">
        <f t="shared" si="384"/>
        <v>418200</v>
      </c>
      <c r="R340" s="2">
        <f t="shared" si="384"/>
        <v>0</v>
      </c>
      <c r="S340" s="2">
        <f t="shared" si="384"/>
        <v>418200</v>
      </c>
      <c r="T340" s="2"/>
      <c r="U340" s="2"/>
      <c r="V340" s="95"/>
      <c r="W340" s="2">
        <f t="shared" si="384"/>
        <v>-28015.94</v>
      </c>
      <c r="X340" s="2">
        <f t="shared" si="316"/>
        <v>390184.06</v>
      </c>
      <c r="Z340" s="8"/>
    </row>
    <row r="341" spans="1:26" s="5" customFormat="1" ht="15" customHeight="1" x14ac:dyDescent="0.25">
      <c r="A341" s="14"/>
      <c r="B341" s="301" t="s">
        <v>24</v>
      </c>
      <c r="C341" s="173"/>
      <c r="D341" s="173">
        <v>70</v>
      </c>
      <c r="E341" s="173">
        <v>0</v>
      </c>
      <c r="F341" s="173">
        <v>854</v>
      </c>
      <c r="G341" s="1" t="s">
        <v>17</v>
      </c>
      <c r="H341" s="1" t="s">
        <v>3</v>
      </c>
      <c r="I341" s="1" t="s">
        <v>406</v>
      </c>
      <c r="J341" s="1" t="s">
        <v>25</v>
      </c>
      <c r="K341" s="2">
        <f>'[2]6 Вед15'!J399</f>
        <v>418200</v>
      </c>
      <c r="L341" s="95">
        <f>'[2]6 Вед15'!K399</f>
        <v>0</v>
      </c>
      <c r="M341" s="2">
        <f t="shared" si="349"/>
        <v>418200</v>
      </c>
      <c r="N341" s="95">
        <f>'[2]6 Вед15'!M399</f>
        <v>0</v>
      </c>
      <c r="O341" s="2">
        <f t="shared" si="345"/>
        <v>418200</v>
      </c>
      <c r="P341" s="95">
        <f>'[2]6 Вед15'!O399</f>
        <v>0</v>
      </c>
      <c r="Q341" s="2">
        <f t="shared" ref="Q341" si="385">O341+P341</f>
        <v>418200</v>
      </c>
      <c r="R341" s="95">
        <f>'[2]6 Вед15'!Q399</f>
        <v>0</v>
      </c>
      <c r="S341" s="2">
        <f t="shared" ref="S341" si="386">Q341+R341</f>
        <v>418200</v>
      </c>
      <c r="T341" s="95"/>
      <c r="U341" s="95"/>
      <c r="V341" s="95"/>
      <c r="W341" s="2">
        <v>-28015.94</v>
      </c>
      <c r="X341" s="2">
        <f t="shared" si="316"/>
        <v>390184.06</v>
      </c>
      <c r="Z341" s="8"/>
    </row>
    <row r="342" spans="1:26" s="5" customFormat="1" ht="24" hidden="1" customHeight="1" x14ac:dyDescent="0.25">
      <c r="A342" s="14"/>
      <c r="B342" s="303" t="s">
        <v>27</v>
      </c>
      <c r="C342" s="173"/>
      <c r="D342" s="173">
        <v>70</v>
      </c>
      <c r="E342" s="173">
        <v>0</v>
      </c>
      <c r="F342" s="173">
        <v>854</v>
      </c>
      <c r="G342" s="1" t="s">
        <v>17</v>
      </c>
      <c r="H342" s="1" t="s">
        <v>3</v>
      </c>
      <c r="I342" s="1" t="s">
        <v>406</v>
      </c>
      <c r="J342" s="1" t="s">
        <v>28</v>
      </c>
      <c r="K342" s="2">
        <f t="shared" ref="K342:W342" si="387">K343</f>
        <v>208700</v>
      </c>
      <c r="L342" s="2">
        <f t="shared" si="387"/>
        <v>0</v>
      </c>
      <c r="M342" s="2">
        <f t="shared" si="387"/>
        <v>208700</v>
      </c>
      <c r="N342" s="2">
        <f t="shared" si="387"/>
        <v>0</v>
      </c>
      <c r="O342" s="2">
        <f t="shared" si="387"/>
        <v>208700</v>
      </c>
      <c r="P342" s="2">
        <f t="shared" si="387"/>
        <v>0</v>
      </c>
      <c r="Q342" s="2">
        <f t="shared" si="387"/>
        <v>208700</v>
      </c>
      <c r="R342" s="2">
        <f t="shared" si="387"/>
        <v>0</v>
      </c>
      <c r="S342" s="2">
        <f t="shared" si="387"/>
        <v>208700</v>
      </c>
      <c r="T342" s="2"/>
      <c r="U342" s="2"/>
      <c r="V342" s="95"/>
      <c r="W342" s="2">
        <f t="shared" si="387"/>
        <v>0</v>
      </c>
      <c r="X342" s="2">
        <f t="shared" si="316"/>
        <v>208700</v>
      </c>
      <c r="Z342" s="8"/>
    </row>
    <row r="343" spans="1:26" s="5" customFormat="1" ht="25.5" hidden="1" customHeight="1" x14ac:dyDescent="0.25">
      <c r="A343" s="14"/>
      <c r="B343" s="303" t="s">
        <v>29</v>
      </c>
      <c r="C343" s="173"/>
      <c r="D343" s="173">
        <v>70</v>
      </c>
      <c r="E343" s="173">
        <v>0</v>
      </c>
      <c r="F343" s="173">
        <v>854</v>
      </c>
      <c r="G343" s="1" t="s">
        <v>17</v>
      </c>
      <c r="H343" s="1" t="s">
        <v>3</v>
      </c>
      <c r="I343" s="1" t="s">
        <v>406</v>
      </c>
      <c r="J343" s="1" t="s">
        <v>30</v>
      </c>
      <c r="K343" s="2">
        <f>'[2]6 Вед15'!J401</f>
        <v>208700</v>
      </c>
      <c r="L343" s="95">
        <f>'[2]6 Вед15'!K401</f>
        <v>0</v>
      </c>
      <c r="M343" s="2">
        <f t="shared" si="349"/>
        <v>208700</v>
      </c>
      <c r="N343" s="95">
        <f>'[2]6 Вед15'!M401</f>
        <v>0</v>
      </c>
      <c r="O343" s="2">
        <f t="shared" si="345"/>
        <v>208700</v>
      </c>
      <c r="P343" s="95">
        <f>'[2]6 Вед15'!O401</f>
        <v>0</v>
      </c>
      <c r="Q343" s="2">
        <f t="shared" ref="Q343" si="388">O343+P343</f>
        <v>208700</v>
      </c>
      <c r="R343" s="95">
        <f>'[2]6 Вед15'!Q401</f>
        <v>0</v>
      </c>
      <c r="S343" s="2">
        <f t="shared" ref="S343" si="389">Q343+R343</f>
        <v>208700</v>
      </c>
      <c r="T343" s="95"/>
      <c r="U343" s="95"/>
      <c r="V343" s="95"/>
      <c r="W343" s="2">
        <f>'[2]6 Вед15'!V401</f>
        <v>0</v>
      </c>
      <c r="X343" s="2">
        <f t="shared" si="316"/>
        <v>208700</v>
      </c>
      <c r="Z343" s="8"/>
    </row>
    <row r="344" spans="1:26" s="5" customFormat="1" ht="13.5" hidden="1" customHeight="1" x14ac:dyDescent="0.25">
      <c r="A344" s="14"/>
      <c r="B344" s="303" t="s">
        <v>31</v>
      </c>
      <c r="C344" s="173"/>
      <c r="D344" s="173">
        <v>70</v>
      </c>
      <c r="E344" s="173">
        <v>0</v>
      </c>
      <c r="F344" s="173">
        <v>854</v>
      </c>
      <c r="G344" s="1" t="s">
        <v>17</v>
      </c>
      <c r="H344" s="1" t="s">
        <v>3</v>
      </c>
      <c r="I344" s="1" t="s">
        <v>406</v>
      </c>
      <c r="J344" s="1" t="s">
        <v>32</v>
      </c>
      <c r="K344" s="2">
        <f t="shared" ref="K344:W344" si="390">K345</f>
        <v>520</v>
      </c>
      <c r="L344" s="2">
        <f t="shared" si="390"/>
        <v>0</v>
      </c>
      <c r="M344" s="2">
        <f t="shared" si="390"/>
        <v>520</v>
      </c>
      <c r="N344" s="2">
        <f t="shared" si="390"/>
        <v>0</v>
      </c>
      <c r="O344" s="2">
        <f t="shared" si="390"/>
        <v>520</v>
      </c>
      <c r="P344" s="2">
        <f t="shared" si="390"/>
        <v>0</v>
      </c>
      <c r="Q344" s="2">
        <f t="shared" si="390"/>
        <v>520</v>
      </c>
      <c r="R344" s="2">
        <f t="shared" si="390"/>
        <v>0</v>
      </c>
      <c r="S344" s="2">
        <f t="shared" si="390"/>
        <v>520</v>
      </c>
      <c r="T344" s="2"/>
      <c r="U344" s="2"/>
      <c r="V344" s="95"/>
      <c r="W344" s="2">
        <f t="shared" si="390"/>
        <v>0</v>
      </c>
      <c r="X344" s="2">
        <f t="shared" si="316"/>
        <v>520</v>
      </c>
      <c r="Z344" s="8"/>
    </row>
    <row r="345" spans="1:26" s="5" customFormat="1" hidden="1" x14ac:dyDescent="0.25">
      <c r="A345" s="14"/>
      <c r="B345" s="301" t="s">
        <v>435</v>
      </c>
      <c r="C345" s="291"/>
      <c r="D345" s="173">
        <v>70</v>
      </c>
      <c r="E345" s="173">
        <v>0</v>
      </c>
      <c r="F345" s="173">
        <v>854</v>
      </c>
      <c r="G345" s="1" t="s">
        <v>17</v>
      </c>
      <c r="H345" s="1" t="s">
        <v>3</v>
      </c>
      <c r="I345" s="1" t="s">
        <v>406</v>
      </c>
      <c r="J345" s="1" t="s">
        <v>35</v>
      </c>
      <c r="K345" s="2">
        <f>'[2]6 Вед15'!J403</f>
        <v>520</v>
      </c>
      <c r="L345" s="95">
        <f>'[2]6 Вед15'!K403</f>
        <v>0</v>
      </c>
      <c r="M345" s="2">
        <f t="shared" si="349"/>
        <v>520</v>
      </c>
      <c r="N345" s="95">
        <f>'[2]6 Вед15'!M403</f>
        <v>0</v>
      </c>
      <c r="O345" s="2">
        <f t="shared" si="345"/>
        <v>520</v>
      </c>
      <c r="P345" s="95">
        <f>'[2]6 Вед15'!O403</f>
        <v>0</v>
      </c>
      <c r="Q345" s="2">
        <f t="shared" ref="Q345" si="391">O345+P345</f>
        <v>520</v>
      </c>
      <c r="R345" s="95">
        <f>'[2]6 Вед15'!Q403</f>
        <v>0</v>
      </c>
      <c r="S345" s="2">
        <f t="shared" ref="S345" si="392">Q345+R345</f>
        <v>520</v>
      </c>
      <c r="T345" s="95"/>
      <c r="U345" s="95"/>
      <c r="V345" s="95"/>
      <c r="W345" s="2">
        <f>'[2]6 Вед15'!V403</f>
        <v>0</v>
      </c>
      <c r="X345" s="2">
        <f t="shared" si="316"/>
        <v>520</v>
      </c>
      <c r="Z345" s="8"/>
    </row>
    <row r="346" spans="1:26" s="5" customFormat="1" ht="15" customHeight="1" x14ac:dyDescent="0.25">
      <c r="A346" s="348" t="s">
        <v>544</v>
      </c>
      <c r="B346" s="349"/>
      <c r="C346" s="291"/>
      <c r="D346" s="15">
        <v>70</v>
      </c>
      <c r="E346" s="15">
        <v>0</v>
      </c>
      <c r="F346" s="15">
        <v>857</v>
      </c>
      <c r="G346" s="10"/>
      <c r="H346" s="10"/>
      <c r="I346" s="10"/>
      <c r="J346" s="10"/>
      <c r="K346" s="11">
        <f>K347+K352</f>
        <v>506700</v>
      </c>
      <c r="L346" s="11">
        <f t="shared" ref="L346:S346" si="393">L347+L352</f>
        <v>0</v>
      </c>
      <c r="M346" s="11">
        <f t="shared" si="393"/>
        <v>506700</v>
      </c>
      <c r="N346" s="11">
        <f t="shared" si="393"/>
        <v>0</v>
      </c>
      <c r="O346" s="11">
        <f t="shared" si="393"/>
        <v>506700</v>
      </c>
      <c r="P346" s="11">
        <f t="shared" si="393"/>
        <v>0</v>
      </c>
      <c r="Q346" s="11">
        <f t="shared" si="393"/>
        <v>506700</v>
      </c>
      <c r="R346" s="11">
        <f t="shared" si="393"/>
        <v>0</v>
      </c>
      <c r="S346" s="11">
        <f t="shared" si="393"/>
        <v>506700</v>
      </c>
      <c r="T346" s="11"/>
      <c r="U346" s="11"/>
      <c r="V346" s="165"/>
      <c r="W346" s="11">
        <f t="shared" ref="W346" si="394">W347+W352</f>
        <v>4475</v>
      </c>
      <c r="X346" s="2">
        <f t="shared" si="316"/>
        <v>511175</v>
      </c>
      <c r="Z346" s="8"/>
    </row>
    <row r="347" spans="1:26" s="5" customFormat="1" ht="15" customHeight="1" x14ac:dyDescent="0.25">
      <c r="A347" s="324" t="s">
        <v>162</v>
      </c>
      <c r="B347" s="324"/>
      <c r="C347" s="291"/>
      <c r="D347" s="173">
        <v>70</v>
      </c>
      <c r="E347" s="173">
        <v>0</v>
      </c>
      <c r="F347" s="173">
        <v>857</v>
      </c>
      <c r="G347" s="1" t="s">
        <v>17</v>
      </c>
      <c r="H347" s="1" t="s">
        <v>1</v>
      </c>
      <c r="I347" s="1" t="s">
        <v>351</v>
      </c>
      <c r="J347" s="1"/>
      <c r="K347" s="2">
        <f>K348+K350</f>
        <v>488700</v>
      </c>
      <c r="L347" s="2">
        <f t="shared" ref="L347:S347" si="395">L348+L350</f>
        <v>0</v>
      </c>
      <c r="M347" s="2">
        <f t="shared" si="395"/>
        <v>488700</v>
      </c>
      <c r="N347" s="2">
        <f t="shared" si="395"/>
        <v>0</v>
      </c>
      <c r="O347" s="2">
        <f t="shared" si="395"/>
        <v>488700</v>
      </c>
      <c r="P347" s="2">
        <f t="shared" si="395"/>
        <v>0</v>
      </c>
      <c r="Q347" s="2">
        <f t="shared" si="395"/>
        <v>488700</v>
      </c>
      <c r="R347" s="2">
        <f t="shared" si="395"/>
        <v>0</v>
      </c>
      <c r="S347" s="2">
        <f t="shared" si="395"/>
        <v>488700</v>
      </c>
      <c r="T347" s="2"/>
      <c r="U347" s="2"/>
      <c r="V347" s="95"/>
      <c r="W347" s="2">
        <f t="shared" ref="W347" si="396">W348+W350</f>
        <v>4475</v>
      </c>
      <c r="X347" s="2">
        <f t="shared" si="316"/>
        <v>493175</v>
      </c>
      <c r="Z347" s="8"/>
    </row>
    <row r="348" spans="1:26" s="5" customFormat="1" ht="35.25" customHeight="1" x14ac:dyDescent="0.25">
      <c r="A348" s="291"/>
      <c r="B348" s="301" t="s">
        <v>21</v>
      </c>
      <c r="C348" s="291"/>
      <c r="D348" s="173">
        <v>70</v>
      </c>
      <c r="E348" s="173">
        <v>0</v>
      </c>
      <c r="F348" s="173">
        <v>857</v>
      </c>
      <c r="G348" s="1" t="s">
        <v>22</v>
      </c>
      <c r="H348" s="1" t="s">
        <v>1</v>
      </c>
      <c r="I348" s="1" t="s">
        <v>351</v>
      </c>
      <c r="J348" s="1" t="s">
        <v>23</v>
      </c>
      <c r="K348" s="2">
        <f t="shared" ref="K348:W348" si="397">K349</f>
        <v>459000</v>
      </c>
      <c r="L348" s="2">
        <f t="shared" si="397"/>
        <v>0</v>
      </c>
      <c r="M348" s="2">
        <f t="shared" si="397"/>
        <v>459000</v>
      </c>
      <c r="N348" s="2">
        <f t="shared" si="397"/>
        <v>0</v>
      </c>
      <c r="O348" s="2">
        <f t="shared" si="397"/>
        <v>459000</v>
      </c>
      <c r="P348" s="2">
        <f t="shared" si="397"/>
        <v>0</v>
      </c>
      <c r="Q348" s="2">
        <f t="shared" si="397"/>
        <v>459000</v>
      </c>
      <c r="R348" s="2">
        <f t="shared" si="397"/>
        <v>0</v>
      </c>
      <c r="S348" s="2">
        <f t="shared" si="397"/>
        <v>459000</v>
      </c>
      <c r="T348" s="2"/>
      <c r="U348" s="2"/>
      <c r="V348" s="95"/>
      <c r="W348" s="2">
        <f t="shared" si="397"/>
        <v>-1253</v>
      </c>
      <c r="X348" s="2">
        <f t="shared" ref="X348:X353" si="398">S348+W348</f>
        <v>457747</v>
      </c>
      <c r="Z348" s="8"/>
    </row>
    <row r="349" spans="1:26" s="5" customFormat="1" ht="15" customHeight="1" x14ac:dyDescent="0.25">
      <c r="A349" s="14"/>
      <c r="B349" s="301" t="s">
        <v>24</v>
      </c>
      <c r="C349" s="301"/>
      <c r="D349" s="173">
        <v>70</v>
      </c>
      <c r="E349" s="173">
        <v>0</v>
      </c>
      <c r="F349" s="173">
        <v>857</v>
      </c>
      <c r="G349" s="1" t="s">
        <v>17</v>
      </c>
      <c r="H349" s="1" t="s">
        <v>1</v>
      </c>
      <c r="I349" s="1" t="s">
        <v>351</v>
      </c>
      <c r="J349" s="1" t="s">
        <v>25</v>
      </c>
      <c r="K349" s="2">
        <f>'[2]6 Вед15'!J409</f>
        <v>459000</v>
      </c>
      <c r="L349" s="2">
        <f>'[2]6 Вед15'!K409</f>
        <v>0</v>
      </c>
      <c r="M349" s="2">
        <f t="shared" si="349"/>
        <v>459000</v>
      </c>
      <c r="N349" s="2">
        <f>'[2]6 Вед15'!M409</f>
        <v>0</v>
      </c>
      <c r="O349" s="2">
        <f t="shared" si="345"/>
        <v>459000</v>
      </c>
      <c r="P349" s="2">
        <f>'[2]6 Вед15'!O409</f>
        <v>0</v>
      </c>
      <c r="Q349" s="2">
        <f t="shared" ref="Q349" si="399">O349+P349</f>
        <v>459000</v>
      </c>
      <c r="R349" s="2">
        <f>'[2]6 Вед15'!Q409</f>
        <v>0</v>
      </c>
      <c r="S349" s="2">
        <f t="shared" ref="S349" si="400">Q349+R349</f>
        <v>459000</v>
      </c>
      <c r="T349" s="2"/>
      <c r="U349" s="2"/>
      <c r="V349" s="95"/>
      <c r="W349" s="2">
        <v>-1253</v>
      </c>
      <c r="X349" s="2">
        <f t="shared" si="398"/>
        <v>457747</v>
      </c>
      <c r="Z349" s="8"/>
    </row>
    <row r="350" spans="1:26" s="5" customFormat="1" ht="15" customHeight="1" x14ac:dyDescent="0.25">
      <c r="A350" s="14"/>
      <c r="B350" s="303" t="s">
        <v>27</v>
      </c>
      <c r="C350" s="173"/>
      <c r="D350" s="173">
        <v>70</v>
      </c>
      <c r="E350" s="173">
        <v>0</v>
      </c>
      <c r="F350" s="173">
        <v>857</v>
      </c>
      <c r="G350" s="1" t="s">
        <v>17</v>
      </c>
      <c r="H350" s="1" t="s">
        <v>3</v>
      </c>
      <c r="I350" s="1" t="s">
        <v>351</v>
      </c>
      <c r="J350" s="1" t="s">
        <v>28</v>
      </c>
      <c r="K350" s="2">
        <f>K351</f>
        <v>29700</v>
      </c>
      <c r="L350" s="2">
        <f t="shared" ref="L350:W350" si="401">L351</f>
        <v>0</v>
      </c>
      <c r="M350" s="2">
        <f t="shared" si="401"/>
        <v>29700</v>
      </c>
      <c r="N350" s="2">
        <f t="shared" si="401"/>
        <v>0</v>
      </c>
      <c r="O350" s="2">
        <f t="shared" si="401"/>
        <v>29700</v>
      </c>
      <c r="P350" s="2">
        <f t="shared" si="401"/>
        <v>0</v>
      </c>
      <c r="Q350" s="2">
        <f t="shared" si="401"/>
        <v>29700</v>
      </c>
      <c r="R350" s="2">
        <f t="shared" si="401"/>
        <v>0</v>
      </c>
      <c r="S350" s="2">
        <f t="shared" si="401"/>
        <v>29700</v>
      </c>
      <c r="T350" s="2"/>
      <c r="U350" s="2"/>
      <c r="V350" s="95"/>
      <c r="W350" s="2">
        <f t="shared" si="401"/>
        <v>5728</v>
      </c>
      <c r="X350" s="2">
        <f t="shared" si="398"/>
        <v>35428</v>
      </c>
      <c r="Z350" s="8"/>
    </row>
    <row r="351" spans="1:26" s="5" customFormat="1" ht="15" customHeight="1" x14ac:dyDescent="0.25">
      <c r="A351" s="14"/>
      <c r="B351" s="303" t="s">
        <v>29</v>
      </c>
      <c r="C351" s="173"/>
      <c r="D351" s="173">
        <v>70</v>
      </c>
      <c r="E351" s="173">
        <v>0</v>
      </c>
      <c r="F351" s="173">
        <v>857</v>
      </c>
      <c r="G351" s="1" t="s">
        <v>17</v>
      </c>
      <c r="H351" s="1" t="s">
        <v>3</v>
      </c>
      <c r="I351" s="1" t="s">
        <v>351</v>
      </c>
      <c r="J351" s="1" t="s">
        <v>30</v>
      </c>
      <c r="K351" s="2">
        <f>'[2]6 Вед15'!J411</f>
        <v>29700</v>
      </c>
      <c r="L351" s="2">
        <f>'[2]6 Вед15'!K411</f>
        <v>0</v>
      </c>
      <c r="M351" s="2">
        <f t="shared" si="349"/>
        <v>29700</v>
      </c>
      <c r="N351" s="2">
        <f>'[2]6 Вед15'!M411</f>
        <v>0</v>
      </c>
      <c r="O351" s="2">
        <f t="shared" si="345"/>
        <v>29700</v>
      </c>
      <c r="P351" s="2">
        <f>'[2]6 Вед15'!O411</f>
        <v>0</v>
      </c>
      <c r="Q351" s="2">
        <f t="shared" ref="Q351" si="402">O351+P351</f>
        <v>29700</v>
      </c>
      <c r="R351" s="2">
        <f>'[2]6 Вед15'!Q411</f>
        <v>0</v>
      </c>
      <c r="S351" s="2">
        <f t="shared" ref="S351" si="403">Q351+R351</f>
        <v>29700</v>
      </c>
      <c r="T351" s="2"/>
      <c r="U351" s="2"/>
      <c r="V351" s="95"/>
      <c r="W351" s="2">
        <v>5728</v>
      </c>
      <c r="X351" s="2">
        <f t="shared" si="398"/>
        <v>35428</v>
      </c>
      <c r="Z351" s="8"/>
    </row>
    <row r="352" spans="1:26" s="5" customFormat="1" ht="35.25" hidden="1" customHeight="1" x14ac:dyDescent="0.25">
      <c r="A352" s="324" t="s">
        <v>354</v>
      </c>
      <c r="B352" s="324"/>
      <c r="C352" s="291"/>
      <c r="D352" s="173">
        <v>70</v>
      </c>
      <c r="E352" s="173">
        <v>0</v>
      </c>
      <c r="F352" s="173">
        <v>857</v>
      </c>
      <c r="G352" s="1" t="s">
        <v>22</v>
      </c>
      <c r="H352" s="1" t="s">
        <v>1</v>
      </c>
      <c r="I352" s="1" t="s">
        <v>454</v>
      </c>
      <c r="J352" s="2"/>
      <c r="K352" s="2">
        <f t="shared" ref="K352:W353" si="404">K353</f>
        <v>18000</v>
      </c>
      <c r="L352" s="2">
        <f t="shared" si="404"/>
        <v>0</v>
      </c>
      <c r="M352" s="2">
        <f t="shared" si="404"/>
        <v>18000</v>
      </c>
      <c r="N352" s="2">
        <f t="shared" si="404"/>
        <v>0</v>
      </c>
      <c r="O352" s="2">
        <f t="shared" si="404"/>
        <v>18000</v>
      </c>
      <c r="P352" s="2">
        <f t="shared" si="404"/>
        <v>0</v>
      </c>
      <c r="Q352" s="2">
        <f t="shared" si="404"/>
        <v>18000</v>
      </c>
      <c r="R352" s="2">
        <f t="shared" si="404"/>
        <v>0</v>
      </c>
      <c r="S352" s="2">
        <f t="shared" si="404"/>
        <v>18000</v>
      </c>
      <c r="T352" s="2"/>
      <c r="U352" s="2"/>
      <c r="V352" s="95"/>
      <c r="W352" s="2">
        <f t="shared" si="404"/>
        <v>0</v>
      </c>
      <c r="X352" s="2">
        <f t="shared" si="398"/>
        <v>18000</v>
      </c>
      <c r="Z352" s="8"/>
    </row>
    <row r="353" spans="1:26" s="5" customFormat="1" ht="26.25" hidden="1" customHeight="1" x14ac:dyDescent="0.25">
      <c r="A353" s="14"/>
      <c r="B353" s="303" t="s">
        <v>27</v>
      </c>
      <c r="C353" s="301"/>
      <c r="D353" s="173">
        <v>70</v>
      </c>
      <c r="E353" s="173">
        <v>0</v>
      </c>
      <c r="F353" s="173">
        <v>857</v>
      </c>
      <c r="G353" s="1" t="s">
        <v>17</v>
      </c>
      <c r="H353" s="1" t="s">
        <v>1</v>
      </c>
      <c r="I353" s="1" t="s">
        <v>454</v>
      </c>
      <c r="J353" s="1" t="s">
        <v>28</v>
      </c>
      <c r="K353" s="2">
        <f t="shared" si="404"/>
        <v>18000</v>
      </c>
      <c r="L353" s="2">
        <f t="shared" si="404"/>
        <v>0</v>
      </c>
      <c r="M353" s="2">
        <f t="shared" si="404"/>
        <v>18000</v>
      </c>
      <c r="N353" s="2">
        <f t="shared" si="404"/>
        <v>0</v>
      </c>
      <c r="O353" s="2">
        <f t="shared" si="404"/>
        <v>18000</v>
      </c>
      <c r="P353" s="2">
        <f t="shared" si="404"/>
        <v>0</v>
      </c>
      <c r="Q353" s="2">
        <f t="shared" si="404"/>
        <v>18000</v>
      </c>
      <c r="R353" s="2">
        <f t="shared" si="404"/>
        <v>0</v>
      </c>
      <c r="S353" s="2">
        <f t="shared" si="404"/>
        <v>18000</v>
      </c>
      <c r="T353" s="2"/>
      <c r="U353" s="2"/>
      <c r="V353" s="95"/>
      <c r="W353" s="2">
        <f t="shared" si="404"/>
        <v>0</v>
      </c>
      <c r="X353" s="2">
        <f t="shared" si="398"/>
        <v>18000</v>
      </c>
      <c r="Z353" s="8"/>
    </row>
    <row r="354" spans="1:26" s="5" customFormat="1" ht="24" hidden="1" x14ac:dyDescent="0.25">
      <c r="A354" s="14"/>
      <c r="B354" s="303" t="s">
        <v>29</v>
      </c>
      <c r="C354" s="291"/>
      <c r="D354" s="173">
        <v>70</v>
      </c>
      <c r="E354" s="173">
        <v>0</v>
      </c>
      <c r="F354" s="173">
        <v>857</v>
      </c>
      <c r="G354" s="1" t="s">
        <v>17</v>
      </c>
      <c r="H354" s="1" t="s">
        <v>1</v>
      </c>
      <c r="I354" s="1" t="s">
        <v>454</v>
      </c>
      <c r="J354" s="1" t="s">
        <v>30</v>
      </c>
      <c r="K354" s="2">
        <f>'[2]6 Вед15'!J414</f>
        <v>18000</v>
      </c>
      <c r="L354" s="2">
        <f>'[2]6 Вед15'!K414</f>
        <v>0</v>
      </c>
      <c r="M354" s="2">
        <f t="shared" si="349"/>
        <v>18000</v>
      </c>
      <c r="N354" s="2">
        <f>'[2]6 Вед15'!M414</f>
        <v>0</v>
      </c>
      <c r="O354" s="2">
        <f>M354+N354</f>
        <v>18000</v>
      </c>
      <c r="P354" s="2">
        <f>'[2]6 Вед15'!O414</f>
        <v>0</v>
      </c>
      <c r="Q354" s="2">
        <f>O354+P354</f>
        <v>18000</v>
      </c>
      <c r="R354" s="2">
        <f>'[2]6 Вед15'!Q414</f>
        <v>0</v>
      </c>
      <c r="S354" s="2">
        <f>Q354+R354</f>
        <v>18000</v>
      </c>
      <c r="T354" s="2"/>
      <c r="U354" s="2"/>
      <c r="V354" s="95"/>
      <c r="W354" s="2">
        <f>'[2]6 Вед15'!V414</f>
        <v>0</v>
      </c>
      <c r="X354" s="2">
        <f>S354+W354</f>
        <v>18000</v>
      </c>
      <c r="Z354" s="8"/>
    </row>
    <row r="355" spans="1:26" s="5" customFormat="1" ht="18" customHeight="1" x14ac:dyDescent="0.25">
      <c r="A355" s="305"/>
      <c r="B355" s="304" t="s">
        <v>164</v>
      </c>
      <c r="C355" s="304"/>
      <c r="D355" s="15"/>
      <c r="E355" s="15"/>
      <c r="F355" s="15"/>
      <c r="G355" s="10"/>
      <c r="H355" s="10"/>
      <c r="I355" s="10"/>
      <c r="J355" s="10"/>
      <c r="K355" s="11">
        <f t="shared" ref="K355:S355" si="405">K8+K199+K279+K321</f>
        <v>234246433</v>
      </c>
      <c r="L355" s="165">
        <f t="shared" si="405"/>
        <v>8505006</v>
      </c>
      <c r="M355" s="11">
        <f t="shared" si="405"/>
        <v>242751439</v>
      </c>
      <c r="N355" s="165">
        <f t="shared" si="405"/>
        <v>165681</v>
      </c>
      <c r="O355" s="11">
        <f t="shared" si="405"/>
        <v>242917120</v>
      </c>
      <c r="P355" s="165">
        <f t="shared" si="405"/>
        <v>-2522350</v>
      </c>
      <c r="Q355" s="11">
        <f t="shared" si="405"/>
        <v>240394770</v>
      </c>
      <c r="R355" s="165">
        <f t="shared" si="405"/>
        <v>16540201.76</v>
      </c>
      <c r="S355" s="11">
        <f t="shared" si="405"/>
        <v>256934971.75999999</v>
      </c>
      <c r="T355" s="165"/>
      <c r="U355" s="165"/>
      <c r="V355" s="165"/>
      <c r="W355" s="11">
        <f>W8+W199+W279+W321</f>
        <v>2957421.65</v>
      </c>
      <c r="X355" s="11">
        <f>X8+X199+X279+X321</f>
        <v>259892393.41</v>
      </c>
      <c r="Z355" s="8"/>
    </row>
    <row r="356" spans="1:26" s="76" customFormat="1" hidden="1" x14ac:dyDescent="0.25">
      <c r="B356" s="5"/>
      <c r="C356" s="5"/>
      <c r="D356" s="14" t="s">
        <v>619</v>
      </c>
      <c r="E356" s="14"/>
      <c r="F356" s="1"/>
      <c r="G356" s="172"/>
      <c r="H356" s="172"/>
      <c r="I356" s="1" t="s">
        <v>656</v>
      </c>
      <c r="J356" s="172"/>
      <c r="K356" s="2">
        <f>K303</f>
        <v>0</v>
      </c>
      <c r="L356" s="2">
        <f t="shared" ref="L356:S356" si="406">L303</f>
        <v>8607000</v>
      </c>
      <c r="M356" s="2">
        <f t="shared" si="406"/>
        <v>8607000</v>
      </c>
      <c r="N356" s="2">
        <f t="shared" si="406"/>
        <v>-860700</v>
      </c>
      <c r="O356" s="2">
        <f t="shared" si="406"/>
        <v>7746300</v>
      </c>
      <c r="P356" s="2">
        <f t="shared" si="406"/>
        <v>0</v>
      </c>
      <c r="Q356" s="2">
        <f t="shared" si="406"/>
        <v>7746300</v>
      </c>
      <c r="R356" s="2">
        <f t="shared" si="406"/>
        <v>0</v>
      </c>
      <c r="S356" s="2">
        <f t="shared" si="406"/>
        <v>7746300</v>
      </c>
    </row>
    <row r="357" spans="1:26" s="76" customFormat="1" hidden="1" x14ac:dyDescent="0.25">
      <c r="B357" s="5"/>
      <c r="C357" s="5"/>
      <c r="D357" s="14" t="s">
        <v>619</v>
      </c>
      <c r="E357" s="14"/>
      <c r="F357" s="1"/>
      <c r="G357" s="172"/>
      <c r="H357" s="172"/>
      <c r="I357" s="1" t="s">
        <v>350</v>
      </c>
      <c r="J357" s="172"/>
      <c r="K357" s="2">
        <f>K306</f>
        <v>0</v>
      </c>
      <c r="L357" s="2">
        <f t="shared" ref="L357:O357" si="407">L306</f>
        <v>0</v>
      </c>
      <c r="M357" s="2">
        <f t="shared" si="407"/>
        <v>0</v>
      </c>
      <c r="N357" s="2">
        <f t="shared" si="407"/>
        <v>200000</v>
      </c>
      <c r="O357" s="2">
        <f t="shared" si="407"/>
        <v>200000</v>
      </c>
      <c r="P357" s="2">
        <f t="shared" ref="P357:Q357" si="408">P306</f>
        <v>0</v>
      </c>
      <c r="Q357" s="2">
        <f t="shared" si="408"/>
        <v>200000</v>
      </c>
      <c r="R357" s="2">
        <f t="shared" ref="R357:S357" si="409">R306</f>
        <v>0</v>
      </c>
      <c r="S357" s="2">
        <f t="shared" si="409"/>
        <v>200000</v>
      </c>
    </row>
    <row r="358" spans="1:26" s="76" customFormat="1" hidden="1" x14ac:dyDescent="0.25">
      <c r="B358" s="5"/>
      <c r="C358" s="5"/>
      <c r="D358" s="14" t="s">
        <v>620</v>
      </c>
      <c r="E358" s="14"/>
      <c r="F358" s="1"/>
      <c r="G358" s="172"/>
      <c r="H358" s="172"/>
      <c r="I358" s="1" t="s">
        <v>454</v>
      </c>
      <c r="J358" s="172"/>
      <c r="K358" s="2">
        <f>K332</f>
        <v>0</v>
      </c>
      <c r="L358" s="2">
        <f t="shared" ref="L358:O358" si="410">L332</f>
        <v>0</v>
      </c>
      <c r="M358" s="2">
        <f t="shared" si="410"/>
        <v>0</v>
      </c>
      <c r="N358" s="2">
        <f t="shared" si="410"/>
        <v>0</v>
      </c>
      <c r="O358" s="2">
        <f t="shared" si="410"/>
        <v>0</v>
      </c>
      <c r="P358" s="2">
        <f t="shared" ref="P358:Q358" si="411">P332</f>
        <v>0</v>
      </c>
      <c r="Q358" s="2">
        <f t="shared" si="411"/>
        <v>0</v>
      </c>
      <c r="R358" s="2">
        <f t="shared" ref="R358:S358" si="412">R332</f>
        <v>0</v>
      </c>
      <c r="S358" s="2">
        <f t="shared" si="412"/>
        <v>0</v>
      </c>
    </row>
    <row r="359" spans="1:26" s="76" customFormat="1" hidden="1" x14ac:dyDescent="0.25">
      <c r="B359" s="5"/>
      <c r="C359" s="5"/>
      <c r="D359" s="14" t="s">
        <v>620</v>
      </c>
      <c r="E359" s="14"/>
      <c r="F359" s="1"/>
      <c r="G359" s="172"/>
      <c r="H359" s="172"/>
      <c r="I359" s="1" t="s">
        <v>450</v>
      </c>
      <c r="J359" s="172"/>
      <c r="K359" s="2">
        <f t="shared" ref="K359:S359" si="413">K22</f>
        <v>2500</v>
      </c>
      <c r="L359" s="2">
        <f t="shared" si="413"/>
        <v>0</v>
      </c>
      <c r="M359" s="2">
        <f t="shared" si="413"/>
        <v>2500</v>
      </c>
      <c r="N359" s="2">
        <f t="shared" si="413"/>
        <v>0</v>
      </c>
      <c r="O359" s="2">
        <f t="shared" si="413"/>
        <v>2500</v>
      </c>
      <c r="P359" s="2">
        <f t="shared" si="413"/>
        <v>0</v>
      </c>
      <c r="Q359" s="2">
        <f t="shared" si="413"/>
        <v>2500</v>
      </c>
      <c r="R359" s="2">
        <f t="shared" si="413"/>
        <v>0</v>
      </c>
      <c r="S359" s="2">
        <f t="shared" si="413"/>
        <v>2500</v>
      </c>
    </row>
    <row r="360" spans="1:26" s="76" customFormat="1" hidden="1" x14ac:dyDescent="0.25">
      <c r="B360" s="5"/>
      <c r="C360" s="5"/>
      <c r="D360" s="14" t="s">
        <v>619</v>
      </c>
      <c r="E360" s="14"/>
      <c r="F360" s="1"/>
      <c r="G360" s="172"/>
      <c r="H360" s="172"/>
      <c r="I360" s="1" t="s">
        <v>326</v>
      </c>
      <c r="J360" s="172"/>
      <c r="K360" s="2">
        <f t="shared" ref="K360:S360" si="414">K121</f>
        <v>0</v>
      </c>
      <c r="L360" s="2">
        <f t="shared" si="414"/>
        <v>1300000</v>
      </c>
      <c r="M360" s="2">
        <f t="shared" si="414"/>
        <v>1300000</v>
      </c>
      <c r="N360" s="2">
        <f t="shared" si="414"/>
        <v>0</v>
      </c>
      <c r="O360" s="2">
        <f t="shared" si="414"/>
        <v>1300000</v>
      </c>
      <c r="P360" s="2">
        <f t="shared" si="414"/>
        <v>0</v>
      </c>
      <c r="Q360" s="2">
        <f t="shared" si="414"/>
        <v>1300000</v>
      </c>
      <c r="R360" s="2">
        <f t="shared" si="414"/>
        <v>0</v>
      </c>
      <c r="S360" s="2">
        <f t="shared" si="414"/>
        <v>1300000</v>
      </c>
    </row>
    <row r="361" spans="1:26" s="76" customFormat="1" hidden="1" x14ac:dyDescent="0.25">
      <c r="B361" s="5"/>
      <c r="C361" s="5"/>
      <c r="D361" s="14" t="s">
        <v>619</v>
      </c>
      <c r="E361" s="14"/>
      <c r="F361" s="1"/>
      <c r="G361" s="172"/>
      <c r="H361" s="172"/>
      <c r="I361" s="1" t="s">
        <v>615</v>
      </c>
      <c r="J361" s="172"/>
      <c r="K361" s="2">
        <f t="shared" ref="K361:S361" si="415">K124</f>
        <v>14856640</v>
      </c>
      <c r="L361" s="2">
        <f t="shared" si="415"/>
        <v>605000</v>
      </c>
      <c r="M361" s="2">
        <f t="shared" si="415"/>
        <v>15461640</v>
      </c>
      <c r="N361" s="2">
        <f t="shared" si="415"/>
        <v>0</v>
      </c>
      <c r="O361" s="2">
        <f t="shared" si="415"/>
        <v>15461640</v>
      </c>
      <c r="P361" s="2">
        <f t="shared" si="415"/>
        <v>30000</v>
      </c>
      <c r="Q361" s="2">
        <f t="shared" si="415"/>
        <v>15491640</v>
      </c>
      <c r="R361" s="2">
        <f t="shared" si="415"/>
        <v>261321.25</v>
      </c>
      <c r="S361" s="2">
        <f t="shared" si="415"/>
        <v>15752961.25</v>
      </c>
    </row>
    <row r="362" spans="1:26" s="76" customFormat="1" hidden="1" x14ac:dyDescent="0.25">
      <c r="B362" s="5"/>
      <c r="C362" s="5"/>
      <c r="D362" s="14" t="s">
        <v>621</v>
      </c>
      <c r="E362" s="14"/>
      <c r="F362" s="1"/>
      <c r="G362" s="172"/>
      <c r="H362" s="172"/>
      <c r="I362" s="1" t="s">
        <v>616</v>
      </c>
      <c r="J362" s="172"/>
      <c r="K362" s="2">
        <f t="shared" ref="K362:S362" si="416">K127</f>
        <v>2580900</v>
      </c>
      <c r="L362" s="2">
        <f t="shared" si="416"/>
        <v>0</v>
      </c>
      <c r="M362" s="2">
        <f t="shared" si="416"/>
        <v>2580900</v>
      </c>
      <c r="N362" s="2">
        <f t="shared" si="416"/>
        <v>0</v>
      </c>
      <c r="O362" s="2">
        <f t="shared" si="416"/>
        <v>2580900</v>
      </c>
      <c r="P362" s="2">
        <f t="shared" si="416"/>
        <v>11130</v>
      </c>
      <c r="Q362" s="2">
        <f t="shared" si="416"/>
        <v>2592030</v>
      </c>
      <c r="R362" s="2">
        <f t="shared" si="416"/>
        <v>-11130</v>
      </c>
      <c r="S362" s="2">
        <f t="shared" si="416"/>
        <v>2580900</v>
      </c>
    </row>
    <row r="363" spans="1:26" s="76" customFormat="1" hidden="1" x14ac:dyDescent="0.25">
      <c r="B363" s="5"/>
      <c r="C363" s="5"/>
      <c r="D363" s="14" t="s">
        <v>620</v>
      </c>
      <c r="E363" s="14"/>
      <c r="F363" s="1"/>
      <c r="G363" s="172"/>
      <c r="H363" s="172"/>
      <c r="I363" s="1" t="s">
        <v>617</v>
      </c>
      <c r="J363" s="172"/>
      <c r="K363" s="2">
        <f t="shared" ref="K363:S363" si="417">K130</f>
        <v>157900</v>
      </c>
      <c r="L363" s="2">
        <f t="shared" si="417"/>
        <v>0</v>
      </c>
      <c r="M363" s="2">
        <f t="shared" si="417"/>
        <v>157900</v>
      </c>
      <c r="N363" s="2">
        <f t="shared" si="417"/>
        <v>0</v>
      </c>
      <c r="O363" s="2">
        <f t="shared" si="417"/>
        <v>157900</v>
      </c>
      <c r="P363" s="2">
        <f t="shared" si="417"/>
        <v>0</v>
      </c>
      <c r="Q363" s="2">
        <f t="shared" si="417"/>
        <v>157900</v>
      </c>
      <c r="R363" s="2">
        <f t="shared" si="417"/>
        <v>0</v>
      </c>
      <c r="S363" s="2">
        <f t="shared" si="417"/>
        <v>157900</v>
      </c>
    </row>
    <row r="364" spans="1:26" s="76" customFormat="1" hidden="1" x14ac:dyDescent="0.25">
      <c r="B364" s="5"/>
      <c r="C364" s="5"/>
      <c r="D364" s="14" t="s">
        <v>619</v>
      </c>
      <c r="E364" s="14"/>
      <c r="F364" s="1"/>
      <c r="G364" s="172"/>
      <c r="H364" s="172"/>
      <c r="I364" s="1" t="s">
        <v>336</v>
      </c>
      <c r="J364" s="172"/>
      <c r="K364" s="2">
        <f t="shared" ref="K364:S364" si="418">K193</f>
        <v>100000</v>
      </c>
      <c r="L364" s="2">
        <f t="shared" si="418"/>
        <v>0</v>
      </c>
      <c r="M364" s="2">
        <f t="shared" si="418"/>
        <v>100000</v>
      </c>
      <c r="N364" s="2">
        <f t="shared" si="418"/>
        <v>0</v>
      </c>
      <c r="O364" s="2">
        <f t="shared" si="418"/>
        <v>100000</v>
      </c>
      <c r="P364" s="2">
        <f t="shared" si="418"/>
        <v>0</v>
      </c>
      <c r="Q364" s="2">
        <f t="shared" si="418"/>
        <v>100000</v>
      </c>
      <c r="R364" s="2">
        <f t="shared" si="418"/>
        <v>0</v>
      </c>
      <c r="S364" s="2">
        <f t="shared" si="418"/>
        <v>100000</v>
      </c>
    </row>
    <row r="365" spans="1:26" s="76" customFormat="1" hidden="1" x14ac:dyDescent="0.25">
      <c r="B365" s="5"/>
      <c r="C365" s="5"/>
      <c r="D365" s="14" t="s">
        <v>619</v>
      </c>
      <c r="E365" s="14"/>
      <c r="F365" s="1"/>
      <c r="G365" s="172"/>
      <c r="H365" s="172"/>
      <c r="I365" s="1" t="s">
        <v>337</v>
      </c>
      <c r="J365" s="172"/>
      <c r="K365" s="2">
        <f t="shared" ref="K365:S365" si="419">K196</f>
        <v>0</v>
      </c>
      <c r="L365" s="2">
        <f t="shared" si="419"/>
        <v>0</v>
      </c>
      <c r="M365" s="2">
        <f t="shared" si="419"/>
        <v>0</v>
      </c>
      <c r="N365" s="2">
        <f t="shared" si="419"/>
        <v>0</v>
      </c>
      <c r="O365" s="2">
        <f t="shared" si="419"/>
        <v>0</v>
      </c>
      <c r="P365" s="2">
        <f t="shared" si="419"/>
        <v>0</v>
      </c>
      <c r="Q365" s="2">
        <f t="shared" si="419"/>
        <v>0</v>
      </c>
      <c r="R365" s="2">
        <f t="shared" si="419"/>
        <v>0</v>
      </c>
      <c r="S365" s="2">
        <f t="shared" si="419"/>
        <v>0</v>
      </c>
    </row>
    <row r="366" spans="1:26" s="76" customFormat="1" hidden="1" x14ac:dyDescent="0.25">
      <c r="B366" s="5"/>
      <c r="C366" s="5"/>
      <c r="D366" s="14" t="s">
        <v>619</v>
      </c>
      <c r="E366" s="14"/>
      <c r="F366" s="1"/>
      <c r="G366" s="172"/>
      <c r="H366" s="172"/>
      <c r="I366" s="1" t="s">
        <v>338</v>
      </c>
      <c r="J366" s="172"/>
      <c r="K366" s="2">
        <f t="shared" ref="K366:S366" si="420">K199</f>
        <v>148946959</v>
      </c>
      <c r="L366" s="2">
        <f t="shared" si="420"/>
        <v>325480</v>
      </c>
      <c r="M366" s="2">
        <f t="shared" si="420"/>
        <v>149272439</v>
      </c>
      <c r="N366" s="2">
        <f t="shared" si="420"/>
        <v>1033500</v>
      </c>
      <c r="O366" s="2">
        <f t="shared" si="420"/>
        <v>150305939</v>
      </c>
      <c r="P366" s="2">
        <f t="shared" si="420"/>
        <v>247500</v>
      </c>
      <c r="Q366" s="2">
        <f t="shared" si="420"/>
        <v>150553439</v>
      </c>
      <c r="R366" s="2">
        <f t="shared" si="420"/>
        <v>1604959.91</v>
      </c>
      <c r="S366" s="2">
        <f t="shared" si="420"/>
        <v>152158398.91</v>
      </c>
    </row>
    <row r="367" spans="1:26" s="76" customFormat="1" hidden="1" x14ac:dyDescent="0.25">
      <c r="B367" s="5"/>
      <c r="C367" s="5"/>
      <c r="D367" s="14" t="s">
        <v>619</v>
      </c>
      <c r="E367" s="14"/>
      <c r="F367" s="1"/>
      <c r="G367" s="172"/>
      <c r="H367" s="172"/>
      <c r="I367" s="1" t="s">
        <v>341</v>
      </c>
      <c r="J367" s="172"/>
      <c r="K367" s="2">
        <f t="shared" ref="K367:S367" si="421">K202</f>
        <v>836500</v>
      </c>
      <c r="L367" s="2">
        <f t="shared" si="421"/>
        <v>0</v>
      </c>
      <c r="M367" s="2">
        <f t="shared" si="421"/>
        <v>836500</v>
      </c>
      <c r="N367" s="2">
        <f t="shared" si="421"/>
        <v>0</v>
      </c>
      <c r="O367" s="2">
        <f t="shared" si="421"/>
        <v>836500</v>
      </c>
      <c r="P367" s="2">
        <f t="shared" si="421"/>
        <v>0</v>
      </c>
      <c r="Q367" s="2">
        <f t="shared" si="421"/>
        <v>836500</v>
      </c>
      <c r="R367" s="2">
        <f t="shared" si="421"/>
        <v>0</v>
      </c>
      <c r="S367" s="2">
        <f t="shared" si="421"/>
        <v>836500</v>
      </c>
    </row>
    <row r="368" spans="1:26" s="76" customFormat="1" hidden="1" x14ac:dyDescent="0.25">
      <c r="B368" s="5"/>
      <c r="C368" s="5"/>
      <c r="D368" s="14" t="s">
        <v>583</v>
      </c>
      <c r="E368" s="14"/>
      <c r="F368" s="1"/>
      <c r="G368" s="172"/>
      <c r="H368" s="172"/>
      <c r="I368" s="1" t="s">
        <v>589</v>
      </c>
      <c r="J368" s="172"/>
      <c r="K368" s="2">
        <f t="shared" ref="K368:S368" si="422">K25</f>
        <v>0</v>
      </c>
      <c r="L368" s="2">
        <f t="shared" si="422"/>
        <v>4802500</v>
      </c>
      <c r="M368" s="2">
        <f t="shared" si="422"/>
        <v>4802500</v>
      </c>
      <c r="N368" s="2">
        <f t="shared" si="422"/>
        <v>0</v>
      </c>
      <c r="O368" s="2">
        <f t="shared" si="422"/>
        <v>4802500</v>
      </c>
      <c r="P368" s="2">
        <f t="shared" si="422"/>
        <v>-4017500</v>
      </c>
      <c r="Q368" s="2">
        <f t="shared" si="422"/>
        <v>785000</v>
      </c>
      <c r="R368" s="2">
        <f t="shared" si="422"/>
        <v>11500000</v>
      </c>
      <c r="S368" s="2">
        <f t="shared" si="422"/>
        <v>12285000</v>
      </c>
    </row>
    <row r="369" spans="2:19" s="76" customFormat="1" hidden="1" x14ac:dyDescent="0.25">
      <c r="B369" s="5"/>
      <c r="C369" s="5"/>
      <c r="D369" s="14" t="s">
        <v>619</v>
      </c>
      <c r="E369" s="14"/>
      <c r="F369" s="1"/>
      <c r="G369" s="172"/>
      <c r="H369" s="172"/>
      <c r="I369" s="1" t="s">
        <v>329</v>
      </c>
      <c r="J369" s="172"/>
      <c r="K369" s="2">
        <f t="shared" ref="K369:S369" si="423">K151</f>
        <v>0</v>
      </c>
      <c r="L369" s="2">
        <f t="shared" si="423"/>
        <v>0</v>
      </c>
      <c r="M369" s="2">
        <f t="shared" si="423"/>
        <v>0</v>
      </c>
      <c r="N369" s="2">
        <f t="shared" si="423"/>
        <v>0</v>
      </c>
      <c r="O369" s="2">
        <f t="shared" si="423"/>
        <v>0</v>
      </c>
      <c r="P369" s="2">
        <f t="shared" si="423"/>
        <v>0</v>
      </c>
      <c r="Q369" s="2">
        <f t="shared" si="423"/>
        <v>0</v>
      </c>
      <c r="R369" s="2">
        <f t="shared" si="423"/>
        <v>261321.25</v>
      </c>
      <c r="S369" s="2">
        <f t="shared" si="423"/>
        <v>261321.25</v>
      </c>
    </row>
    <row r="370" spans="2:19" s="76" customFormat="1" hidden="1" x14ac:dyDescent="0.25">
      <c r="B370" s="5"/>
      <c r="C370" s="5"/>
      <c r="D370" s="14" t="s">
        <v>619</v>
      </c>
      <c r="E370" s="14"/>
      <c r="F370" s="1"/>
      <c r="G370" s="172"/>
      <c r="H370" s="172"/>
      <c r="I370" s="1" t="s">
        <v>627</v>
      </c>
      <c r="J370" s="172"/>
      <c r="K370" s="2">
        <f t="shared" ref="K370:S370" si="424">K28</f>
        <v>0</v>
      </c>
      <c r="L370" s="2">
        <f t="shared" si="424"/>
        <v>0</v>
      </c>
      <c r="M370" s="2">
        <f t="shared" si="424"/>
        <v>0</v>
      </c>
      <c r="N370" s="2">
        <f t="shared" si="424"/>
        <v>700000</v>
      </c>
      <c r="O370" s="2">
        <f t="shared" si="424"/>
        <v>700000</v>
      </c>
      <c r="P370" s="2">
        <f t="shared" si="424"/>
        <v>0</v>
      </c>
      <c r="Q370" s="2">
        <f t="shared" si="424"/>
        <v>700000</v>
      </c>
      <c r="R370" s="2">
        <f t="shared" si="424"/>
        <v>0</v>
      </c>
      <c r="S370" s="2">
        <f t="shared" si="424"/>
        <v>700000</v>
      </c>
    </row>
    <row r="371" spans="2:19" s="76" customFormat="1" hidden="1" x14ac:dyDescent="0.25">
      <c r="B371" s="5"/>
      <c r="C371" s="5"/>
      <c r="D371" s="14" t="s">
        <v>619</v>
      </c>
      <c r="E371" s="14"/>
      <c r="F371" s="1"/>
      <c r="G371" s="172"/>
      <c r="H371" s="172"/>
      <c r="I371" s="17" t="s">
        <v>320</v>
      </c>
      <c r="J371" s="172"/>
      <c r="K371" s="2">
        <f t="shared" ref="K371:S371" si="425">K31</f>
        <v>1332400</v>
      </c>
      <c r="L371" s="2">
        <f t="shared" si="425"/>
        <v>10900</v>
      </c>
      <c r="M371" s="2">
        <f t="shared" si="425"/>
        <v>1343300</v>
      </c>
      <c r="N371" s="2">
        <f t="shared" si="425"/>
        <v>0</v>
      </c>
      <c r="O371" s="2">
        <f t="shared" si="425"/>
        <v>1343300</v>
      </c>
      <c r="P371" s="2">
        <f t="shared" si="425"/>
        <v>0</v>
      </c>
      <c r="Q371" s="2">
        <f t="shared" si="425"/>
        <v>1343300</v>
      </c>
      <c r="R371" s="2">
        <f t="shared" si="425"/>
        <v>0</v>
      </c>
      <c r="S371" s="2">
        <f t="shared" si="425"/>
        <v>1343300</v>
      </c>
    </row>
    <row r="372" spans="2:19" s="76" customFormat="1" hidden="1" x14ac:dyDescent="0.25">
      <c r="B372" s="5"/>
      <c r="C372" s="5"/>
      <c r="D372" s="14" t="s">
        <v>583</v>
      </c>
      <c r="E372" s="14"/>
      <c r="F372" s="1"/>
      <c r="G372" s="172"/>
      <c r="H372" s="172"/>
      <c r="I372" s="1" t="s">
        <v>315</v>
      </c>
      <c r="J372" s="172"/>
      <c r="K372" s="2">
        <f t="shared" ref="K372:S372" si="426">K36+K212+K269</f>
        <v>8794500</v>
      </c>
      <c r="L372" s="2">
        <f t="shared" si="426"/>
        <v>0</v>
      </c>
      <c r="M372" s="2">
        <f t="shared" si="426"/>
        <v>8794500</v>
      </c>
      <c r="N372" s="2">
        <f t="shared" si="426"/>
        <v>-23856</v>
      </c>
      <c r="O372" s="2">
        <f t="shared" si="426"/>
        <v>8770644</v>
      </c>
      <c r="P372" s="2">
        <f t="shared" si="426"/>
        <v>0</v>
      </c>
      <c r="Q372" s="2">
        <f t="shared" si="426"/>
        <v>8770644</v>
      </c>
      <c r="R372" s="2">
        <f t="shared" si="426"/>
        <v>-329104</v>
      </c>
      <c r="S372" s="2">
        <f t="shared" si="426"/>
        <v>8441540</v>
      </c>
    </row>
    <row r="373" spans="2:19" s="76" customFormat="1" hidden="1" x14ac:dyDescent="0.25">
      <c r="B373" s="5"/>
      <c r="C373" s="5"/>
      <c r="D373" s="14" t="s">
        <v>583</v>
      </c>
      <c r="E373" s="14"/>
      <c r="F373" s="1"/>
      <c r="G373" s="1"/>
      <c r="H373" s="1"/>
      <c r="I373" s="1" t="s">
        <v>453</v>
      </c>
      <c r="J373" s="172"/>
      <c r="K373" s="2">
        <f t="shared" ref="K373:S373" si="427">K41</f>
        <v>11140</v>
      </c>
      <c r="L373" s="2">
        <f t="shared" si="427"/>
        <v>0</v>
      </c>
      <c r="M373" s="2">
        <f t="shared" si="427"/>
        <v>11140</v>
      </c>
      <c r="N373" s="2">
        <f t="shared" si="427"/>
        <v>0</v>
      </c>
      <c r="O373" s="2">
        <f t="shared" si="427"/>
        <v>11140</v>
      </c>
      <c r="P373" s="2">
        <f t="shared" si="427"/>
        <v>0</v>
      </c>
      <c r="Q373" s="2">
        <f t="shared" si="427"/>
        <v>11140</v>
      </c>
      <c r="R373" s="2">
        <f t="shared" si="427"/>
        <v>0</v>
      </c>
      <c r="S373" s="2">
        <f t="shared" si="427"/>
        <v>11140</v>
      </c>
    </row>
    <row r="374" spans="2:19" s="76" customFormat="1" hidden="1" x14ac:dyDescent="0.25">
      <c r="B374" s="5"/>
      <c r="C374" s="5"/>
      <c r="D374" s="14" t="s">
        <v>583</v>
      </c>
      <c r="E374" s="14"/>
      <c r="F374" s="1"/>
      <c r="G374" s="1"/>
      <c r="H374" s="1"/>
      <c r="I374" s="1" t="s">
        <v>325</v>
      </c>
      <c r="J374" s="172"/>
      <c r="K374" s="2">
        <f t="shared" ref="K374:S374" si="428">K134+K272</f>
        <v>9105680</v>
      </c>
      <c r="L374" s="2">
        <f t="shared" si="428"/>
        <v>0</v>
      </c>
      <c r="M374" s="2">
        <f t="shared" si="428"/>
        <v>9105680</v>
      </c>
      <c r="N374" s="2">
        <f t="shared" si="428"/>
        <v>0</v>
      </c>
      <c r="O374" s="2">
        <f t="shared" si="428"/>
        <v>9105680</v>
      </c>
      <c r="P374" s="2">
        <f t="shared" si="428"/>
        <v>20795</v>
      </c>
      <c r="Q374" s="2">
        <f t="shared" si="428"/>
        <v>9126475</v>
      </c>
      <c r="R374" s="2">
        <f t="shared" si="428"/>
        <v>-85997.09</v>
      </c>
      <c r="S374" s="2">
        <f t="shared" si="428"/>
        <v>9040477.9100000001</v>
      </c>
    </row>
    <row r="375" spans="2:19" s="76" customFormat="1" hidden="1" x14ac:dyDescent="0.25">
      <c r="B375" s="5"/>
      <c r="C375" s="5"/>
      <c r="D375" s="14" t="s">
        <v>583</v>
      </c>
      <c r="E375" s="14"/>
      <c r="F375" s="1"/>
      <c r="G375" s="1"/>
      <c r="H375" s="1"/>
      <c r="I375" s="1" t="s">
        <v>339</v>
      </c>
      <c r="J375" s="172"/>
      <c r="K375" s="2">
        <f t="shared" ref="K375:S375" si="429">K217</f>
        <v>505100</v>
      </c>
      <c r="L375" s="2">
        <f t="shared" si="429"/>
        <v>0</v>
      </c>
      <c r="M375" s="2">
        <f t="shared" si="429"/>
        <v>505100</v>
      </c>
      <c r="N375" s="2">
        <f t="shared" si="429"/>
        <v>-1824</v>
      </c>
      <c r="O375" s="2">
        <f t="shared" si="429"/>
        <v>503276</v>
      </c>
      <c r="P375" s="2">
        <f t="shared" si="429"/>
        <v>0</v>
      </c>
      <c r="Q375" s="2">
        <f t="shared" si="429"/>
        <v>503276</v>
      </c>
      <c r="R375" s="2">
        <f t="shared" si="429"/>
        <v>0</v>
      </c>
      <c r="S375" s="2">
        <f t="shared" si="429"/>
        <v>503276</v>
      </c>
    </row>
    <row r="376" spans="2:19" s="76" customFormat="1" hidden="1" x14ac:dyDescent="0.25">
      <c r="B376" s="5"/>
      <c r="C376" s="5"/>
      <c r="D376" s="14" t="s">
        <v>583</v>
      </c>
      <c r="E376" s="14"/>
      <c r="F376" s="1"/>
      <c r="G376" s="1"/>
      <c r="H376" s="1"/>
      <c r="I376" s="1" t="s">
        <v>334</v>
      </c>
      <c r="J376" s="172"/>
      <c r="K376" s="2">
        <f t="shared" ref="K376:S376" si="430">K220</f>
        <v>12000</v>
      </c>
      <c r="L376" s="2">
        <f t="shared" si="430"/>
        <v>0</v>
      </c>
      <c r="M376" s="2">
        <f t="shared" si="430"/>
        <v>12000</v>
      </c>
      <c r="N376" s="2">
        <f t="shared" si="430"/>
        <v>0</v>
      </c>
      <c r="O376" s="2">
        <f t="shared" si="430"/>
        <v>12000</v>
      </c>
      <c r="P376" s="2">
        <f t="shared" si="430"/>
        <v>0</v>
      </c>
      <c r="Q376" s="2">
        <f t="shared" si="430"/>
        <v>12000</v>
      </c>
      <c r="R376" s="2">
        <f t="shared" si="430"/>
        <v>0</v>
      </c>
      <c r="S376" s="2">
        <f t="shared" si="430"/>
        <v>12000</v>
      </c>
    </row>
    <row r="377" spans="2:19" s="76" customFormat="1" hidden="1" x14ac:dyDescent="0.25">
      <c r="B377" s="5"/>
      <c r="C377" s="5"/>
      <c r="D377" s="14" t="s">
        <v>583</v>
      </c>
      <c r="E377" s="14"/>
      <c r="F377" s="1"/>
      <c r="G377" s="1"/>
      <c r="H377" s="1"/>
      <c r="I377" s="1" t="s">
        <v>610</v>
      </c>
      <c r="J377" s="172"/>
      <c r="K377" s="2">
        <f t="shared" ref="K377:S377" si="431">K223</f>
        <v>510800</v>
      </c>
      <c r="L377" s="2">
        <f t="shared" si="431"/>
        <v>0</v>
      </c>
      <c r="M377" s="2">
        <f t="shared" si="431"/>
        <v>510800</v>
      </c>
      <c r="N377" s="2">
        <f t="shared" si="431"/>
        <v>-35763</v>
      </c>
      <c r="O377" s="2">
        <f t="shared" si="431"/>
        <v>475037</v>
      </c>
      <c r="P377" s="2">
        <f t="shared" si="431"/>
        <v>0</v>
      </c>
      <c r="Q377" s="2">
        <f t="shared" si="431"/>
        <v>475037</v>
      </c>
      <c r="R377" s="2">
        <f t="shared" si="431"/>
        <v>0</v>
      </c>
      <c r="S377" s="2">
        <f t="shared" si="431"/>
        <v>475037</v>
      </c>
    </row>
    <row r="378" spans="2:19" s="76" customFormat="1" hidden="1" x14ac:dyDescent="0.25">
      <c r="B378" s="5"/>
      <c r="C378" s="5"/>
      <c r="D378" s="14" t="s">
        <v>583</v>
      </c>
      <c r="E378" s="14"/>
      <c r="F378" s="1"/>
      <c r="G378" s="1"/>
      <c r="H378" s="1"/>
      <c r="I378" s="1" t="s">
        <v>335</v>
      </c>
      <c r="J378" s="172"/>
      <c r="K378" s="2">
        <f t="shared" ref="K378:S378" si="432">K226</f>
        <v>131250</v>
      </c>
      <c r="L378" s="2">
        <f t="shared" si="432"/>
        <v>0</v>
      </c>
      <c r="M378" s="2">
        <f t="shared" si="432"/>
        <v>131250</v>
      </c>
      <c r="N378" s="2">
        <f t="shared" si="432"/>
        <v>-35763</v>
      </c>
      <c r="O378" s="2">
        <f t="shared" si="432"/>
        <v>95487</v>
      </c>
      <c r="P378" s="2">
        <f t="shared" si="432"/>
        <v>0</v>
      </c>
      <c r="Q378" s="2">
        <f t="shared" si="432"/>
        <v>95487</v>
      </c>
      <c r="R378" s="2">
        <f t="shared" si="432"/>
        <v>0</v>
      </c>
      <c r="S378" s="2">
        <f t="shared" si="432"/>
        <v>95487</v>
      </c>
    </row>
    <row r="379" spans="2:19" s="76" customFormat="1" hidden="1" x14ac:dyDescent="0.25">
      <c r="B379" s="5"/>
      <c r="C379" s="5"/>
      <c r="D379" s="14" t="s">
        <v>583</v>
      </c>
      <c r="E379" s="14"/>
      <c r="F379" s="1"/>
      <c r="G379" s="1"/>
      <c r="H379" s="1"/>
      <c r="I379" s="1" t="s">
        <v>344</v>
      </c>
      <c r="J379" s="172"/>
      <c r="K379" s="2">
        <f t="shared" ref="K379:S379" si="433">K231</f>
        <v>66777336</v>
      </c>
      <c r="L379" s="2">
        <f t="shared" si="433"/>
        <v>0</v>
      </c>
      <c r="M379" s="2">
        <f t="shared" si="433"/>
        <v>66777336</v>
      </c>
      <c r="N379" s="2">
        <f t="shared" si="433"/>
        <v>0</v>
      </c>
      <c r="O379" s="2">
        <f t="shared" si="433"/>
        <v>66777336</v>
      </c>
      <c r="P379" s="2">
        <f t="shared" si="433"/>
        <v>0</v>
      </c>
      <c r="Q379" s="2">
        <f t="shared" si="433"/>
        <v>66777336</v>
      </c>
      <c r="R379" s="2">
        <f t="shared" si="433"/>
        <v>0</v>
      </c>
      <c r="S379" s="2">
        <f t="shared" si="433"/>
        <v>66777336</v>
      </c>
    </row>
    <row r="380" spans="2:19" s="76" customFormat="1" hidden="1" x14ac:dyDescent="0.25">
      <c r="B380" s="5"/>
      <c r="C380" s="5"/>
      <c r="D380" s="14" t="s">
        <v>583</v>
      </c>
      <c r="E380" s="14"/>
      <c r="F380" s="1"/>
      <c r="G380" s="1"/>
      <c r="H380" s="1"/>
      <c r="I380" s="1" t="s">
        <v>657</v>
      </c>
      <c r="J380" s="172"/>
      <c r="K380" s="2"/>
      <c r="L380" s="2"/>
      <c r="M380" s="2"/>
      <c r="N380" s="2"/>
      <c r="O380" s="2">
        <f>O234</f>
        <v>21495027</v>
      </c>
      <c r="P380" s="2">
        <f>P234</f>
        <v>0</v>
      </c>
      <c r="Q380" s="2">
        <f>Q234</f>
        <v>21495027</v>
      </c>
      <c r="R380" s="2">
        <f>R234</f>
        <v>0</v>
      </c>
      <c r="S380" s="2">
        <f>S234</f>
        <v>21495027</v>
      </c>
    </row>
    <row r="381" spans="2:19" s="76" customFormat="1" hidden="1" x14ac:dyDescent="0.25">
      <c r="B381" s="5"/>
      <c r="C381" s="5"/>
      <c r="D381" s="14" t="s">
        <v>583</v>
      </c>
      <c r="E381" s="14"/>
      <c r="F381" s="1"/>
      <c r="G381" s="1"/>
      <c r="H381" s="1"/>
      <c r="I381" s="1" t="s">
        <v>346</v>
      </c>
      <c r="J381" s="172"/>
      <c r="K381" s="2">
        <f t="shared" ref="K381:Q381" si="434">K280</f>
        <v>19120517</v>
      </c>
      <c r="L381" s="2">
        <f t="shared" si="434"/>
        <v>0</v>
      </c>
      <c r="M381" s="2">
        <f t="shared" si="434"/>
        <v>19120517</v>
      </c>
      <c r="N381" s="2">
        <f t="shared" si="434"/>
        <v>-666401</v>
      </c>
      <c r="O381" s="2">
        <f t="shared" si="434"/>
        <v>18454116</v>
      </c>
      <c r="P381" s="2">
        <f t="shared" si="434"/>
        <v>-7950</v>
      </c>
      <c r="Q381" s="2">
        <f t="shared" si="434"/>
        <v>18446166</v>
      </c>
      <c r="R381" s="2">
        <f t="shared" ref="R381:S381" si="435">R280</f>
        <v>2752363.6</v>
      </c>
      <c r="S381" s="2">
        <f t="shared" si="435"/>
        <v>21198529.600000001</v>
      </c>
    </row>
    <row r="382" spans="2:19" s="76" customFormat="1" hidden="1" x14ac:dyDescent="0.25">
      <c r="B382" s="5"/>
      <c r="C382" s="5"/>
      <c r="D382" s="14" t="s">
        <v>583</v>
      </c>
      <c r="E382" s="14"/>
      <c r="F382" s="1"/>
      <c r="G382" s="1"/>
      <c r="H382" s="1"/>
      <c r="I382" s="1" t="s">
        <v>347</v>
      </c>
      <c r="J382" s="172"/>
      <c r="K382" s="2">
        <f t="shared" ref="K382:Q382" si="436">K276</f>
        <v>0</v>
      </c>
      <c r="L382" s="2">
        <f t="shared" si="436"/>
        <v>0</v>
      </c>
      <c r="M382" s="2">
        <f t="shared" si="436"/>
        <v>0</v>
      </c>
      <c r="N382" s="2">
        <f t="shared" si="436"/>
        <v>0</v>
      </c>
      <c r="O382" s="2">
        <f t="shared" si="436"/>
        <v>0</v>
      </c>
      <c r="P382" s="2">
        <f t="shared" si="436"/>
        <v>0</v>
      </c>
      <c r="Q382" s="2">
        <f t="shared" si="436"/>
        <v>0</v>
      </c>
      <c r="R382" s="2">
        <f t="shared" ref="R382:S382" si="437">R276</f>
        <v>0</v>
      </c>
      <c r="S382" s="2">
        <f t="shared" si="437"/>
        <v>0</v>
      </c>
    </row>
    <row r="383" spans="2:19" s="76" customFormat="1" hidden="1" x14ac:dyDescent="0.25">
      <c r="B383" s="5" t="s">
        <v>683</v>
      </c>
      <c r="C383" s="5"/>
      <c r="D383" s="14" t="s">
        <v>619</v>
      </c>
      <c r="E383" s="14"/>
      <c r="F383" s="1"/>
      <c r="G383" s="1"/>
      <c r="H383" s="1"/>
      <c r="I383" s="1" t="s">
        <v>634</v>
      </c>
      <c r="J383" s="172"/>
      <c r="K383" s="2">
        <f>K285</f>
        <v>314800</v>
      </c>
      <c r="L383" s="2">
        <f t="shared" ref="L383:O383" si="438">L285</f>
        <v>0</v>
      </c>
      <c r="M383" s="2">
        <f t="shared" si="438"/>
        <v>314800</v>
      </c>
      <c r="N383" s="2">
        <f t="shared" si="438"/>
        <v>0</v>
      </c>
      <c r="O383" s="2">
        <f t="shared" si="438"/>
        <v>314800</v>
      </c>
      <c r="P383" s="2">
        <f t="shared" ref="P383:Q383" si="439">P285</f>
        <v>0</v>
      </c>
      <c r="Q383" s="2">
        <f t="shared" si="439"/>
        <v>314800</v>
      </c>
      <c r="R383" s="2">
        <f t="shared" ref="R383:S383" si="440">R285</f>
        <v>0</v>
      </c>
      <c r="S383" s="2">
        <f t="shared" si="440"/>
        <v>314800</v>
      </c>
    </row>
    <row r="384" spans="2:19" s="76" customFormat="1" hidden="1" x14ac:dyDescent="0.25">
      <c r="B384" s="5"/>
      <c r="C384" s="5"/>
      <c r="D384" s="14" t="s">
        <v>583</v>
      </c>
      <c r="E384" s="14"/>
      <c r="F384" s="1"/>
      <c r="G384" s="1"/>
      <c r="H384" s="1"/>
      <c r="I384" s="1" t="s">
        <v>689</v>
      </c>
      <c r="J384" s="172"/>
      <c r="K384" s="2"/>
      <c r="L384" s="2"/>
      <c r="M384" s="2"/>
      <c r="N384" s="2"/>
      <c r="O384" s="2"/>
      <c r="P384" s="2"/>
      <c r="Q384" s="2">
        <f>Q177</f>
        <v>8011575</v>
      </c>
      <c r="R384" s="2">
        <f>R177</f>
        <v>0</v>
      </c>
      <c r="S384" s="2">
        <f>S177</f>
        <v>8011575</v>
      </c>
    </row>
    <row r="385" spans="2:19" s="76" customFormat="1" hidden="1" x14ac:dyDescent="0.25">
      <c r="B385" s="5"/>
      <c r="C385" s="5"/>
      <c r="D385" s="14" t="s">
        <v>619</v>
      </c>
      <c r="E385" s="14"/>
      <c r="F385" s="1"/>
      <c r="G385" s="1"/>
      <c r="H385" s="1"/>
      <c r="I385" s="1" t="s">
        <v>330</v>
      </c>
      <c r="J385" s="172"/>
      <c r="K385" s="2">
        <f t="shared" ref="K385:S385" si="441">K164</f>
        <v>284000</v>
      </c>
      <c r="L385" s="2">
        <f t="shared" si="441"/>
        <v>0</v>
      </c>
      <c r="M385" s="2">
        <f t="shared" si="441"/>
        <v>284000</v>
      </c>
      <c r="N385" s="2">
        <f t="shared" si="441"/>
        <v>0</v>
      </c>
      <c r="O385" s="2">
        <f t="shared" si="441"/>
        <v>284000</v>
      </c>
      <c r="P385" s="2">
        <f t="shared" si="441"/>
        <v>0</v>
      </c>
      <c r="Q385" s="2">
        <f t="shared" si="441"/>
        <v>284000</v>
      </c>
      <c r="R385" s="2">
        <f t="shared" si="441"/>
        <v>0</v>
      </c>
      <c r="S385" s="2">
        <f t="shared" si="441"/>
        <v>284000</v>
      </c>
    </row>
    <row r="386" spans="2:19" s="76" customFormat="1" hidden="1" x14ac:dyDescent="0.25">
      <c r="B386" s="5"/>
      <c r="C386" s="5"/>
      <c r="D386" s="14" t="s">
        <v>583</v>
      </c>
      <c r="E386" s="14"/>
      <c r="F386" s="1"/>
      <c r="G386" s="1"/>
      <c r="H386" s="1"/>
      <c r="I386" s="1" t="s">
        <v>342</v>
      </c>
      <c r="J386" s="172"/>
      <c r="K386" s="2">
        <f t="shared" ref="K386:S386" si="442">K240</f>
        <v>4690260</v>
      </c>
      <c r="L386" s="2">
        <f t="shared" si="442"/>
        <v>0</v>
      </c>
      <c r="M386" s="2">
        <f t="shared" si="442"/>
        <v>4690260</v>
      </c>
      <c r="N386" s="2">
        <f t="shared" si="442"/>
        <v>0</v>
      </c>
      <c r="O386" s="2">
        <f t="shared" si="442"/>
        <v>4690260</v>
      </c>
      <c r="P386" s="2">
        <f t="shared" si="442"/>
        <v>0</v>
      </c>
      <c r="Q386" s="2">
        <f t="shared" si="442"/>
        <v>4690260</v>
      </c>
      <c r="R386" s="2">
        <f t="shared" si="442"/>
        <v>0</v>
      </c>
      <c r="S386" s="2">
        <f t="shared" si="442"/>
        <v>4690260</v>
      </c>
    </row>
    <row r="387" spans="2:19" s="76" customFormat="1" hidden="1" x14ac:dyDescent="0.25">
      <c r="B387" s="5"/>
      <c r="C387" s="5"/>
      <c r="D387" s="14" t="s">
        <v>583</v>
      </c>
      <c r="E387" s="14"/>
      <c r="F387" s="1"/>
      <c r="G387" s="1"/>
      <c r="H387" s="1"/>
      <c r="I387" s="1" t="s">
        <v>343</v>
      </c>
      <c r="J387" s="172"/>
      <c r="K387" s="2">
        <f t="shared" ref="K387:S387" si="443">K238</f>
        <v>0</v>
      </c>
      <c r="L387" s="2">
        <f t="shared" si="443"/>
        <v>0</v>
      </c>
      <c r="M387" s="2">
        <f t="shared" si="443"/>
        <v>0</v>
      </c>
      <c r="N387" s="2">
        <f t="shared" si="443"/>
        <v>808050</v>
      </c>
      <c r="O387" s="2">
        <f t="shared" si="443"/>
        <v>808050</v>
      </c>
      <c r="P387" s="2">
        <f t="shared" si="443"/>
        <v>0</v>
      </c>
      <c r="Q387" s="2">
        <f t="shared" si="443"/>
        <v>808050</v>
      </c>
      <c r="R387" s="2">
        <f t="shared" si="443"/>
        <v>0</v>
      </c>
      <c r="S387" s="2">
        <f t="shared" si="443"/>
        <v>808050</v>
      </c>
    </row>
    <row r="388" spans="2:19" s="76" customFormat="1" hidden="1" x14ac:dyDescent="0.25">
      <c r="B388" s="5"/>
      <c r="C388" s="5"/>
      <c r="D388" s="14" t="s">
        <v>619</v>
      </c>
      <c r="E388" s="14"/>
      <c r="F388" s="1"/>
      <c r="G388" s="1"/>
      <c r="H388" s="1"/>
      <c r="I388" s="1" t="s">
        <v>318</v>
      </c>
      <c r="J388" s="172"/>
      <c r="K388" s="2">
        <f t="shared" ref="K388:S388" si="444">K44</f>
        <v>450000</v>
      </c>
      <c r="L388" s="2">
        <f t="shared" si="444"/>
        <v>0</v>
      </c>
      <c r="M388" s="2">
        <f t="shared" si="444"/>
        <v>450000</v>
      </c>
      <c r="N388" s="2">
        <f t="shared" si="444"/>
        <v>0</v>
      </c>
      <c r="O388" s="2">
        <f t="shared" si="444"/>
        <v>450000</v>
      </c>
      <c r="P388" s="2">
        <f t="shared" si="444"/>
        <v>0</v>
      </c>
      <c r="Q388" s="2">
        <f t="shared" si="444"/>
        <v>450000</v>
      </c>
      <c r="R388" s="2">
        <f t="shared" si="444"/>
        <v>0</v>
      </c>
      <c r="S388" s="2">
        <f t="shared" si="444"/>
        <v>450000</v>
      </c>
    </row>
    <row r="389" spans="2:19" s="76" customFormat="1" hidden="1" x14ac:dyDescent="0.25">
      <c r="D389" s="14" t="s">
        <v>619</v>
      </c>
      <c r="E389" s="205"/>
      <c r="F389" s="206"/>
      <c r="G389" s="206"/>
      <c r="H389" s="206"/>
      <c r="I389" s="1" t="s">
        <v>319</v>
      </c>
      <c r="J389" s="207"/>
      <c r="K389" s="2">
        <f t="shared" ref="K389:S389" si="445">K47</f>
        <v>1575000</v>
      </c>
      <c r="L389" s="2">
        <f t="shared" si="445"/>
        <v>0</v>
      </c>
      <c r="M389" s="2">
        <f t="shared" si="445"/>
        <v>1575000</v>
      </c>
      <c r="N389" s="2">
        <f t="shared" si="445"/>
        <v>0</v>
      </c>
      <c r="O389" s="2">
        <f t="shared" si="445"/>
        <v>1575000</v>
      </c>
      <c r="P389" s="2">
        <f t="shared" si="445"/>
        <v>0</v>
      </c>
      <c r="Q389" s="2">
        <f t="shared" si="445"/>
        <v>1575000</v>
      </c>
      <c r="R389" s="2">
        <f t="shared" si="445"/>
        <v>0</v>
      </c>
      <c r="S389" s="2">
        <f t="shared" si="445"/>
        <v>1575000</v>
      </c>
    </row>
    <row r="390" spans="2:19" s="76" customFormat="1" hidden="1" x14ac:dyDescent="0.25">
      <c r="D390" s="14" t="s">
        <v>619</v>
      </c>
      <c r="E390" s="205"/>
      <c r="F390" s="206"/>
      <c r="G390" s="206"/>
      <c r="H390" s="206"/>
      <c r="I390" s="1" t="s">
        <v>333</v>
      </c>
      <c r="J390" s="207"/>
      <c r="K390" s="2">
        <f t="shared" ref="K390:S390" si="446">K156</f>
        <v>15000</v>
      </c>
      <c r="L390" s="2">
        <f t="shared" si="446"/>
        <v>0</v>
      </c>
      <c r="M390" s="2">
        <f t="shared" si="446"/>
        <v>15000</v>
      </c>
      <c r="N390" s="2">
        <f t="shared" si="446"/>
        <v>0</v>
      </c>
      <c r="O390" s="2">
        <f t="shared" si="446"/>
        <v>15000</v>
      </c>
      <c r="P390" s="2">
        <f t="shared" si="446"/>
        <v>0</v>
      </c>
      <c r="Q390" s="2">
        <f t="shared" si="446"/>
        <v>15000</v>
      </c>
      <c r="R390" s="2">
        <f t="shared" si="446"/>
        <v>0</v>
      </c>
      <c r="S390" s="2">
        <f t="shared" si="446"/>
        <v>15000</v>
      </c>
    </row>
    <row r="391" spans="2:19" s="76" customFormat="1" hidden="1" x14ac:dyDescent="0.25">
      <c r="D391" s="14" t="s">
        <v>621</v>
      </c>
      <c r="E391" s="205"/>
      <c r="F391" s="206"/>
      <c r="G391" s="206"/>
      <c r="H391" s="206"/>
      <c r="I391" s="1" t="s">
        <v>452</v>
      </c>
      <c r="J391" s="207"/>
      <c r="K391" s="2">
        <f t="shared" ref="K391:S391" si="447">K159</f>
        <v>544000</v>
      </c>
      <c r="L391" s="2">
        <f t="shared" si="447"/>
        <v>0</v>
      </c>
      <c r="M391" s="2">
        <f t="shared" si="447"/>
        <v>544000</v>
      </c>
      <c r="N391" s="2">
        <f t="shared" si="447"/>
        <v>0</v>
      </c>
      <c r="O391" s="2">
        <f t="shared" si="447"/>
        <v>544000</v>
      </c>
      <c r="P391" s="2">
        <f t="shared" si="447"/>
        <v>0</v>
      </c>
      <c r="Q391" s="2">
        <f t="shared" si="447"/>
        <v>544000</v>
      </c>
      <c r="R391" s="2">
        <f t="shared" si="447"/>
        <v>0</v>
      </c>
      <c r="S391" s="2">
        <f t="shared" si="447"/>
        <v>544000</v>
      </c>
    </row>
    <row r="392" spans="2:19" hidden="1" x14ac:dyDescent="0.25">
      <c r="D392" s="75" t="s">
        <v>583</v>
      </c>
      <c r="E392" s="75"/>
      <c r="F392" s="74"/>
      <c r="G392" s="74"/>
      <c r="H392" s="74"/>
      <c r="I392" s="17" t="s">
        <v>322</v>
      </c>
      <c r="J392" s="208"/>
      <c r="K392" s="2">
        <f t="shared" ref="K392:S392" si="448">K50</f>
        <v>173500</v>
      </c>
      <c r="L392" s="2">
        <f t="shared" si="448"/>
        <v>0</v>
      </c>
      <c r="M392" s="2">
        <f t="shared" si="448"/>
        <v>173500</v>
      </c>
      <c r="N392" s="2">
        <f t="shared" si="448"/>
        <v>-12145</v>
      </c>
      <c r="O392" s="2">
        <f t="shared" si="448"/>
        <v>161355</v>
      </c>
      <c r="P392" s="2">
        <f t="shared" si="448"/>
        <v>0</v>
      </c>
      <c r="Q392" s="2">
        <f t="shared" si="448"/>
        <v>161355</v>
      </c>
      <c r="R392" s="2">
        <f t="shared" si="448"/>
        <v>0</v>
      </c>
      <c r="S392" s="2">
        <f t="shared" si="448"/>
        <v>161355</v>
      </c>
    </row>
    <row r="393" spans="2:19" hidden="1" x14ac:dyDescent="0.25">
      <c r="D393" s="75" t="s">
        <v>619</v>
      </c>
      <c r="E393" s="75"/>
      <c r="F393" s="74"/>
      <c r="G393" s="74"/>
      <c r="H393" s="74"/>
      <c r="I393" s="17" t="s">
        <v>415</v>
      </c>
      <c r="J393" s="208"/>
      <c r="K393" s="2">
        <f t="shared" ref="K393:S393" si="449">K55</f>
        <v>0</v>
      </c>
      <c r="L393" s="2">
        <f t="shared" si="449"/>
        <v>0</v>
      </c>
      <c r="M393" s="2">
        <f t="shared" si="449"/>
        <v>0</v>
      </c>
      <c r="N393" s="2">
        <f t="shared" si="449"/>
        <v>0</v>
      </c>
      <c r="O393" s="2">
        <f t="shared" si="449"/>
        <v>0</v>
      </c>
      <c r="P393" s="2">
        <f t="shared" si="449"/>
        <v>0</v>
      </c>
      <c r="Q393" s="2">
        <f t="shared" si="449"/>
        <v>0</v>
      </c>
      <c r="R393" s="2">
        <f t="shared" si="449"/>
        <v>0</v>
      </c>
      <c r="S393" s="2">
        <f t="shared" si="449"/>
        <v>0</v>
      </c>
    </row>
    <row r="394" spans="2:19" hidden="1" x14ac:dyDescent="0.25">
      <c r="D394" s="75" t="s">
        <v>619</v>
      </c>
      <c r="E394" s="75"/>
      <c r="F394" s="73"/>
      <c r="G394" s="73"/>
      <c r="H394" s="73"/>
      <c r="I394" s="73">
        <v>1891</v>
      </c>
      <c r="J394" s="75"/>
      <c r="K394" s="2">
        <f t="shared" ref="K394:S394" si="450">K185</f>
        <v>582660</v>
      </c>
      <c r="L394" s="2">
        <f t="shared" si="450"/>
        <v>0</v>
      </c>
      <c r="M394" s="2">
        <f t="shared" si="450"/>
        <v>582660</v>
      </c>
      <c r="N394" s="2">
        <f t="shared" si="450"/>
        <v>0</v>
      </c>
      <c r="O394" s="2">
        <f t="shared" si="450"/>
        <v>582660</v>
      </c>
      <c r="P394" s="2">
        <f t="shared" si="450"/>
        <v>0</v>
      </c>
      <c r="Q394" s="2">
        <f t="shared" si="450"/>
        <v>582660</v>
      </c>
      <c r="R394" s="2">
        <f t="shared" si="450"/>
        <v>0</v>
      </c>
      <c r="S394" s="2">
        <f t="shared" si="450"/>
        <v>582660</v>
      </c>
    </row>
    <row r="395" spans="2:19" hidden="1" x14ac:dyDescent="0.25">
      <c r="D395" s="75" t="s">
        <v>619</v>
      </c>
      <c r="E395" s="75"/>
      <c r="F395" s="73"/>
      <c r="G395" s="73"/>
      <c r="H395" s="73"/>
      <c r="I395" s="1" t="s">
        <v>316</v>
      </c>
      <c r="J395" s="75"/>
      <c r="K395" s="68">
        <f t="shared" ref="K395:S395" si="451">K60</f>
        <v>172000</v>
      </c>
      <c r="L395" s="68">
        <f t="shared" si="451"/>
        <v>0</v>
      </c>
      <c r="M395" s="68">
        <f t="shared" si="451"/>
        <v>172000</v>
      </c>
      <c r="N395" s="68">
        <f t="shared" si="451"/>
        <v>0</v>
      </c>
      <c r="O395" s="68">
        <f t="shared" si="451"/>
        <v>172000</v>
      </c>
      <c r="P395" s="68">
        <f t="shared" si="451"/>
        <v>0</v>
      </c>
      <c r="Q395" s="68">
        <f t="shared" si="451"/>
        <v>172000</v>
      </c>
      <c r="R395" s="68">
        <f t="shared" si="451"/>
        <v>2150404</v>
      </c>
      <c r="S395" s="68">
        <f t="shared" si="451"/>
        <v>2322404</v>
      </c>
    </row>
    <row r="396" spans="2:19" hidden="1" x14ac:dyDescent="0.25">
      <c r="D396" s="75" t="s">
        <v>619</v>
      </c>
      <c r="E396" s="75"/>
      <c r="F396" s="73"/>
      <c r="G396" s="75"/>
      <c r="H396" s="75"/>
      <c r="I396" s="17" t="s">
        <v>317</v>
      </c>
      <c r="J396" s="75"/>
      <c r="K396" s="68">
        <f t="shared" ref="K396:S396" si="452">K63</f>
        <v>0</v>
      </c>
      <c r="L396" s="68">
        <f t="shared" si="452"/>
        <v>0</v>
      </c>
      <c r="M396" s="68">
        <f t="shared" si="452"/>
        <v>0</v>
      </c>
      <c r="N396" s="68">
        <f t="shared" si="452"/>
        <v>0</v>
      </c>
      <c r="O396" s="68">
        <f t="shared" si="452"/>
        <v>0</v>
      </c>
      <c r="P396" s="68">
        <f t="shared" si="452"/>
        <v>0</v>
      </c>
      <c r="Q396" s="68">
        <f t="shared" si="452"/>
        <v>0</v>
      </c>
      <c r="R396" s="68">
        <f t="shared" si="452"/>
        <v>0</v>
      </c>
      <c r="S396" s="68">
        <f t="shared" si="452"/>
        <v>0</v>
      </c>
    </row>
    <row r="397" spans="2:19" hidden="1" x14ac:dyDescent="0.25">
      <c r="D397" s="75" t="s">
        <v>619</v>
      </c>
      <c r="E397" s="75"/>
      <c r="F397" s="73"/>
      <c r="G397" s="75"/>
      <c r="H397" s="75"/>
      <c r="I397" s="17" t="s">
        <v>324</v>
      </c>
      <c r="J397" s="75"/>
      <c r="K397" s="68">
        <f t="shared" ref="K397:S397" si="453">K66+K249</f>
        <v>2000000</v>
      </c>
      <c r="L397" s="68">
        <f t="shared" si="453"/>
        <v>39999</v>
      </c>
      <c r="M397" s="68">
        <f t="shared" si="453"/>
        <v>2039999</v>
      </c>
      <c r="N397" s="68">
        <f t="shared" si="453"/>
        <v>0</v>
      </c>
      <c r="O397" s="68">
        <f t="shared" si="453"/>
        <v>2039999</v>
      </c>
      <c r="P397" s="68">
        <f t="shared" si="453"/>
        <v>247500</v>
      </c>
      <c r="Q397" s="68">
        <f t="shared" si="453"/>
        <v>2287499</v>
      </c>
      <c r="R397" s="68">
        <f t="shared" si="453"/>
        <v>243839</v>
      </c>
      <c r="S397" s="68">
        <f t="shared" si="453"/>
        <v>2531338</v>
      </c>
    </row>
    <row r="398" spans="2:19" hidden="1" x14ac:dyDescent="0.25">
      <c r="D398" s="75" t="s">
        <v>619</v>
      </c>
      <c r="E398" s="75"/>
      <c r="F398" s="73"/>
      <c r="G398" s="75"/>
      <c r="H398" s="75"/>
      <c r="I398" s="17" t="s">
        <v>327</v>
      </c>
      <c r="J398" s="75"/>
      <c r="K398" s="68">
        <f t="shared" ref="K398:S398" si="454">K137</f>
        <v>2860620</v>
      </c>
      <c r="L398" s="68">
        <f t="shared" si="454"/>
        <v>0</v>
      </c>
      <c r="M398" s="68">
        <f t="shared" si="454"/>
        <v>2860620</v>
      </c>
      <c r="N398" s="68">
        <f t="shared" si="454"/>
        <v>0</v>
      </c>
      <c r="O398" s="68">
        <f t="shared" si="454"/>
        <v>2860620</v>
      </c>
      <c r="P398" s="68">
        <f t="shared" si="454"/>
        <v>-8745</v>
      </c>
      <c r="Q398" s="68">
        <f t="shared" si="454"/>
        <v>2851875</v>
      </c>
      <c r="R398" s="68">
        <f t="shared" si="454"/>
        <v>-92850</v>
      </c>
      <c r="S398" s="68">
        <f t="shared" si="454"/>
        <v>2759025</v>
      </c>
    </row>
    <row r="399" spans="2:19" hidden="1" x14ac:dyDescent="0.25">
      <c r="D399" s="75" t="s">
        <v>619</v>
      </c>
      <c r="E399" s="75"/>
      <c r="F399" s="73"/>
      <c r="G399" s="75"/>
      <c r="H399" s="75"/>
      <c r="I399" s="17" t="s">
        <v>328</v>
      </c>
      <c r="J399" s="75"/>
      <c r="K399" s="68">
        <f t="shared" ref="K399:S399" si="455">K140</f>
        <v>9540</v>
      </c>
      <c r="L399" s="68">
        <f t="shared" si="455"/>
        <v>0</v>
      </c>
      <c r="M399" s="68">
        <f t="shared" si="455"/>
        <v>9540</v>
      </c>
      <c r="N399" s="68">
        <f t="shared" si="455"/>
        <v>0</v>
      </c>
      <c r="O399" s="68">
        <f t="shared" si="455"/>
        <v>9540</v>
      </c>
      <c r="P399" s="68">
        <f t="shared" si="455"/>
        <v>-3180</v>
      </c>
      <c r="Q399" s="68">
        <f t="shared" si="455"/>
        <v>6360</v>
      </c>
      <c r="R399" s="68">
        <f t="shared" si="455"/>
        <v>98580</v>
      </c>
      <c r="S399" s="68">
        <f t="shared" si="455"/>
        <v>104940</v>
      </c>
    </row>
    <row r="400" spans="2:19" hidden="1" x14ac:dyDescent="0.25">
      <c r="D400" s="75" t="s">
        <v>619</v>
      </c>
      <c r="E400" s="75"/>
      <c r="F400" s="73"/>
      <c r="G400" s="75"/>
      <c r="H400" s="75"/>
      <c r="I400" s="17" t="s">
        <v>321</v>
      </c>
      <c r="J400" s="75"/>
      <c r="K400" s="68">
        <f t="shared" ref="K400:S400" si="456">K114</f>
        <v>0</v>
      </c>
      <c r="L400" s="68">
        <f t="shared" si="456"/>
        <v>0</v>
      </c>
      <c r="M400" s="68">
        <f t="shared" si="456"/>
        <v>0</v>
      </c>
      <c r="N400" s="68">
        <f t="shared" si="456"/>
        <v>0</v>
      </c>
      <c r="O400" s="68">
        <f t="shared" si="456"/>
        <v>0</v>
      </c>
      <c r="P400" s="68">
        <f t="shared" si="456"/>
        <v>0</v>
      </c>
      <c r="Q400" s="68">
        <f t="shared" si="456"/>
        <v>0</v>
      </c>
      <c r="R400" s="68">
        <f t="shared" si="456"/>
        <v>0</v>
      </c>
      <c r="S400" s="68">
        <f t="shared" si="456"/>
        <v>0</v>
      </c>
    </row>
    <row r="401" spans="2:19" hidden="1" x14ac:dyDescent="0.25">
      <c r="D401" s="75" t="s">
        <v>619</v>
      </c>
      <c r="E401" s="75"/>
      <c r="F401" s="73"/>
      <c r="G401" s="75"/>
      <c r="H401" s="75"/>
      <c r="I401" s="17" t="s">
        <v>581</v>
      </c>
      <c r="J401" s="75"/>
      <c r="K401" s="68">
        <f t="shared" ref="K401:S401" si="457">K116</f>
        <v>55000</v>
      </c>
      <c r="L401" s="68">
        <f t="shared" si="457"/>
        <v>1300000</v>
      </c>
      <c r="M401" s="68">
        <f t="shared" si="457"/>
        <v>1355000</v>
      </c>
      <c r="N401" s="68">
        <f t="shared" si="457"/>
        <v>0</v>
      </c>
      <c r="O401" s="68">
        <f t="shared" si="457"/>
        <v>1355000</v>
      </c>
      <c r="P401" s="68">
        <f t="shared" si="457"/>
        <v>0</v>
      </c>
      <c r="Q401" s="68">
        <f t="shared" si="457"/>
        <v>1355000</v>
      </c>
      <c r="R401" s="68">
        <f t="shared" si="457"/>
        <v>0</v>
      </c>
      <c r="S401" s="68">
        <f t="shared" si="457"/>
        <v>1355000</v>
      </c>
    </row>
    <row r="402" spans="2:19" hidden="1" x14ac:dyDescent="0.25">
      <c r="D402" s="75" t="s">
        <v>619</v>
      </c>
      <c r="E402" s="75"/>
      <c r="F402" s="73"/>
      <c r="G402" s="75"/>
      <c r="H402" s="75"/>
      <c r="I402" s="17" t="s">
        <v>323</v>
      </c>
      <c r="J402" s="75"/>
      <c r="K402" s="68">
        <f t="shared" ref="K402:S402" si="458">K71</f>
        <v>8214000</v>
      </c>
      <c r="L402" s="68">
        <f t="shared" si="458"/>
        <v>0</v>
      </c>
      <c r="M402" s="68">
        <f t="shared" si="458"/>
        <v>8214000</v>
      </c>
      <c r="N402" s="68">
        <f t="shared" si="458"/>
        <v>-940718</v>
      </c>
      <c r="O402" s="68">
        <f t="shared" si="458"/>
        <v>7273282</v>
      </c>
      <c r="P402" s="68">
        <f t="shared" si="458"/>
        <v>0</v>
      </c>
      <c r="Q402" s="68">
        <f t="shared" si="458"/>
        <v>7273282</v>
      </c>
      <c r="R402" s="68">
        <f t="shared" si="458"/>
        <v>0</v>
      </c>
      <c r="S402" s="68">
        <f t="shared" si="458"/>
        <v>7273282</v>
      </c>
    </row>
    <row r="403" spans="2:19" hidden="1" x14ac:dyDescent="0.25">
      <c r="D403" s="75" t="s">
        <v>619</v>
      </c>
      <c r="E403" s="75"/>
      <c r="F403" s="73"/>
      <c r="G403" s="75"/>
      <c r="H403" s="75"/>
      <c r="I403" s="17" t="s">
        <v>565</v>
      </c>
      <c r="J403" s="75"/>
      <c r="K403" s="68">
        <f t="shared" ref="K403:S403" si="459">K74</f>
        <v>8214000</v>
      </c>
      <c r="L403" s="68">
        <f t="shared" si="459"/>
        <v>0</v>
      </c>
      <c r="M403" s="68">
        <f t="shared" si="459"/>
        <v>8214000</v>
      </c>
      <c r="N403" s="68">
        <f t="shared" si="459"/>
        <v>-940718</v>
      </c>
      <c r="O403" s="68">
        <f t="shared" si="459"/>
        <v>7273282</v>
      </c>
      <c r="P403" s="68">
        <f t="shared" si="459"/>
        <v>0</v>
      </c>
      <c r="Q403" s="68">
        <f t="shared" si="459"/>
        <v>7273282</v>
      </c>
      <c r="R403" s="68">
        <f t="shared" si="459"/>
        <v>0</v>
      </c>
      <c r="S403" s="68">
        <f t="shared" si="459"/>
        <v>7273282</v>
      </c>
    </row>
    <row r="404" spans="2:19" hidden="1" x14ac:dyDescent="0.25">
      <c r="D404" s="75" t="s">
        <v>619</v>
      </c>
      <c r="E404" s="75"/>
      <c r="F404" s="73"/>
      <c r="G404" s="75"/>
      <c r="H404" s="75"/>
      <c r="I404" s="17" t="s">
        <v>332</v>
      </c>
      <c r="J404" s="75"/>
      <c r="K404" s="68">
        <f t="shared" ref="K404:S404" si="460">K167</f>
        <v>10868575</v>
      </c>
      <c r="L404" s="68">
        <f t="shared" si="460"/>
        <v>0</v>
      </c>
      <c r="M404" s="68">
        <f t="shared" si="460"/>
        <v>10868575</v>
      </c>
      <c r="N404" s="68">
        <f t="shared" si="460"/>
        <v>115000</v>
      </c>
      <c r="O404" s="68">
        <f t="shared" si="460"/>
        <v>10983575</v>
      </c>
      <c r="P404" s="68">
        <f t="shared" si="460"/>
        <v>0</v>
      </c>
      <c r="Q404" s="68">
        <f t="shared" si="460"/>
        <v>10983575</v>
      </c>
      <c r="R404" s="68">
        <f t="shared" si="460"/>
        <v>14484</v>
      </c>
      <c r="S404" s="68">
        <f t="shared" si="460"/>
        <v>10998059</v>
      </c>
    </row>
    <row r="405" spans="2:19" hidden="1" x14ac:dyDescent="0.25">
      <c r="D405" s="75" t="s">
        <v>619</v>
      </c>
      <c r="E405" s="75"/>
      <c r="F405" s="73"/>
      <c r="G405" s="75"/>
      <c r="H405" s="75"/>
      <c r="I405" s="17" t="s">
        <v>596</v>
      </c>
      <c r="J405" s="75"/>
      <c r="K405" s="68">
        <f t="shared" ref="K405:S405" si="461">K77</f>
        <v>700000</v>
      </c>
      <c r="L405" s="68">
        <f t="shared" si="461"/>
        <v>10570</v>
      </c>
      <c r="M405" s="68">
        <f t="shared" si="461"/>
        <v>710570</v>
      </c>
      <c r="N405" s="68">
        <f t="shared" si="461"/>
        <v>0</v>
      </c>
      <c r="O405" s="68">
        <f t="shared" si="461"/>
        <v>710570</v>
      </c>
      <c r="P405" s="68">
        <f t="shared" si="461"/>
        <v>0</v>
      </c>
      <c r="Q405" s="68">
        <f t="shared" si="461"/>
        <v>710570</v>
      </c>
      <c r="R405" s="68">
        <f t="shared" si="461"/>
        <v>0</v>
      </c>
      <c r="S405" s="68">
        <f t="shared" si="461"/>
        <v>710570</v>
      </c>
    </row>
    <row r="406" spans="2:19" hidden="1" x14ac:dyDescent="0.25">
      <c r="D406" s="75" t="s">
        <v>619</v>
      </c>
      <c r="E406" s="75"/>
      <c r="F406" s="73"/>
      <c r="G406" s="75"/>
      <c r="H406" s="75"/>
      <c r="I406" s="73">
        <v>2224</v>
      </c>
      <c r="J406" s="75"/>
      <c r="K406" s="68">
        <f t="shared" ref="K406:S406" si="462">K252</f>
        <v>93000</v>
      </c>
      <c r="L406" s="68">
        <f t="shared" si="462"/>
        <v>0</v>
      </c>
      <c r="M406" s="68">
        <f t="shared" si="462"/>
        <v>93000</v>
      </c>
      <c r="N406" s="68">
        <f t="shared" si="462"/>
        <v>0</v>
      </c>
      <c r="O406" s="68">
        <f t="shared" si="462"/>
        <v>93000</v>
      </c>
      <c r="P406" s="68">
        <f t="shared" si="462"/>
        <v>0</v>
      </c>
      <c r="Q406" s="68">
        <f t="shared" si="462"/>
        <v>93000</v>
      </c>
      <c r="R406" s="68">
        <f t="shared" si="462"/>
        <v>79000</v>
      </c>
      <c r="S406" s="68">
        <f t="shared" si="462"/>
        <v>172000</v>
      </c>
    </row>
    <row r="407" spans="2:19" hidden="1" x14ac:dyDescent="0.25">
      <c r="D407" s="75" t="s">
        <v>619</v>
      </c>
      <c r="E407" s="75"/>
      <c r="F407" s="73"/>
      <c r="G407" s="75"/>
      <c r="H407" s="75"/>
      <c r="I407" s="17" t="s">
        <v>618</v>
      </c>
      <c r="J407" s="75"/>
      <c r="K407" s="68">
        <f t="shared" ref="K407:S407" si="463">K180</f>
        <v>582660</v>
      </c>
      <c r="L407" s="68">
        <f t="shared" si="463"/>
        <v>0</v>
      </c>
      <c r="M407" s="68">
        <f t="shared" si="463"/>
        <v>582660</v>
      </c>
      <c r="N407" s="68">
        <f t="shared" si="463"/>
        <v>0</v>
      </c>
      <c r="O407" s="68">
        <f t="shared" si="463"/>
        <v>582660</v>
      </c>
      <c r="P407" s="68">
        <f t="shared" si="463"/>
        <v>0</v>
      </c>
      <c r="Q407" s="68">
        <f t="shared" si="463"/>
        <v>582660</v>
      </c>
      <c r="R407" s="68">
        <f t="shared" si="463"/>
        <v>2136420</v>
      </c>
      <c r="S407" s="68">
        <f t="shared" si="463"/>
        <v>2719080</v>
      </c>
    </row>
    <row r="408" spans="2:19" hidden="1" x14ac:dyDescent="0.25">
      <c r="D408" s="75" t="s">
        <v>619</v>
      </c>
      <c r="E408" s="75"/>
      <c r="F408" s="73"/>
      <c r="G408" s="75"/>
      <c r="H408" s="75"/>
      <c r="I408" s="17" t="s">
        <v>630</v>
      </c>
      <c r="J408" s="75"/>
      <c r="K408" s="68">
        <f>K289</f>
        <v>200</v>
      </c>
      <c r="L408" s="68">
        <f t="shared" ref="L408:O408" si="464">L289</f>
        <v>0</v>
      </c>
      <c r="M408" s="68">
        <f t="shared" si="464"/>
        <v>200</v>
      </c>
      <c r="N408" s="68">
        <f t="shared" si="464"/>
        <v>0</v>
      </c>
      <c r="O408" s="68">
        <f t="shared" si="464"/>
        <v>200</v>
      </c>
      <c r="P408" s="68">
        <f t="shared" ref="P408:Q408" si="465">P289</f>
        <v>0</v>
      </c>
      <c r="Q408" s="68">
        <f t="shared" si="465"/>
        <v>200</v>
      </c>
      <c r="R408" s="68">
        <f t="shared" ref="R408:S408" si="466">R289</f>
        <v>0</v>
      </c>
      <c r="S408" s="68">
        <f t="shared" si="466"/>
        <v>200</v>
      </c>
    </row>
    <row r="409" spans="2:19" hidden="1" x14ac:dyDescent="0.25">
      <c r="D409" s="75" t="s">
        <v>619</v>
      </c>
      <c r="E409" s="75"/>
      <c r="F409" s="73"/>
      <c r="G409" s="75"/>
      <c r="H409" s="75"/>
      <c r="I409" s="73">
        <v>2231</v>
      </c>
      <c r="J409" s="75"/>
      <c r="K409" s="68">
        <f t="shared" ref="K409:S409" si="467">K255</f>
        <v>420900</v>
      </c>
      <c r="L409" s="68">
        <f t="shared" si="467"/>
        <v>0</v>
      </c>
      <c r="M409" s="68">
        <f t="shared" si="467"/>
        <v>420900</v>
      </c>
      <c r="N409" s="68">
        <f t="shared" si="467"/>
        <v>0</v>
      </c>
      <c r="O409" s="68">
        <f t="shared" si="467"/>
        <v>420900</v>
      </c>
      <c r="P409" s="68">
        <f t="shared" si="467"/>
        <v>0</v>
      </c>
      <c r="Q409" s="68">
        <f t="shared" si="467"/>
        <v>420900</v>
      </c>
      <c r="R409" s="68">
        <f t="shared" si="467"/>
        <v>0</v>
      </c>
      <c r="S409" s="68">
        <f t="shared" si="467"/>
        <v>420900</v>
      </c>
    </row>
    <row r="410" spans="2:19" hidden="1" x14ac:dyDescent="0.25">
      <c r="D410" s="75" t="s">
        <v>622</v>
      </c>
      <c r="E410" s="75"/>
      <c r="F410" s="73"/>
      <c r="G410" s="75"/>
      <c r="H410" s="75"/>
      <c r="I410" s="73">
        <v>5082</v>
      </c>
      <c r="J410" s="75"/>
      <c r="K410" s="68">
        <f t="shared" ref="K410:S410" si="468">K172</f>
        <v>270000</v>
      </c>
      <c r="L410" s="68">
        <f t="shared" si="468"/>
        <v>0</v>
      </c>
      <c r="M410" s="68">
        <f t="shared" si="468"/>
        <v>270000</v>
      </c>
      <c r="N410" s="68">
        <f t="shared" si="468"/>
        <v>0</v>
      </c>
      <c r="O410" s="68">
        <f t="shared" si="468"/>
        <v>270000</v>
      </c>
      <c r="P410" s="68">
        <f t="shared" si="468"/>
        <v>0</v>
      </c>
      <c r="Q410" s="68">
        <f t="shared" si="468"/>
        <v>270000</v>
      </c>
      <c r="R410" s="68">
        <f t="shared" si="468"/>
        <v>0</v>
      </c>
      <c r="S410" s="68">
        <f t="shared" si="468"/>
        <v>270000</v>
      </c>
    </row>
    <row r="411" spans="2:19" hidden="1" x14ac:dyDescent="0.25">
      <c r="D411" s="75" t="s">
        <v>622</v>
      </c>
      <c r="E411" s="75"/>
      <c r="F411" s="73"/>
      <c r="G411" s="75"/>
      <c r="H411" s="75"/>
      <c r="I411" s="73">
        <v>5018</v>
      </c>
      <c r="J411" s="75"/>
      <c r="K411" s="68"/>
      <c r="L411" s="68"/>
      <c r="M411" s="68"/>
      <c r="N411" s="68"/>
      <c r="O411" s="68"/>
      <c r="P411" s="68"/>
      <c r="Q411" s="68">
        <f>Q83</f>
        <v>632468</v>
      </c>
      <c r="R411" s="68">
        <f>R83</f>
        <v>-632468</v>
      </c>
      <c r="S411" s="68">
        <f>S83</f>
        <v>0</v>
      </c>
    </row>
    <row r="412" spans="2:19" hidden="1" x14ac:dyDescent="0.25">
      <c r="B412" s="69" t="s">
        <v>684</v>
      </c>
      <c r="D412" s="75" t="s">
        <v>622</v>
      </c>
      <c r="E412" s="75"/>
      <c r="F412" s="73"/>
      <c r="G412" s="75"/>
      <c r="H412" s="75"/>
      <c r="I412" s="173">
        <v>5118</v>
      </c>
      <c r="J412" s="75"/>
      <c r="K412" s="68">
        <f t="shared" ref="K412:S412" si="469">K86+K292</f>
        <v>95400</v>
      </c>
      <c r="L412" s="68">
        <f t="shared" si="469"/>
        <v>0</v>
      </c>
      <c r="M412" s="68">
        <f t="shared" si="469"/>
        <v>95400</v>
      </c>
      <c r="N412" s="68">
        <f t="shared" si="469"/>
        <v>0</v>
      </c>
      <c r="O412" s="68">
        <f t="shared" si="469"/>
        <v>95400</v>
      </c>
      <c r="P412" s="68">
        <f t="shared" si="469"/>
        <v>-7950</v>
      </c>
      <c r="Q412" s="225">
        <f t="shared" si="469"/>
        <v>87450</v>
      </c>
      <c r="R412" s="225">
        <f t="shared" si="469"/>
        <v>426205</v>
      </c>
      <c r="S412" s="225">
        <f t="shared" si="469"/>
        <v>513655</v>
      </c>
    </row>
    <row r="413" spans="2:19" hidden="1" x14ac:dyDescent="0.25">
      <c r="D413" s="75" t="s">
        <v>622</v>
      </c>
      <c r="E413" s="75"/>
      <c r="F413" s="73"/>
      <c r="G413" s="75"/>
      <c r="H413" s="75"/>
      <c r="I413" s="173">
        <v>5146</v>
      </c>
      <c r="J413" s="75"/>
      <c r="K413" s="68"/>
      <c r="L413" s="68"/>
      <c r="M413" s="68"/>
      <c r="N413" s="68"/>
      <c r="O413" s="68"/>
      <c r="P413" s="68"/>
      <c r="Q413" s="68">
        <f>Q146</f>
        <v>815000</v>
      </c>
      <c r="R413" s="68">
        <f>R146</f>
        <v>0</v>
      </c>
      <c r="S413" s="68">
        <f>S146</f>
        <v>815000</v>
      </c>
    </row>
    <row r="414" spans="2:19" ht="12.75" hidden="1" customHeight="1" x14ac:dyDescent="0.25">
      <c r="D414" s="75" t="s">
        <v>622</v>
      </c>
      <c r="E414" s="75"/>
      <c r="F414" s="73"/>
      <c r="G414" s="75"/>
      <c r="H414" s="75"/>
      <c r="I414" s="73">
        <v>5260</v>
      </c>
      <c r="J414" s="75"/>
      <c r="K414" s="68" t="e">
        <f>#REF!</f>
        <v>#REF!</v>
      </c>
      <c r="L414" s="68" t="e">
        <f>#REF!</f>
        <v>#REF!</v>
      </c>
      <c r="M414" s="68" t="e">
        <f>#REF!</f>
        <v>#REF!</v>
      </c>
      <c r="N414" s="68" t="e">
        <f>#REF!</f>
        <v>#REF!</v>
      </c>
      <c r="O414" s="68" t="e">
        <f>#REF!</f>
        <v>#REF!</v>
      </c>
      <c r="P414" s="68" t="e">
        <f>#REF!</f>
        <v>#REF!</v>
      </c>
      <c r="Q414" s="68" t="e">
        <f>#REF!</f>
        <v>#REF!</v>
      </c>
      <c r="R414" s="68" t="e">
        <f>#REF!</f>
        <v>#REF!</v>
      </c>
      <c r="S414" s="68" t="e">
        <f>#REF!</f>
        <v>#REF!</v>
      </c>
    </row>
    <row r="415" spans="2:19" ht="12.75" hidden="1" customHeight="1" x14ac:dyDescent="0.25">
      <c r="D415" s="75" t="s">
        <v>583</v>
      </c>
      <c r="E415" s="75"/>
      <c r="F415" s="73"/>
      <c r="G415" s="75"/>
      <c r="H415" s="75"/>
      <c r="I415" s="73">
        <v>5392</v>
      </c>
      <c r="J415" s="75"/>
      <c r="K415" s="68">
        <f t="shared" ref="K415:S415" si="470">K94</f>
        <v>49742</v>
      </c>
      <c r="L415" s="68">
        <f t="shared" si="470"/>
        <v>0</v>
      </c>
      <c r="M415" s="68">
        <f t="shared" si="470"/>
        <v>49742</v>
      </c>
      <c r="N415" s="68">
        <f t="shared" si="470"/>
        <v>-39699</v>
      </c>
      <c r="O415" s="68">
        <f t="shared" si="470"/>
        <v>10043</v>
      </c>
      <c r="P415" s="68">
        <f t="shared" si="470"/>
        <v>0</v>
      </c>
      <c r="Q415" s="68">
        <f t="shared" si="470"/>
        <v>10043</v>
      </c>
      <c r="R415" s="68">
        <f t="shared" si="470"/>
        <v>0</v>
      </c>
      <c r="S415" s="68">
        <f t="shared" si="470"/>
        <v>10043</v>
      </c>
    </row>
    <row r="416" spans="2:19" hidden="1" x14ac:dyDescent="0.25">
      <c r="D416" s="75" t="s">
        <v>619</v>
      </c>
      <c r="E416" s="75"/>
      <c r="F416" s="73"/>
      <c r="G416" s="75"/>
      <c r="H416" s="75"/>
      <c r="I416" s="17" t="s">
        <v>427</v>
      </c>
      <c r="J416" s="75"/>
      <c r="K416" s="68">
        <f t="shared" ref="K416:S416" si="471">K99</f>
        <v>0</v>
      </c>
      <c r="L416" s="68">
        <f t="shared" si="471"/>
        <v>0</v>
      </c>
      <c r="M416" s="68">
        <f t="shared" si="471"/>
        <v>0</v>
      </c>
      <c r="N416" s="68">
        <f t="shared" si="471"/>
        <v>0</v>
      </c>
      <c r="O416" s="68">
        <f t="shared" si="471"/>
        <v>0</v>
      </c>
      <c r="P416" s="68">
        <f t="shared" si="471"/>
        <v>1200000</v>
      </c>
      <c r="Q416" s="68">
        <f t="shared" si="471"/>
        <v>1200000</v>
      </c>
      <c r="R416" s="68">
        <f t="shared" si="471"/>
        <v>0</v>
      </c>
      <c r="S416" s="68">
        <f t="shared" si="471"/>
        <v>1200000</v>
      </c>
    </row>
    <row r="417" spans="2:19" hidden="1" x14ac:dyDescent="0.25">
      <c r="D417" s="75" t="s">
        <v>619</v>
      </c>
      <c r="E417" s="75"/>
      <c r="F417" s="73"/>
      <c r="G417" s="75"/>
      <c r="H417" s="75"/>
      <c r="I417" s="17" t="s">
        <v>629</v>
      </c>
      <c r="J417" s="75"/>
      <c r="K417" s="68">
        <f>K295</f>
        <v>5882000</v>
      </c>
      <c r="L417" s="68">
        <f t="shared" ref="L417:O417" si="472">L295</f>
        <v>0</v>
      </c>
      <c r="M417" s="68">
        <f t="shared" si="472"/>
        <v>5882000</v>
      </c>
      <c r="N417" s="68">
        <f t="shared" si="472"/>
        <v>0</v>
      </c>
      <c r="O417" s="68">
        <f t="shared" si="472"/>
        <v>5882000</v>
      </c>
      <c r="P417" s="68">
        <f t="shared" ref="P417:Q417" si="473">P295</f>
        <v>0</v>
      </c>
      <c r="Q417" s="68">
        <f t="shared" si="473"/>
        <v>5882000</v>
      </c>
      <c r="R417" s="68">
        <f t="shared" ref="R417:S417" si="474">R295</f>
        <v>0</v>
      </c>
      <c r="S417" s="68">
        <f t="shared" si="474"/>
        <v>5882000</v>
      </c>
    </row>
    <row r="418" spans="2:19" hidden="1" x14ac:dyDescent="0.25">
      <c r="D418" s="75" t="s">
        <v>619</v>
      </c>
      <c r="E418" s="75"/>
      <c r="F418" s="73"/>
      <c r="G418" s="75"/>
      <c r="H418" s="75"/>
      <c r="I418" s="17" t="s">
        <v>679</v>
      </c>
      <c r="J418" s="75"/>
      <c r="K418" s="68"/>
      <c r="L418" s="68"/>
      <c r="M418" s="68"/>
      <c r="N418" s="68"/>
      <c r="O418" s="68"/>
      <c r="P418" s="68"/>
      <c r="Q418" s="68">
        <f>Q102</f>
        <v>1200000</v>
      </c>
      <c r="R418" s="68">
        <f>R102</f>
        <v>-1200000</v>
      </c>
      <c r="S418" s="68">
        <f>S102</f>
        <v>0</v>
      </c>
    </row>
    <row r="419" spans="2:19" hidden="1" x14ac:dyDescent="0.25">
      <c r="D419" s="75" t="s">
        <v>619</v>
      </c>
      <c r="E419" s="75"/>
      <c r="F419" s="73"/>
      <c r="G419" s="75"/>
      <c r="H419" s="75"/>
      <c r="I419" s="1" t="s">
        <v>451</v>
      </c>
      <c r="J419" s="75"/>
      <c r="K419" s="68">
        <f t="shared" ref="K419:S419" si="475">K105</f>
        <v>41440</v>
      </c>
      <c r="L419" s="68">
        <f t="shared" si="475"/>
        <v>0</v>
      </c>
      <c r="M419" s="68">
        <f t="shared" si="475"/>
        <v>41440</v>
      </c>
      <c r="N419" s="68">
        <f t="shared" si="475"/>
        <v>0</v>
      </c>
      <c r="O419" s="68">
        <f t="shared" si="475"/>
        <v>41440</v>
      </c>
      <c r="P419" s="68">
        <f t="shared" si="475"/>
        <v>0</v>
      </c>
      <c r="Q419" s="68">
        <f t="shared" si="475"/>
        <v>41440</v>
      </c>
      <c r="R419" s="68">
        <f t="shared" si="475"/>
        <v>0</v>
      </c>
      <c r="S419" s="68">
        <f t="shared" si="475"/>
        <v>41440</v>
      </c>
    </row>
    <row r="420" spans="2:19" hidden="1" x14ac:dyDescent="0.25">
      <c r="D420" s="75" t="s">
        <v>619</v>
      </c>
      <c r="E420" s="75"/>
      <c r="F420" s="73"/>
      <c r="G420" s="75"/>
      <c r="H420" s="75"/>
      <c r="I420" s="1" t="s">
        <v>585</v>
      </c>
      <c r="J420" s="75"/>
      <c r="K420" s="68"/>
      <c r="L420" s="68"/>
      <c r="M420" s="68"/>
      <c r="N420" s="68"/>
      <c r="O420" s="68"/>
      <c r="P420" s="68"/>
      <c r="Q420" s="68">
        <f>Q298</f>
        <v>5882000</v>
      </c>
      <c r="R420" s="68">
        <f t="shared" ref="R420:S420" si="476">R298</f>
        <v>0</v>
      </c>
      <c r="S420" s="68">
        <f t="shared" si="476"/>
        <v>5882000</v>
      </c>
    </row>
    <row r="421" spans="2:19" hidden="1" x14ac:dyDescent="0.25">
      <c r="D421" s="75" t="s">
        <v>623</v>
      </c>
      <c r="E421" s="75"/>
      <c r="F421" s="73"/>
      <c r="G421" s="75"/>
      <c r="H421" s="75"/>
      <c r="I421" s="17"/>
      <c r="J421" s="75"/>
      <c r="K421" s="68" t="e">
        <f t="shared" ref="K421:P421" si="477">SUM(K352:K419)</f>
        <v>#REF!</v>
      </c>
      <c r="L421" s="68" t="e">
        <f t="shared" si="477"/>
        <v>#REF!</v>
      </c>
      <c r="M421" s="68" t="e">
        <f t="shared" si="477"/>
        <v>#REF!</v>
      </c>
      <c r="N421" s="68" t="e">
        <f t="shared" si="477"/>
        <v>#REF!</v>
      </c>
      <c r="O421" s="68" t="e">
        <f t="shared" si="477"/>
        <v>#REF!</v>
      </c>
      <c r="P421" s="68" t="e">
        <f t="shared" si="477"/>
        <v>#REF!</v>
      </c>
      <c r="Q421" s="68" t="e">
        <f>SUM(Q352:Q420)</f>
        <v>#REF!</v>
      </c>
      <c r="R421" s="68" t="e">
        <f t="shared" ref="R421:S421" si="478">SUM(R352:R420)</f>
        <v>#REF!</v>
      </c>
      <c r="S421" s="68" t="e">
        <f t="shared" si="478"/>
        <v>#REF!</v>
      </c>
    </row>
    <row r="422" spans="2:19" hidden="1" x14ac:dyDescent="0.25">
      <c r="D422" s="75"/>
      <c r="E422" s="75"/>
      <c r="F422" s="73"/>
      <c r="G422" s="75"/>
      <c r="H422" s="75"/>
      <c r="I422" s="17"/>
      <c r="J422" s="75"/>
      <c r="K422" s="68" t="e">
        <f>K421-K435</f>
        <v>#REF!</v>
      </c>
      <c r="L422" s="68" t="e">
        <f t="shared" ref="L422:N422" si="479">L421-L435</f>
        <v>#REF!</v>
      </c>
      <c r="M422" s="68" t="e">
        <f t="shared" si="479"/>
        <v>#REF!</v>
      </c>
      <c r="N422" s="68" t="e">
        <f t="shared" si="479"/>
        <v>#REF!</v>
      </c>
      <c r="O422" s="68" t="e">
        <f>O421-O435</f>
        <v>#REF!</v>
      </c>
      <c r="P422" s="68" t="e">
        <f t="shared" ref="P422" si="480">P421-P435</f>
        <v>#REF!</v>
      </c>
      <c r="Q422" s="68" t="e">
        <f>Q421-Q435</f>
        <v>#REF!</v>
      </c>
      <c r="R422" s="68" t="e">
        <f t="shared" ref="R422:S422" si="481">R421-R435</f>
        <v>#REF!</v>
      </c>
      <c r="S422" s="68" t="e">
        <f t="shared" si="481"/>
        <v>#REF!</v>
      </c>
    </row>
    <row r="423" spans="2:19" hidden="1" x14ac:dyDescent="0.25">
      <c r="D423" s="75" t="s">
        <v>619</v>
      </c>
      <c r="E423" s="75"/>
      <c r="F423" s="73"/>
      <c r="G423" s="75"/>
      <c r="H423" s="75"/>
      <c r="I423" s="17"/>
      <c r="J423" s="75"/>
      <c r="K423" s="68">
        <f t="shared" ref="K423:R423" si="482">K352+K353+K354+K355+K356+K357+K360+K361+K364+K365+K366+K367+K369+K370+K371+K383+K385+K388+K389+K390+K393+K394+K395+K396+K397+K398+K399+K400+K401+K402+K403+K404+K405+K406+K407+K408+K409+K416+K417+K418+K419+K420</f>
        <v>443708327</v>
      </c>
      <c r="L423" s="68">
        <f t="shared" si="482"/>
        <v>20703955</v>
      </c>
      <c r="M423" s="68">
        <f t="shared" si="482"/>
        <v>464412282</v>
      </c>
      <c r="N423" s="68">
        <f t="shared" si="482"/>
        <v>-527955</v>
      </c>
      <c r="O423" s="68">
        <f t="shared" si="482"/>
        <v>463884327</v>
      </c>
      <c r="P423" s="68">
        <f t="shared" si="482"/>
        <v>-809275</v>
      </c>
      <c r="Q423" s="68">
        <f t="shared" si="482"/>
        <v>470157052</v>
      </c>
      <c r="R423" s="68">
        <f t="shared" si="482"/>
        <v>22097681.169999998</v>
      </c>
      <c r="S423" s="68">
        <f>S352+S353+S354+S355+S356+S357+S360+S361+S364+S365+S366+S367+S369+S370+S371+S383+S385+S388+S389+S390+S393+S394+S395+S396+S397+S398+S399+S400+S401+S402+S403+S404+S405+S406+S407+S408+S409+S416+S417+S418+S419+S420</f>
        <v>492254733.16999996</v>
      </c>
    </row>
    <row r="424" spans="2:19" hidden="1" x14ac:dyDescent="0.25">
      <c r="D424" s="75" t="s">
        <v>583</v>
      </c>
      <c r="E424" s="75"/>
      <c r="F424" s="73"/>
      <c r="G424" s="75"/>
      <c r="H424" s="75"/>
      <c r="I424" s="17"/>
      <c r="J424" s="75"/>
      <c r="K424" s="68">
        <f t="shared" ref="K424:R424" si="483">K368+K372+K373+K374+K375+K376+K377+K378+K379+K380+K381+K382+K384+K386+K387+K392+K415</f>
        <v>109881825</v>
      </c>
      <c r="L424" s="68">
        <f t="shared" si="483"/>
        <v>4802500</v>
      </c>
      <c r="M424" s="68">
        <f t="shared" si="483"/>
        <v>114684325</v>
      </c>
      <c r="N424" s="68">
        <f t="shared" si="483"/>
        <v>-7401</v>
      </c>
      <c r="O424" s="68">
        <f t="shared" si="483"/>
        <v>136171951</v>
      </c>
      <c r="P424" s="68">
        <f t="shared" si="483"/>
        <v>-4004655</v>
      </c>
      <c r="Q424" s="68">
        <f t="shared" si="483"/>
        <v>140178871</v>
      </c>
      <c r="R424" s="68">
        <f t="shared" si="483"/>
        <v>13837262.51</v>
      </c>
      <c r="S424" s="68">
        <f>S368+S372+S373+S374+S375+S376+S377+S378+S379+S380+S381+S382+S384+S386+S387+S392+S415</f>
        <v>154016133.50999999</v>
      </c>
    </row>
    <row r="425" spans="2:19" hidden="1" x14ac:dyDescent="0.25">
      <c r="B425" s="69" t="s">
        <v>682</v>
      </c>
      <c r="D425" s="75" t="s">
        <v>622</v>
      </c>
      <c r="E425" s="75"/>
      <c r="F425" s="73"/>
      <c r="G425" s="75"/>
      <c r="H425" s="75"/>
      <c r="I425" s="17"/>
      <c r="J425" s="75"/>
      <c r="K425" s="68" t="e">
        <f>K410+K411+K413+K414+K292</f>
        <v>#REF!</v>
      </c>
      <c r="L425" s="68" t="e">
        <f t="shared" ref="L425:S425" si="484">L410+L411+L413+L414+L292</f>
        <v>#REF!</v>
      </c>
      <c r="M425" s="68" t="e">
        <f t="shared" si="484"/>
        <v>#REF!</v>
      </c>
      <c r="N425" s="68" t="e">
        <f t="shared" si="484"/>
        <v>#REF!</v>
      </c>
      <c r="O425" s="68" t="e">
        <f t="shared" si="484"/>
        <v>#REF!</v>
      </c>
      <c r="P425" s="68" t="e">
        <f t="shared" si="484"/>
        <v>#REF!</v>
      </c>
      <c r="Q425" s="68" t="e">
        <f t="shared" si="484"/>
        <v>#REF!</v>
      </c>
      <c r="R425" s="68" t="e">
        <f t="shared" si="484"/>
        <v>#REF!</v>
      </c>
      <c r="S425" s="68" t="e">
        <f t="shared" si="484"/>
        <v>#REF!</v>
      </c>
    </row>
    <row r="426" spans="2:19" hidden="1" x14ac:dyDescent="0.25">
      <c r="D426" s="75" t="s">
        <v>621</v>
      </c>
      <c r="E426" s="75"/>
      <c r="F426" s="73"/>
      <c r="G426" s="75"/>
      <c r="H426" s="75"/>
      <c r="I426" s="17"/>
      <c r="J426" s="75"/>
      <c r="K426" s="68">
        <f t="shared" ref="K426:S426" si="485">K358+K359+K362+K363+K391+K86</f>
        <v>3285300</v>
      </c>
      <c r="L426" s="68">
        <f t="shared" si="485"/>
        <v>0</v>
      </c>
      <c r="M426" s="68">
        <f t="shared" si="485"/>
        <v>3285300</v>
      </c>
      <c r="N426" s="68">
        <f t="shared" si="485"/>
        <v>0</v>
      </c>
      <c r="O426" s="68">
        <f t="shared" si="485"/>
        <v>3285300</v>
      </c>
      <c r="P426" s="68">
        <f t="shared" si="485"/>
        <v>11130</v>
      </c>
      <c r="Q426" s="68">
        <f t="shared" si="485"/>
        <v>3296430</v>
      </c>
      <c r="R426" s="68">
        <f t="shared" si="485"/>
        <v>415075</v>
      </c>
      <c r="S426" s="68">
        <f t="shared" si="485"/>
        <v>3711505</v>
      </c>
    </row>
    <row r="427" spans="2:19" hidden="1" x14ac:dyDescent="0.25">
      <c r="G427" s="69"/>
      <c r="H427" s="69"/>
      <c r="I427" s="203"/>
      <c r="K427" s="152" t="e">
        <f t="shared" ref="K427:N427" si="486">K421-K423-K424-K425-K426</f>
        <v>#REF!</v>
      </c>
      <c r="L427" s="152" t="e">
        <f t="shared" si="486"/>
        <v>#REF!</v>
      </c>
      <c r="M427" s="152" t="e">
        <f t="shared" si="486"/>
        <v>#REF!</v>
      </c>
      <c r="N427" s="152" t="e">
        <f t="shared" si="486"/>
        <v>#REF!</v>
      </c>
      <c r="O427" s="152" t="e">
        <f>O421-O423-O424-O425-O426</f>
        <v>#REF!</v>
      </c>
      <c r="P427" s="152" t="e">
        <f t="shared" ref="P427:S427" si="487">P421-P423-P424-P425-P426</f>
        <v>#REF!</v>
      </c>
      <c r="Q427" s="152" t="e">
        <f t="shared" si="487"/>
        <v>#REF!</v>
      </c>
      <c r="R427" s="152" t="e">
        <f t="shared" si="487"/>
        <v>#REF!</v>
      </c>
      <c r="S427" s="152" t="e">
        <f t="shared" si="487"/>
        <v>#REF!</v>
      </c>
    </row>
    <row r="428" spans="2:19" hidden="1" x14ac:dyDescent="0.25">
      <c r="G428" s="69"/>
      <c r="H428" s="69"/>
      <c r="I428" s="203"/>
      <c r="K428" s="152"/>
      <c r="L428" s="152"/>
      <c r="M428" s="152"/>
      <c r="N428" s="152"/>
      <c r="O428" s="152"/>
      <c r="P428" s="152"/>
      <c r="Q428" s="152"/>
      <c r="R428" s="152"/>
      <c r="S428" s="152"/>
    </row>
    <row r="429" spans="2:19" hidden="1" x14ac:dyDescent="0.25">
      <c r="B429" s="69" t="s">
        <v>685</v>
      </c>
      <c r="G429" s="69"/>
      <c r="H429" s="69"/>
      <c r="I429" s="203"/>
      <c r="K429" s="152">
        <f>' Дох.15'!C76+' Дох.15'!C91</f>
        <v>6000</v>
      </c>
      <c r="L429" s="152">
        <f>' Дох.15'!F76+' Дох.15'!F91</f>
        <v>4802500</v>
      </c>
      <c r="M429" s="152">
        <f>' Дох.15'!G76+' Дох.15'!G91</f>
        <v>4808500</v>
      </c>
      <c r="N429" s="152">
        <f>' Дох.15'!H76+' Дох.15'!H91</f>
        <v>808050</v>
      </c>
      <c r="O429" s="152">
        <f>' Дох.15'!I76+' Дох.15'!I91</f>
        <v>5616550</v>
      </c>
      <c r="P429" s="152">
        <f>' Дох.15'!J76+' Дох.15'!J91</f>
        <v>-3770000</v>
      </c>
      <c r="Q429" s="152">
        <f>' Дох.15'!K76+' Дох.15'!K91+' Дох.15'!K124</f>
        <v>2007905</v>
      </c>
      <c r="R429" s="152">
        <f>' Дох.15'!L76+' Дох.15'!L91</f>
        <v>14605820</v>
      </c>
      <c r="S429" s="152">
        <f>' Дох.15'!M76+' Дох.15'!M91</f>
        <v>16452370</v>
      </c>
    </row>
    <row r="430" spans="2:19" hidden="1" x14ac:dyDescent="0.25">
      <c r="B430" s="69" t="s">
        <v>540</v>
      </c>
      <c r="G430" s="69"/>
      <c r="H430" s="69"/>
      <c r="I430" s="203"/>
      <c r="K430" s="152"/>
      <c r="L430" s="152"/>
      <c r="M430" s="152"/>
      <c r="N430" s="152"/>
      <c r="O430" s="152"/>
      <c r="P430" s="152"/>
      <c r="Q430" s="152">
        <f>' Дох.15'!K125+' Дох.15'!K120</f>
        <v>197940</v>
      </c>
      <c r="R430" s="152">
        <f>' Дох.15'!L125+' Дох.15'!L120</f>
        <v>79000</v>
      </c>
      <c r="S430" s="152">
        <f>' Дох.15'!M125+' Дох.15'!M120</f>
        <v>276940</v>
      </c>
    </row>
    <row r="431" spans="2:19" hidden="1" x14ac:dyDescent="0.25">
      <c r="G431" s="69"/>
      <c r="H431" s="69"/>
      <c r="I431" s="203"/>
      <c r="K431" s="152"/>
      <c r="L431" s="152"/>
      <c r="M431" s="152"/>
      <c r="N431" s="152"/>
      <c r="O431" s="152"/>
      <c r="P431" s="152"/>
      <c r="Q431" s="152"/>
      <c r="R431" s="152"/>
      <c r="S431" s="152"/>
    </row>
    <row r="432" spans="2:19" hidden="1" x14ac:dyDescent="0.25">
      <c r="B432" s="69" t="s">
        <v>686</v>
      </c>
      <c r="G432" s="69"/>
      <c r="H432" s="69"/>
      <c r="I432" s="203"/>
      <c r="K432" s="152">
        <f t="shared" ref="K432:N432" si="488">K429-K424</f>
        <v>-109875825</v>
      </c>
      <c r="L432" s="152">
        <f t="shared" si="488"/>
        <v>0</v>
      </c>
      <c r="M432" s="152">
        <f t="shared" si="488"/>
        <v>-109875825</v>
      </c>
      <c r="N432" s="152">
        <f t="shared" si="488"/>
        <v>815451</v>
      </c>
      <c r="O432" s="152">
        <f>O429-O424</f>
        <v>-130555401</v>
      </c>
      <c r="P432" s="152">
        <f t="shared" ref="P432" si="489">P429-P424</f>
        <v>234655</v>
      </c>
      <c r="Q432" s="152" t="e">
        <f>Q429-Q424-Q425</f>
        <v>#REF!</v>
      </c>
      <c r="R432" s="152" t="e">
        <f t="shared" ref="R432:S432" si="490">R429-R424-R425</f>
        <v>#REF!</v>
      </c>
      <c r="S432" s="152" t="e">
        <f t="shared" si="490"/>
        <v>#REF!</v>
      </c>
    </row>
    <row r="433" spans="2:19" hidden="1" x14ac:dyDescent="0.25">
      <c r="G433" s="69"/>
      <c r="H433" s="69"/>
      <c r="I433" s="203"/>
      <c r="K433" s="152"/>
      <c r="L433" s="152"/>
      <c r="M433" s="152"/>
      <c r="N433" s="152"/>
      <c r="O433" s="152"/>
      <c r="P433" s="152"/>
      <c r="Q433" s="152"/>
      <c r="R433" s="152"/>
      <c r="S433" s="152"/>
    </row>
    <row r="434" spans="2:19" hidden="1" x14ac:dyDescent="0.25">
      <c r="G434" s="69"/>
      <c r="H434" s="69"/>
      <c r="I434" s="203"/>
      <c r="K434" s="152"/>
      <c r="L434" s="152"/>
      <c r="M434" s="152"/>
      <c r="N434" s="152"/>
      <c r="O434" s="152"/>
      <c r="P434" s="152"/>
      <c r="Q434" s="152"/>
      <c r="R434" s="152"/>
      <c r="S434" s="152"/>
    </row>
    <row r="435" spans="2:19" hidden="1" x14ac:dyDescent="0.25">
      <c r="G435" s="69"/>
      <c r="H435" s="69"/>
      <c r="I435" s="69"/>
      <c r="K435" s="152">
        <f>'1 Вед15'!J395</f>
        <v>789500</v>
      </c>
      <c r="L435" s="152">
        <f>'1 Вед15'!K395</f>
        <v>0</v>
      </c>
      <c r="M435" s="152">
        <f>'1 Вед15'!L395</f>
        <v>789500</v>
      </c>
      <c r="N435" s="152">
        <f>'1 Вед15'!M395</f>
        <v>0</v>
      </c>
      <c r="O435" s="152">
        <f>'1 Вед15'!N395</f>
        <v>789500</v>
      </c>
      <c r="P435" s="152">
        <f>'1 Вед15'!O395</f>
        <v>0</v>
      </c>
      <c r="Q435" s="152">
        <f>'1 Вед15'!P395</f>
        <v>789500</v>
      </c>
      <c r="R435" s="152">
        <f>'1 Вед15'!Q395</f>
        <v>0</v>
      </c>
      <c r="S435" s="152">
        <f>'1 Вед15'!U395</f>
        <v>789500</v>
      </c>
    </row>
    <row r="436" spans="2:19" hidden="1" x14ac:dyDescent="0.25">
      <c r="G436" s="69"/>
      <c r="H436" s="69"/>
      <c r="I436" s="69"/>
      <c r="K436" s="152"/>
      <c r="L436" s="152"/>
      <c r="M436" s="152"/>
      <c r="N436" s="152"/>
      <c r="O436" s="152"/>
      <c r="P436" s="152"/>
      <c r="Q436" s="152"/>
      <c r="R436" s="152"/>
      <c r="S436" s="152"/>
    </row>
    <row r="437" spans="2:19" hidden="1" x14ac:dyDescent="0.25">
      <c r="G437" s="69"/>
      <c r="H437" s="69"/>
      <c r="I437" s="69"/>
      <c r="K437" s="152">
        <f t="shared" ref="K437:Q437" si="491">K335-K435</f>
        <v>627420</v>
      </c>
      <c r="L437" s="152">
        <f t="shared" si="491"/>
        <v>0</v>
      </c>
      <c r="M437" s="152">
        <f t="shared" si="491"/>
        <v>627420</v>
      </c>
      <c r="N437" s="152">
        <f t="shared" si="491"/>
        <v>0</v>
      </c>
      <c r="O437" s="152">
        <f t="shared" si="491"/>
        <v>627420</v>
      </c>
      <c r="P437" s="152">
        <f t="shared" si="491"/>
        <v>0</v>
      </c>
      <c r="Q437" s="152">
        <f t="shared" si="491"/>
        <v>627420</v>
      </c>
      <c r="R437" s="152">
        <f t="shared" ref="R437:S437" si="492">R335-R435</f>
        <v>0</v>
      </c>
      <c r="S437" s="152">
        <f t="shared" si="492"/>
        <v>627420</v>
      </c>
    </row>
    <row r="438" spans="2:19" hidden="1" x14ac:dyDescent="0.25">
      <c r="G438" s="69"/>
      <c r="H438" s="69"/>
      <c r="I438" s="69"/>
      <c r="K438" s="152" t="e">
        <f>#REF!</f>
        <v>#REF!</v>
      </c>
      <c r="L438" s="152" t="e">
        <f>#REF!</f>
        <v>#REF!</v>
      </c>
      <c r="M438" s="152" t="e">
        <f>#REF!</f>
        <v>#REF!</v>
      </c>
      <c r="N438" s="152" t="e">
        <f>#REF!</f>
        <v>#REF!</v>
      </c>
      <c r="O438" s="152" t="e">
        <f>#REF!</f>
        <v>#REF!</v>
      </c>
      <c r="P438" s="152" t="e">
        <f>#REF!</f>
        <v>#REF!</v>
      </c>
      <c r="Q438" s="152" t="e">
        <f>#REF!</f>
        <v>#REF!</v>
      </c>
      <c r="R438" s="152" t="e">
        <f>#REF!</f>
        <v>#REF!</v>
      </c>
      <c r="S438" s="152" t="e">
        <f>#REF!</f>
        <v>#REF!</v>
      </c>
    </row>
    <row r="439" spans="2:19" hidden="1" x14ac:dyDescent="0.25">
      <c r="G439" s="69"/>
      <c r="H439" s="69"/>
      <c r="I439" s="69"/>
      <c r="K439" s="152" t="e">
        <f t="shared" ref="K439:Q439" si="493">K335-K438</f>
        <v>#REF!</v>
      </c>
      <c r="L439" s="152" t="e">
        <f t="shared" si="493"/>
        <v>#REF!</v>
      </c>
      <c r="M439" s="152" t="e">
        <f t="shared" si="493"/>
        <v>#REF!</v>
      </c>
      <c r="N439" s="152" t="e">
        <f t="shared" si="493"/>
        <v>#REF!</v>
      </c>
      <c r="O439" s="152" t="e">
        <f t="shared" si="493"/>
        <v>#REF!</v>
      </c>
      <c r="P439" s="152" t="e">
        <f t="shared" si="493"/>
        <v>#REF!</v>
      </c>
      <c r="Q439" s="152" t="e">
        <f t="shared" si="493"/>
        <v>#REF!</v>
      </c>
      <c r="R439" s="152" t="e">
        <f t="shared" ref="R439:S439" si="494">R335-R438</f>
        <v>#REF!</v>
      </c>
      <c r="S439" s="152" t="e">
        <f t="shared" si="494"/>
        <v>#REF!</v>
      </c>
    </row>
    <row r="440" spans="2:19" hidden="1" x14ac:dyDescent="0.25">
      <c r="G440" s="69"/>
      <c r="H440" s="69"/>
      <c r="I440" s="69"/>
      <c r="K440" s="152">
        <f>' Дох.15'!C127</f>
        <v>0</v>
      </c>
      <c r="L440" s="152">
        <f>' Дох.15'!F127</f>
        <v>0</v>
      </c>
      <c r="M440" s="152">
        <f>' Дох.15'!G127</f>
        <v>0</v>
      </c>
      <c r="N440" s="152">
        <f>' Дох.15'!H127</f>
        <v>0</v>
      </c>
      <c r="O440" s="152">
        <f>' Дох.15'!I127</f>
        <v>0</v>
      </c>
      <c r="P440" s="152">
        <f>' Дох.15'!J127</f>
        <v>0</v>
      </c>
      <c r="Q440" s="152">
        <f>' Дох.15'!K127</f>
        <v>0</v>
      </c>
      <c r="R440" s="152">
        <f>' Дох.15'!L127</f>
        <v>0</v>
      </c>
      <c r="S440" s="152">
        <f>' Дох.15'!M127</f>
        <v>0</v>
      </c>
    </row>
    <row r="441" spans="2:19" hidden="1" x14ac:dyDescent="0.25">
      <c r="G441" s="69"/>
      <c r="H441" s="69"/>
      <c r="I441" s="69"/>
      <c r="K441" s="152">
        <f t="shared" ref="K441:Q441" si="495">K335-K440</f>
        <v>1416920</v>
      </c>
      <c r="L441" s="152">
        <f t="shared" si="495"/>
        <v>0</v>
      </c>
      <c r="M441" s="152">
        <f t="shared" si="495"/>
        <v>1416920</v>
      </c>
      <c r="N441" s="152">
        <f t="shared" si="495"/>
        <v>0</v>
      </c>
      <c r="O441" s="152">
        <f t="shared" si="495"/>
        <v>1416920</v>
      </c>
      <c r="P441" s="152">
        <f t="shared" si="495"/>
        <v>0</v>
      </c>
      <c r="Q441" s="152">
        <f t="shared" si="495"/>
        <v>1416920</v>
      </c>
      <c r="R441" s="152">
        <f t="shared" ref="R441:S441" si="496">R335-R440</f>
        <v>0</v>
      </c>
      <c r="S441" s="152">
        <f t="shared" si="496"/>
        <v>1416920</v>
      </c>
    </row>
    <row r="442" spans="2:19" hidden="1" x14ac:dyDescent="0.25">
      <c r="G442" s="69"/>
      <c r="H442" s="69"/>
      <c r="I442" s="69"/>
      <c r="K442" s="152">
        <f>'7.12 Ист.15'!G17</f>
        <v>4280700</v>
      </c>
      <c r="L442" s="152">
        <f>'7.12 Ист.15'!H17</f>
        <v>7983206</v>
      </c>
      <c r="M442" s="152">
        <f>'7.12 Ист.15'!I17</f>
        <v>25600</v>
      </c>
      <c r="N442" s="152">
        <f>'7.12 Ист.15'!J17</f>
        <v>8008806</v>
      </c>
      <c r="O442" s="152">
        <f>'7.12 Ист.15'!K17</f>
        <v>452200.59999999963</v>
      </c>
      <c r="P442" s="152">
        <f>'7.12 Ист.15'!L17</f>
        <v>8461006.599999994</v>
      </c>
      <c r="Q442" s="152" t="e">
        <f>'7.12 Ист.15'!#REF!</f>
        <v>#REF!</v>
      </c>
      <c r="R442" s="152" t="e">
        <f>'7.12 Ист.15'!#REF!</f>
        <v>#REF!</v>
      </c>
      <c r="S442" s="152">
        <f>'7.12 Ист.15'!M17</f>
        <v>-8095929.8500000006</v>
      </c>
    </row>
    <row r="443" spans="2:19" hidden="1" x14ac:dyDescent="0.25">
      <c r="G443" s="69"/>
      <c r="H443" s="69"/>
      <c r="I443" s="106"/>
      <c r="K443" s="152">
        <f t="shared" ref="K443:Q443" si="497">K335-K440-K442</f>
        <v>-2863780</v>
      </c>
      <c r="L443" s="152">
        <f t="shared" si="497"/>
        <v>-7983206</v>
      </c>
      <c r="M443" s="152">
        <f t="shared" si="497"/>
        <v>1391320</v>
      </c>
      <c r="N443" s="152">
        <f t="shared" si="497"/>
        <v>-8008806</v>
      </c>
      <c r="O443" s="152">
        <f t="shared" si="497"/>
        <v>964719.40000000037</v>
      </c>
      <c r="P443" s="152">
        <f t="shared" si="497"/>
        <v>-8461006.599999994</v>
      </c>
      <c r="Q443" s="152" t="e">
        <f t="shared" si="497"/>
        <v>#REF!</v>
      </c>
      <c r="R443" s="152" t="e">
        <f t="shared" ref="R443:S443" si="498">R335-R440-R442</f>
        <v>#REF!</v>
      </c>
      <c r="S443" s="152">
        <f t="shared" si="498"/>
        <v>9512849.8500000015</v>
      </c>
    </row>
    <row r="444" spans="2:19" hidden="1" x14ac:dyDescent="0.25">
      <c r="G444" s="69"/>
      <c r="H444" s="69"/>
      <c r="I444" s="202"/>
      <c r="K444" s="152"/>
    </row>
    <row r="445" spans="2:19" hidden="1" x14ac:dyDescent="0.25">
      <c r="F445" s="69"/>
      <c r="G445" s="69"/>
      <c r="H445" s="69"/>
      <c r="I445" s="203"/>
      <c r="K445" s="152"/>
    </row>
    <row r="446" spans="2:19" hidden="1" x14ac:dyDescent="0.25">
      <c r="F446" s="69"/>
      <c r="G446" s="69"/>
      <c r="H446" s="69"/>
      <c r="I446" s="202"/>
      <c r="K446" s="152"/>
    </row>
    <row r="447" spans="2:19" hidden="1" x14ac:dyDescent="0.25">
      <c r="B447" s="5" t="s">
        <v>417</v>
      </c>
      <c r="F447" s="69"/>
      <c r="G447" s="69"/>
      <c r="H447" s="69"/>
      <c r="I447" s="202"/>
      <c r="K447" s="152" t="e">
        <f>#REF!+#REF!+#REF!+#REF!+#REF!+#REF!</f>
        <v>#REF!</v>
      </c>
    </row>
    <row r="448" spans="2:19" hidden="1" x14ac:dyDescent="0.25">
      <c r="B448" s="5" t="s">
        <v>418</v>
      </c>
      <c r="F448" s="69"/>
      <c r="G448" s="69"/>
      <c r="H448" s="69"/>
      <c r="I448" s="202"/>
      <c r="K448" s="152" t="e">
        <f>#REF!+#REF!+#REF!+#REF!+#REF!+#REF!</f>
        <v>#REF!</v>
      </c>
    </row>
    <row r="449" spans="2:23" hidden="1" x14ac:dyDescent="0.25">
      <c r="F449" s="69"/>
      <c r="G449" s="69"/>
      <c r="H449" s="69"/>
      <c r="I449" s="203"/>
      <c r="K449" s="152"/>
    </row>
    <row r="450" spans="2:23" hidden="1" x14ac:dyDescent="0.25">
      <c r="F450" s="69"/>
      <c r="I450" s="202"/>
      <c r="K450" s="152"/>
    </row>
    <row r="451" spans="2:23" hidden="1" x14ac:dyDescent="0.25">
      <c r="B451" s="69" t="s">
        <v>420</v>
      </c>
      <c r="F451" s="69"/>
      <c r="I451" s="202"/>
      <c r="K451" s="152" t="e">
        <f>#REF!+#REF!+#REF!+#REF!+#REF!+#REF!+#REF!+#REF!+#REF!</f>
        <v>#REF!</v>
      </c>
    </row>
    <row r="452" spans="2:23" hidden="1" x14ac:dyDescent="0.25">
      <c r="F452" s="69"/>
      <c r="I452" s="202"/>
    </row>
    <row r="453" spans="2:23" x14ac:dyDescent="0.25">
      <c r="F453" s="69"/>
      <c r="I453" s="204"/>
    </row>
    <row r="454" spans="2:23" x14ac:dyDescent="0.25">
      <c r="F454" s="69"/>
      <c r="I454" s="202"/>
    </row>
    <row r="455" spans="2:23" x14ac:dyDescent="0.25">
      <c r="F455" s="69"/>
      <c r="I455" s="106"/>
      <c r="W455" s="152"/>
    </row>
    <row r="456" spans="2:23" x14ac:dyDescent="0.25">
      <c r="F456" s="69"/>
      <c r="I456" s="106"/>
    </row>
    <row r="457" spans="2:23" x14ac:dyDescent="0.25">
      <c r="F457" s="69"/>
      <c r="I457" s="106"/>
    </row>
    <row r="458" spans="2:23" x14ac:dyDescent="0.25">
      <c r="F458" s="69"/>
      <c r="G458" s="69"/>
      <c r="H458" s="69"/>
      <c r="I458" s="106"/>
    </row>
    <row r="459" spans="2:23" x14ac:dyDescent="0.25">
      <c r="F459" s="69"/>
      <c r="G459" s="69"/>
      <c r="H459" s="69"/>
      <c r="I459" s="106"/>
    </row>
    <row r="460" spans="2:23" x14ac:dyDescent="0.25">
      <c r="F460" s="69"/>
      <c r="G460" s="69"/>
      <c r="H460" s="69"/>
      <c r="I460" s="69"/>
    </row>
    <row r="461" spans="2:23" x14ac:dyDescent="0.25">
      <c r="F461" s="69"/>
      <c r="G461" s="69"/>
      <c r="H461" s="69"/>
      <c r="I461" s="69"/>
    </row>
    <row r="462" spans="2:23" x14ac:dyDescent="0.25">
      <c r="F462" s="69"/>
      <c r="G462" s="69"/>
      <c r="H462" s="69"/>
      <c r="I462" s="69"/>
    </row>
    <row r="463" spans="2:23" x14ac:dyDescent="0.25">
      <c r="F463" s="69"/>
      <c r="G463" s="69"/>
      <c r="H463" s="69"/>
      <c r="I463" s="69"/>
    </row>
    <row r="464" spans="2:23" x14ac:dyDescent="0.25">
      <c r="F464" s="69"/>
      <c r="I464" s="69"/>
    </row>
    <row r="465" spans="4:9" x14ac:dyDescent="0.25">
      <c r="F465" s="69"/>
      <c r="G465" s="69"/>
      <c r="H465" s="69"/>
      <c r="I465" s="69"/>
    </row>
    <row r="466" spans="4:9" x14ac:dyDescent="0.25">
      <c r="F466" s="69"/>
      <c r="I466" s="69"/>
    </row>
    <row r="467" spans="4:9" x14ac:dyDescent="0.25">
      <c r="F467" s="69"/>
      <c r="I467" s="69"/>
    </row>
    <row r="468" spans="4:9" x14ac:dyDescent="0.25">
      <c r="F468" s="69"/>
      <c r="I468" s="69"/>
    </row>
    <row r="469" spans="4:9" x14ac:dyDescent="0.25">
      <c r="F469" s="69"/>
      <c r="I469" s="69"/>
    </row>
    <row r="470" spans="4:9" x14ac:dyDescent="0.25">
      <c r="F470" s="69"/>
      <c r="I470" s="69"/>
    </row>
    <row r="471" spans="4:9" x14ac:dyDescent="0.25">
      <c r="F471" s="69"/>
      <c r="I471" s="69"/>
    </row>
    <row r="472" spans="4:9" x14ac:dyDescent="0.25">
      <c r="F472" s="69"/>
      <c r="G472" s="69"/>
      <c r="H472" s="69"/>
      <c r="I472" s="69"/>
    </row>
    <row r="473" spans="4:9" x14ac:dyDescent="0.25">
      <c r="F473" s="69"/>
      <c r="I473" s="69"/>
    </row>
    <row r="474" spans="4:9" x14ac:dyDescent="0.25">
      <c r="F474" s="69"/>
      <c r="I474" s="69"/>
    </row>
    <row r="475" spans="4:9" x14ac:dyDescent="0.25">
      <c r="F475" s="69"/>
      <c r="I475" s="69"/>
    </row>
    <row r="476" spans="4:9" x14ac:dyDescent="0.25">
      <c r="F476" s="69"/>
      <c r="I476" s="69"/>
    </row>
    <row r="477" spans="4:9" x14ac:dyDescent="0.25">
      <c r="F477" s="69"/>
      <c r="I477" s="69"/>
    </row>
    <row r="478" spans="4:9" x14ac:dyDescent="0.25">
      <c r="F478" s="69"/>
      <c r="I478" s="69"/>
    </row>
    <row r="479" spans="4:9" x14ac:dyDescent="0.25">
      <c r="D479" s="106"/>
      <c r="E479" s="106"/>
      <c r="F479" s="106"/>
      <c r="G479" s="241"/>
      <c r="H479" s="241"/>
      <c r="I479" s="106"/>
    </row>
    <row r="480" spans="4:9" x14ac:dyDescent="0.25">
      <c r="D480" s="106"/>
      <c r="E480" s="106"/>
      <c r="F480" s="241"/>
      <c r="G480" s="241"/>
      <c r="H480" s="241"/>
      <c r="I480" s="202"/>
    </row>
    <row r="481" spans="4:9" x14ac:dyDescent="0.25">
      <c r="D481" s="106"/>
      <c r="E481" s="106"/>
      <c r="F481" s="106"/>
      <c r="G481" s="241"/>
      <c r="H481" s="241"/>
      <c r="I481" s="202"/>
    </row>
    <row r="482" spans="4:9" x14ac:dyDescent="0.25">
      <c r="D482" s="106"/>
      <c r="E482" s="106"/>
      <c r="F482" s="106"/>
      <c r="G482" s="241"/>
      <c r="H482" s="241"/>
      <c r="I482" s="202"/>
    </row>
    <row r="483" spans="4:9" x14ac:dyDescent="0.25">
      <c r="D483" s="106"/>
      <c r="E483" s="106"/>
      <c r="F483" s="106"/>
      <c r="G483" s="241"/>
      <c r="H483" s="241"/>
      <c r="I483" s="202"/>
    </row>
    <row r="484" spans="4:9" x14ac:dyDescent="0.25">
      <c r="D484" s="106"/>
      <c r="E484" s="106"/>
      <c r="F484" s="106"/>
      <c r="G484" s="106"/>
      <c r="H484" s="106"/>
      <c r="I484" s="106"/>
    </row>
    <row r="485" spans="4:9" x14ac:dyDescent="0.25">
      <c r="F485" s="69"/>
      <c r="G485" s="69"/>
      <c r="H485" s="69"/>
      <c r="I485" s="69"/>
    </row>
    <row r="486" spans="4:9" x14ac:dyDescent="0.25">
      <c r="F486" s="69"/>
      <c r="G486" s="69"/>
      <c r="H486" s="69"/>
      <c r="I486" s="69"/>
    </row>
    <row r="487" spans="4:9" x14ac:dyDescent="0.25">
      <c r="F487" s="69"/>
      <c r="G487" s="69"/>
      <c r="H487" s="69"/>
      <c r="I487" s="69"/>
    </row>
    <row r="488" spans="4:9" x14ac:dyDescent="0.25">
      <c r="F488" s="69"/>
      <c r="G488" s="69"/>
      <c r="H488" s="69"/>
      <c r="I488" s="69"/>
    </row>
  </sheetData>
  <mergeCells count="121">
    <mergeCell ref="A352:B352"/>
    <mergeCell ref="A237:B237"/>
    <mergeCell ref="A240:B240"/>
    <mergeCell ref="A251:B251"/>
    <mergeCell ref="A254:B254"/>
    <mergeCell ref="A276:B276"/>
    <mergeCell ref="A279:B279"/>
    <mergeCell ref="A280:B280"/>
    <mergeCell ref="A281:B281"/>
    <mergeCell ref="A292:B292"/>
    <mergeCell ref="A326:B326"/>
    <mergeCell ref="A261:B261"/>
    <mergeCell ref="A315:B315"/>
    <mergeCell ref="A312:B312"/>
    <mergeCell ref="A289:B289"/>
    <mergeCell ref="A295:B295"/>
    <mergeCell ref="A107:B107"/>
    <mergeCell ref="A305:B305"/>
    <mergeCell ref="A65:B65"/>
    <mergeCell ref="A331:B331"/>
    <mergeCell ref="A332:B332"/>
    <mergeCell ref="A335:B335"/>
    <mergeCell ref="A336:B336"/>
    <mergeCell ref="A339:B339"/>
    <mergeCell ref="A347:B347"/>
    <mergeCell ref="A196:B196"/>
    <mergeCell ref="A300:B300"/>
    <mergeCell ref="A58:B58"/>
    <mergeCell ref="E1:L1"/>
    <mergeCell ref="A154:B154"/>
    <mergeCell ref="A155:B155"/>
    <mergeCell ref="A8:B8"/>
    <mergeCell ref="A36:B36"/>
    <mergeCell ref="A44:B44"/>
    <mergeCell ref="A47:B47"/>
    <mergeCell ref="A55:B55"/>
    <mergeCell ref="A31:B31"/>
    <mergeCell ref="A41:B41"/>
    <mergeCell ref="A50:B50"/>
    <mergeCell ref="A22:B22"/>
    <mergeCell ref="A151:B151"/>
    <mergeCell ref="E3:K3"/>
    <mergeCell ref="A124:B124"/>
    <mergeCell ref="A71:B71"/>
    <mergeCell ref="A113:B113"/>
    <mergeCell ref="A116:B116"/>
    <mergeCell ref="G6:H6"/>
    <mergeCell ref="A25:B25"/>
    <mergeCell ref="A104:B104"/>
    <mergeCell ref="A267:B267"/>
    <mergeCell ref="A110:B110"/>
    <mergeCell ref="A85:B85"/>
    <mergeCell ref="A28:B28"/>
    <mergeCell ref="A159:B159"/>
    <mergeCell ref="A164:B164"/>
    <mergeCell ref="A234:B234"/>
    <mergeCell ref="A7:B7"/>
    <mergeCell ref="A9:B9"/>
    <mergeCell ref="A10:B10"/>
    <mergeCell ref="A13:B13"/>
    <mergeCell ref="A99:B99"/>
    <mergeCell ref="A91:B91"/>
    <mergeCell ref="A121:B121"/>
    <mergeCell ref="A231:B231"/>
    <mergeCell ref="A190:B190"/>
    <mergeCell ref="A189:B189"/>
    <mergeCell ref="A180:B180"/>
    <mergeCell ref="A185:B185"/>
    <mergeCell ref="A188:B188"/>
    <mergeCell ref="A172:B172"/>
    <mergeCell ref="A177:B177"/>
    <mergeCell ref="A193:B193"/>
    <mergeCell ref="A88:B88"/>
    <mergeCell ref="A139:B139"/>
    <mergeCell ref="A199:B199"/>
    <mergeCell ref="B149:C149"/>
    <mergeCell ref="A318:B318"/>
    <mergeCell ref="A321:B321"/>
    <mergeCell ref="A322:B322"/>
    <mergeCell ref="A323:B323"/>
    <mergeCell ref="A76:B76"/>
    <mergeCell ref="A79:B79"/>
    <mergeCell ref="A82:B82"/>
    <mergeCell ref="A228:B228"/>
    <mergeCell ref="A142:B142"/>
    <mergeCell ref="A148:B148"/>
    <mergeCell ref="A160:B160"/>
    <mergeCell ref="A169:B169"/>
    <mergeCell ref="A117:B117"/>
    <mergeCell ref="A125:B125"/>
    <mergeCell ref="A156:B156"/>
    <mergeCell ref="A167:B167"/>
    <mergeCell ref="A200:B200"/>
    <mergeCell ref="A210:B210"/>
    <mergeCell ref="A213:B213"/>
    <mergeCell ref="A223:B223"/>
    <mergeCell ref="A264:B264"/>
    <mergeCell ref="A145:B145"/>
    <mergeCell ref="A270:B270"/>
    <mergeCell ref="A161:B161"/>
    <mergeCell ref="A168:B168"/>
    <mergeCell ref="A181:B181"/>
    <mergeCell ref="A182:B182"/>
    <mergeCell ref="A68:B68"/>
    <mergeCell ref="A346:B346"/>
    <mergeCell ref="E2:X2"/>
    <mergeCell ref="E4:X4"/>
    <mergeCell ref="A5:X5"/>
    <mergeCell ref="A273:B273"/>
    <mergeCell ref="A309:B309"/>
    <mergeCell ref="A201:B201"/>
    <mergeCell ref="A204:B204"/>
    <mergeCell ref="A207:B207"/>
    <mergeCell ref="A245:B245"/>
    <mergeCell ref="A248:B248"/>
    <mergeCell ref="A96:B96"/>
    <mergeCell ref="A118:B118"/>
    <mergeCell ref="A126:B126"/>
    <mergeCell ref="A129:B129"/>
    <mergeCell ref="A132:B132"/>
    <mergeCell ref="A135:B135"/>
  </mergeCells>
  <pageMargins left="0.70866141732283472" right="0.51181102362204722" top="0.19685039370078741" bottom="0.19685039370078741" header="0.31496062992125984" footer="0.31496062992125984"/>
  <pageSetup paperSize="9"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tabSelected="1" workbookViewId="0">
      <selection activeCell="J6" sqref="J6"/>
    </sheetView>
  </sheetViews>
  <sheetFormatPr defaultRowHeight="15" x14ac:dyDescent="0.25"/>
  <cols>
    <col min="1" max="1" width="4.42578125" customWidth="1"/>
    <col min="2" max="2" width="41.7109375" customWidth="1"/>
    <col min="3" max="3" width="40.85546875" hidden="1" customWidth="1"/>
    <col min="4" max="4" width="9.140625" hidden="1" customWidth="1"/>
    <col min="5" max="5" width="14.7109375" hidden="1" customWidth="1"/>
    <col min="6" max="6" width="13.140625" hidden="1" customWidth="1"/>
    <col min="7" max="7" width="40.7109375" customWidth="1"/>
  </cols>
  <sheetData>
    <row r="1" spans="1:10" x14ac:dyDescent="0.25">
      <c r="A1" s="44"/>
      <c r="B1" s="44"/>
      <c r="F1" s="318"/>
      <c r="G1" s="318" t="s">
        <v>505</v>
      </c>
    </row>
    <row r="2" spans="1:10" ht="72" customHeight="1" x14ac:dyDescent="0.25">
      <c r="A2" s="44"/>
      <c r="B2" s="44"/>
      <c r="F2" s="149"/>
      <c r="G2" s="149" t="s">
        <v>592</v>
      </c>
    </row>
    <row r="3" spans="1:10" s="44" customFormat="1" ht="15" customHeight="1" x14ac:dyDescent="0.2">
      <c r="A3" s="42"/>
      <c r="B3" s="43"/>
      <c r="F3" s="319"/>
      <c r="G3" s="319" t="s">
        <v>521</v>
      </c>
    </row>
    <row r="4" spans="1:10" s="44" customFormat="1" ht="50.25" customHeight="1" x14ac:dyDescent="0.2">
      <c r="A4" s="42"/>
      <c r="B4" s="43"/>
      <c r="F4" s="149"/>
      <c r="G4" s="149" t="s">
        <v>432</v>
      </c>
      <c r="H4" s="149"/>
      <c r="I4" s="149"/>
    </row>
    <row r="5" spans="1:10" s="44" customFormat="1" ht="18" customHeight="1" x14ac:dyDescent="0.2">
      <c r="A5" s="42"/>
      <c r="B5" s="43"/>
      <c r="F5" s="149"/>
      <c r="G5" s="149" t="s">
        <v>750</v>
      </c>
    </row>
    <row r="6" spans="1:10" s="59" customFormat="1" ht="48" customHeight="1" x14ac:dyDescent="0.25">
      <c r="A6" s="57"/>
      <c r="B6" s="363" t="s">
        <v>751</v>
      </c>
      <c r="C6" s="363"/>
      <c r="D6" s="363"/>
      <c r="E6" s="363"/>
      <c r="F6" s="363"/>
      <c r="G6" s="363"/>
    </row>
    <row r="7" spans="1:10" s="44" customFormat="1" ht="12.75" x14ac:dyDescent="0.2">
      <c r="A7" s="42"/>
      <c r="B7" s="214"/>
      <c r="C7" s="214"/>
    </row>
    <row r="8" spans="1:10" s="48" customFormat="1" ht="27.75" customHeight="1" x14ac:dyDescent="0.25">
      <c r="A8" s="229" t="s">
        <v>169</v>
      </c>
      <c r="B8" s="229" t="s">
        <v>170</v>
      </c>
      <c r="C8" s="281" t="s">
        <v>171</v>
      </c>
      <c r="D8" s="222" t="s">
        <v>612</v>
      </c>
      <c r="E8" s="222" t="s">
        <v>613</v>
      </c>
      <c r="F8" s="222" t="s">
        <v>752</v>
      </c>
      <c r="G8" s="222" t="s">
        <v>171</v>
      </c>
    </row>
    <row r="9" spans="1:10" s="86" customFormat="1" ht="30" customHeight="1" x14ac:dyDescent="0.25">
      <c r="A9" s="217">
        <v>1</v>
      </c>
      <c r="B9" s="215" t="s">
        <v>172</v>
      </c>
      <c r="C9" s="216">
        <v>2783568</v>
      </c>
      <c r="D9" s="284">
        <v>-278356</v>
      </c>
      <c r="E9" s="240">
        <f>C9+D9</f>
        <v>2505212</v>
      </c>
      <c r="F9" s="284"/>
      <c r="G9" s="240">
        <f>E9+F9</f>
        <v>2505212</v>
      </c>
      <c r="H9" s="282"/>
      <c r="J9" s="283"/>
    </row>
    <row r="10" spans="1:10" s="86" customFormat="1" ht="30" customHeight="1" x14ac:dyDescent="0.25">
      <c r="A10" s="217">
        <v>2</v>
      </c>
      <c r="B10" s="215" t="s">
        <v>173</v>
      </c>
      <c r="C10" s="216">
        <v>1045409</v>
      </c>
      <c r="D10" s="284">
        <v>-104541</v>
      </c>
      <c r="E10" s="240">
        <f t="shared" ref="E10:E14" si="0">C10+D10</f>
        <v>940868</v>
      </c>
      <c r="F10" s="284"/>
      <c r="G10" s="240">
        <f t="shared" ref="G10:G14" si="1">E10+F10</f>
        <v>940868</v>
      </c>
      <c r="H10" s="282"/>
      <c r="J10" s="283"/>
    </row>
    <row r="11" spans="1:10" s="86" customFormat="1" ht="30" customHeight="1" x14ac:dyDescent="0.25">
      <c r="A11" s="217">
        <v>3</v>
      </c>
      <c r="B11" s="215" t="s">
        <v>174</v>
      </c>
      <c r="C11" s="216">
        <v>1413904</v>
      </c>
      <c r="D11" s="284">
        <v>-141390</v>
      </c>
      <c r="E11" s="240">
        <f t="shared" si="0"/>
        <v>1272514</v>
      </c>
      <c r="F11" s="284"/>
      <c r="G11" s="240">
        <f t="shared" si="1"/>
        <v>1272514</v>
      </c>
      <c r="H11" s="282"/>
      <c r="J11" s="283"/>
    </row>
    <row r="12" spans="1:10" s="86" customFormat="1" ht="30" customHeight="1" x14ac:dyDescent="0.25">
      <c r="A12" s="217">
        <v>4</v>
      </c>
      <c r="B12" s="215" t="s">
        <v>175</v>
      </c>
      <c r="C12" s="216">
        <v>1152814</v>
      </c>
      <c r="D12" s="284">
        <v>-115282</v>
      </c>
      <c r="E12" s="240">
        <f t="shared" si="0"/>
        <v>1037532</v>
      </c>
      <c r="F12" s="284"/>
      <c r="G12" s="240">
        <f t="shared" si="1"/>
        <v>1037532</v>
      </c>
      <c r="H12" s="282"/>
      <c r="J12" s="283"/>
    </row>
    <row r="13" spans="1:10" s="86" customFormat="1" ht="30" customHeight="1" x14ac:dyDescent="0.25">
      <c r="A13" s="217">
        <v>5</v>
      </c>
      <c r="B13" s="215" t="s">
        <v>176</v>
      </c>
      <c r="C13" s="216">
        <v>1035504</v>
      </c>
      <c r="D13" s="284">
        <v>-103550</v>
      </c>
      <c r="E13" s="240">
        <f t="shared" si="0"/>
        <v>931954</v>
      </c>
      <c r="F13" s="284"/>
      <c r="G13" s="240">
        <f t="shared" si="1"/>
        <v>931954</v>
      </c>
      <c r="H13" s="282"/>
      <c r="J13" s="283"/>
    </row>
    <row r="14" spans="1:10" s="86" customFormat="1" ht="30" customHeight="1" x14ac:dyDescent="0.25">
      <c r="A14" s="217">
        <v>6</v>
      </c>
      <c r="B14" s="215" t="s">
        <v>177</v>
      </c>
      <c r="C14" s="216">
        <v>1175801</v>
      </c>
      <c r="D14" s="284">
        <v>-117581</v>
      </c>
      <c r="E14" s="240">
        <f t="shared" si="0"/>
        <v>1058220</v>
      </c>
      <c r="F14" s="239">
        <v>100000</v>
      </c>
      <c r="G14" s="240">
        <f t="shared" si="1"/>
        <v>1158220</v>
      </c>
      <c r="H14" s="282"/>
      <c r="J14" s="283"/>
    </row>
    <row r="15" spans="1:10" s="91" customFormat="1" ht="30" customHeight="1" x14ac:dyDescent="0.25">
      <c r="A15" s="218"/>
      <c r="B15" s="219" t="s">
        <v>9</v>
      </c>
      <c r="C15" s="220">
        <f>SUM(C9:C14)</f>
        <v>8607000</v>
      </c>
      <c r="D15" s="220">
        <f t="shared" ref="D15:G15" si="2">SUM(D9:D14)</f>
        <v>-860700</v>
      </c>
      <c r="E15" s="220">
        <f t="shared" si="2"/>
        <v>7746300</v>
      </c>
      <c r="F15" s="220">
        <f t="shared" si="2"/>
        <v>100000</v>
      </c>
      <c r="G15" s="220">
        <f t="shared" si="2"/>
        <v>7846300</v>
      </c>
    </row>
    <row r="16" spans="1:10" x14ac:dyDescent="0.25">
      <c r="A16" s="285"/>
      <c r="B16" s="285"/>
      <c r="C16" s="285"/>
      <c r="D16" s="285"/>
      <c r="E16" s="285"/>
      <c r="F16" s="285"/>
      <c r="G16" s="285"/>
    </row>
  </sheetData>
  <mergeCells count="1">
    <mergeCell ref="B6:G6"/>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workbookViewId="0">
      <selection activeCell="E8" sqref="E8"/>
    </sheetView>
  </sheetViews>
  <sheetFormatPr defaultRowHeight="12.75" x14ac:dyDescent="0.2"/>
  <cols>
    <col min="1" max="1" width="4.140625" style="44" customWidth="1"/>
    <col min="2" max="2" width="49" style="44" customWidth="1"/>
    <col min="3" max="3" width="18.7109375" style="44" hidden="1" customWidth="1"/>
    <col min="4" max="4" width="13" style="44" hidden="1" customWidth="1"/>
    <col min="5" max="5" width="40.5703125" style="44" customWidth="1"/>
    <col min="6" max="252" width="9.140625" style="44"/>
    <col min="253" max="253" width="4.140625" style="44" customWidth="1"/>
    <col min="254" max="254" width="58.85546875" style="44" customWidth="1"/>
    <col min="255" max="255" width="32.85546875" style="44" customWidth="1"/>
    <col min="256" max="508" width="9.140625" style="44"/>
    <col min="509" max="509" width="4.140625" style="44" customWidth="1"/>
    <col min="510" max="510" width="58.85546875" style="44" customWidth="1"/>
    <col min="511" max="511" width="32.85546875" style="44" customWidth="1"/>
    <col min="512" max="764" width="9.140625" style="44"/>
    <col min="765" max="765" width="4.140625" style="44" customWidth="1"/>
    <col min="766" max="766" width="58.85546875" style="44" customWidth="1"/>
    <col min="767" max="767" width="32.85546875" style="44" customWidth="1"/>
    <col min="768" max="1020" width="9.140625" style="44"/>
    <col min="1021" max="1021" width="4.140625" style="44" customWidth="1"/>
    <col min="1022" max="1022" width="58.85546875" style="44" customWidth="1"/>
    <col min="1023" max="1023" width="32.85546875" style="44" customWidth="1"/>
    <col min="1024" max="1276" width="9.140625" style="44"/>
    <col min="1277" max="1277" width="4.140625" style="44" customWidth="1"/>
    <col min="1278" max="1278" width="58.85546875" style="44" customWidth="1"/>
    <col min="1279" max="1279" width="32.85546875" style="44" customWidth="1"/>
    <col min="1280" max="1532" width="9.140625" style="44"/>
    <col min="1533" max="1533" width="4.140625" style="44" customWidth="1"/>
    <col min="1534" max="1534" width="58.85546875" style="44" customWidth="1"/>
    <col min="1535" max="1535" width="32.85546875" style="44" customWidth="1"/>
    <col min="1536" max="1788" width="9.140625" style="44"/>
    <col min="1789" max="1789" width="4.140625" style="44" customWidth="1"/>
    <col min="1790" max="1790" width="58.85546875" style="44" customWidth="1"/>
    <col min="1791" max="1791" width="32.85546875" style="44" customWidth="1"/>
    <col min="1792" max="2044" width="9.140625" style="44"/>
    <col min="2045" max="2045" width="4.140625" style="44" customWidth="1"/>
    <col min="2046" max="2046" width="58.85546875" style="44" customWidth="1"/>
    <col min="2047" max="2047" width="32.85546875" style="44" customWidth="1"/>
    <col min="2048" max="2300" width="9.140625" style="44"/>
    <col min="2301" max="2301" width="4.140625" style="44" customWidth="1"/>
    <col min="2302" max="2302" width="58.85546875" style="44" customWidth="1"/>
    <col min="2303" max="2303" width="32.85546875" style="44" customWidth="1"/>
    <col min="2304" max="2556" width="9.140625" style="44"/>
    <col min="2557" max="2557" width="4.140625" style="44" customWidth="1"/>
    <col min="2558" max="2558" width="58.85546875" style="44" customWidth="1"/>
    <col min="2559" max="2559" width="32.85546875" style="44" customWidth="1"/>
    <col min="2560" max="2812" width="9.140625" style="44"/>
    <col min="2813" max="2813" width="4.140625" style="44" customWidth="1"/>
    <col min="2814" max="2814" width="58.85546875" style="44" customWidth="1"/>
    <col min="2815" max="2815" width="32.85546875" style="44" customWidth="1"/>
    <col min="2816" max="3068" width="9.140625" style="44"/>
    <col min="3069" max="3069" width="4.140625" style="44" customWidth="1"/>
    <col min="3070" max="3070" width="58.85546875" style="44" customWidth="1"/>
    <col min="3071" max="3071" width="32.85546875" style="44" customWidth="1"/>
    <col min="3072" max="3324" width="9.140625" style="44"/>
    <col min="3325" max="3325" width="4.140625" style="44" customWidth="1"/>
    <col min="3326" max="3326" width="58.85546875" style="44" customWidth="1"/>
    <col min="3327" max="3327" width="32.85546875" style="44" customWidth="1"/>
    <col min="3328" max="3580" width="9.140625" style="44"/>
    <col min="3581" max="3581" width="4.140625" style="44" customWidth="1"/>
    <col min="3582" max="3582" width="58.85546875" style="44" customWidth="1"/>
    <col min="3583" max="3583" width="32.85546875" style="44" customWidth="1"/>
    <col min="3584" max="3836" width="9.140625" style="44"/>
    <col min="3837" max="3837" width="4.140625" style="44" customWidth="1"/>
    <col min="3838" max="3838" width="58.85546875" style="44" customWidth="1"/>
    <col min="3839" max="3839" width="32.85546875" style="44" customWidth="1"/>
    <col min="3840" max="4092" width="9.140625" style="44"/>
    <col min="4093" max="4093" width="4.140625" style="44" customWidth="1"/>
    <col min="4094" max="4094" width="58.85546875" style="44" customWidth="1"/>
    <col min="4095" max="4095" width="32.85546875" style="44" customWidth="1"/>
    <col min="4096" max="4348" width="9.140625" style="44"/>
    <col min="4349" max="4349" width="4.140625" style="44" customWidth="1"/>
    <col min="4350" max="4350" width="58.85546875" style="44" customWidth="1"/>
    <col min="4351" max="4351" width="32.85546875" style="44" customWidth="1"/>
    <col min="4352" max="4604" width="9.140625" style="44"/>
    <col min="4605" max="4605" width="4.140625" style="44" customWidth="1"/>
    <col min="4606" max="4606" width="58.85546875" style="44" customWidth="1"/>
    <col min="4607" max="4607" width="32.85546875" style="44" customWidth="1"/>
    <col min="4608" max="4860" width="9.140625" style="44"/>
    <col min="4861" max="4861" width="4.140625" style="44" customWidth="1"/>
    <col min="4862" max="4862" width="58.85546875" style="44" customWidth="1"/>
    <col min="4863" max="4863" width="32.85546875" style="44" customWidth="1"/>
    <col min="4864" max="5116" width="9.140625" style="44"/>
    <col min="5117" max="5117" width="4.140625" style="44" customWidth="1"/>
    <col min="5118" max="5118" width="58.85546875" style="44" customWidth="1"/>
    <col min="5119" max="5119" width="32.85546875" style="44" customWidth="1"/>
    <col min="5120" max="5372" width="9.140625" style="44"/>
    <col min="5373" max="5373" width="4.140625" style="44" customWidth="1"/>
    <col min="5374" max="5374" width="58.85546875" style="44" customWidth="1"/>
    <col min="5375" max="5375" width="32.85546875" style="44" customWidth="1"/>
    <col min="5376" max="5628" width="9.140625" style="44"/>
    <col min="5629" max="5629" width="4.140625" style="44" customWidth="1"/>
    <col min="5630" max="5630" width="58.85546875" style="44" customWidth="1"/>
    <col min="5631" max="5631" width="32.85546875" style="44" customWidth="1"/>
    <col min="5632" max="5884" width="9.140625" style="44"/>
    <col min="5885" max="5885" width="4.140625" style="44" customWidth="1"/>
    <col min="5886" max="5886" width="58.85546875" style="44" customWidth="1"/>
    <col min="5887" max="5887" width="32.85546875" style="44" customWidth="1"/>
    <col min="5888" max="6140" width="9.140625" style="44"/>
    <col min="6141" max="6141" width="4.140625" style="44" customWidth="1"/>
    <col min="6142" max="6142" width="58.85546875" style="44" customWidth="1"/>
    <col min="6143" max="6143" width="32.85546875" style="44" customWidth="1"/>
    <col min="6144" max="6396" width="9.140625" style="44"/>
    <col min="6397" max="6397" width="4.140625" style="44" customWidth="1"/>
    <col min="6398" max="6398" width="58.85546875" style="44" customWidth="1"/>
    <col min="6399" max="6399" width="32.85546875" style="44" customWidth="1"/>
    <col min="6400" max="6652" width="9.140625" style="44"/>
    <col min="6653" max="6653" width="4.140625" style="44" customWidth="1"/>
    <col min="6654" max="6654" width="58.85546875" style="44" customWidth="1"/>
    <col min="6655" max="6655" width="32.85546875" style="44" customWidth="1"/>
    <col min="6656" max="6908" width="9.140625" style="44"/>
    <col min="6909" max="6909" width="4.140625" style="44" customWidth="1"/>
    <col min="6910" max="6910" width="58.85546875" style="44" customWidth="1"/>
    <col min="6911" max="6911" width="32.85546875" style="44" customWidth="1"/>
    <col min="6912" max="7164" width="9.140625" style="44"/>
    <col min="7165" max="7165" width="4.140625" style="44" customWidth="1"/>
    <col min="7166" max="7166" width="58.85546875" style="44" customWidth="1"/>
    <col min="7167" max="7167" width="32.85546875" style="44" customWidth="1"/>
    <col min="7168" max="7420" width="9.140625" style="44"/>
    <col min="7421" max="7421" width="4.140625" style="44" customWidth="1"/>
    <col min="7422" max="7422" width="58.85546875" style="44" customWidth="1"/>
    <col min="7423" max="7423" width="32.85546875" style="44" customWidth="1"/>
    <col min="7424" max="7676" width="9.140625" style="44"/>
    <col min="7677" max="7677" width="4.140625" style="44" customWidth="1"/>
    <col min="7678" max="7678" width="58.85546875" style="44" customWidth="1"/>
    <col min="7679" max="7679" width="32.85546875" style="44" customWidth="1"/>
    <col min="7680" max="7932" width="9.140625" style="44"/>
    <col min="7933" max="7933" width="4.140625" style="44" customWidth="1"/>
    <col min="7934" max="7934" width="58.85546875" style="44" customWidth="1"/>
    <col min="7935" max="7935" width="32.85546875" style="44" customWidth="1"/>
    <col min="7936" max="8188" width="9.140625" style="44"/>
    <col min="8189" max="8189" width="4.140625" style="44" customWidth="1"/>
    <col min="8190" max="8190" width="58.85546875" style="44" customWidth="1"/>
    <col min="8191" max="8191" width="32.85546875" style="44" customWidth="1"/>
    <col min="8192" max="8444" width="9.140625" style="44"/>
    <col min="8445" max="8445" width="4.140625" style="44" customWidth="1"/>
    <col min="8446" max="8446" width="58.85546875" style="44" customWidth="1"/>
    <col min="8447" max="8447" width="32.85546875" style="44" customWidth="1"/>
    <col min="8448" max="8700" width="9.140625" style="44"/>
    <col min="8701" max="8701" width="4.140625" style="44" customWidth="1"/>
    <col min="8702" max="8702" width="58.85546875" style="44" customWidth="1"/>
    <col min="8703" max="8703" width="32.85546875" style="44" customWidth="1"/>
    <col min="8704" max="8956" width="9.140625" style="44"/>
    <col min="8957" max="8957" width="4.140625" style="44" customWidth="1"/>
    <col min="8958" max="8958" width="58.85546875" style="44" customWidth="1"/>
    <col min="8959" max="8959" width="32.85546875" style="44" customWidth="1"/>
    <col min="8960" max="9212" width="9.140625" style="44"/>
    <col min="9213" max="9213" width="4.140625" style="44" customWidth="1"/>
    <col min="9214" max="9214" width="58.85546875" style="44" customWidth="1"/>
    <col min="9215" max="9215" width="32.85546875" style="44" customWidth="1"/>
    <col min="9216" max="9468" width="9.140625" style="44"/>
    <col min="9469" max="9469" width="4.140625" style="44" customWidth="1"/>
    <col min="9470" max="9470" width="58.85546875" style="44" customWidth="1"/>
    <col min="9471" max="9471" width="32.85546875" style="44" customWidth="1"/>
    <col min="9472" max="9724" width="9.140625" style="44"/>
    <col min="9725" max="9725" width="4.140625" style="44" customWidth="1"/>
    <col min="9726" max="9726" width="58.85546875" style="44" customWidth="1"/>
    <col min="9727" max="9727" width="32.85546875" style="44" customWidth="1"/>
    <col min="9728" max="9980" width="9.140625" style="44"/>
    <col min="9981" max="9981" width="4.140625" style="44" customWidth="1"/>
    <col min="9982" max="9982" width="58.85546875" style="44" customWidth="1"/>
    <col min="9983" max="9983" width="32.85546875" style="44" customWidth="1"/>
    <col min="9984" max="10236" width="9.140625" style="44"/>
    <col min="10237" max="10237" width="4.140625" style="44" customWidth="1"/>
    <col min="10238" max="10238" width="58.85546875" style="44" customWidth="1"/>
    <col min="10239" max="10239" width="32.85546875" style="44" customWidth="1"/>
    <col min="10240" max="10492" width="9.140625" style="44"/>
    <col min="10493" max="10493" width="4.140625" style="44" customWidth="1"/>
    <col min="10494" max="10494" width="58.85546875" style="44" customWidth="1"/>
    <col min="10495" max="10495" width="32.85546875" style="44" customWidth="1"/>
    <col min="10496" max="10748" width="9.140625" style="44"/>
    <col min="10749" max="10749" width="4.140625" style="44" customWidth="1"/>
    <col min="10750" max="10750" width="58.85546875" style="44" customWidth="1"/>
    <col min="10751" max="10751" width="32.85546875" style="44" customWidth="1"/>
    <col min="10752" max="11004" width="9.140625" style="44"/>
    <col min="11005" max="11005" width="4.140625" style="44" customWidth="1"/>
    <col min="11006" max="11006" width="58.85546875" style="44" customWidth="1"/>
    <col min="11007" max="11007" width="32.85546875" style="44" customWidth="1"/>
    <col min="11008" max="11260" width="9.140625" style="44"/>
    <col min="11261" max="11261" width="4.140625" style="44" customWidth="1"/>
    <col min="11262" max="11262" width="58.85546875" style="44" customWidth="1"/>
    <col min="11263" max="11263" width="32.85546875" style="44" customWidth="1"/>
    <col min="11264" max="11516" width="9.140625" style="44"/>
    <col min="11517" max="11517" width="4.140625" style="44" customWidth="1"/>
    <col min="11518" max="11518" width="58.85546875" style="44" customWidth="1"/>
    <col min="11519" max="11519" width="32.85546875" style="44" customWidth="1"/>
    <col min="11520" max="11772" width="9.140625" style="44"/>
    <col min="11773" max="11773" width="4.140625" style="44" customWidth="1"/>
    <col min="11774" max="11774" width="58.85546875" style="44" customWidth="1"/>
    <col min="11775" max="11775" width="32.85546875" style="44" customWidth="1"/>
    <col min="11776" max="12028" width="9.140625" style="44"/>
    <col min="12029" max="12029" width="4.140625" style="44" customWidth="1"/>
    <col min="12030" max="12030" width="58.85546875" style="44" customWidth="1"/>
    <col min="12031" max="12031" width="32.85546875" style="44" customWidth="1"/>
    <col min="12032" max="12284" width="9.140625" style="44"/>
    <col min="12285" max="12285" width="4.140625" style="44" customWidth="1"/>
    <col min="12286" max="12286" width="58.85546875" style="44" customWidth="1"/>
    <col min="12287" max="12287" width="32.85546875" style="44" customWidth="1"/>
    <col min="12288" max="12540" width="9.140625" style="44"/>
    <col min="12541" max="12541" width="4.140625" style="44" customWidth="1"/>
    <col min="12542" max="12542" width="58.85546875" style="44" customWidth="1"/>
    <col min="12543" max="12543" width="32.85546875" style="44" customWidth="1"/>
    <col min="12544" max="12796" width="9.140625" style="44"/>
    <col min="12797" max="12797" width="4.140625" style="44" customWidth="1"/>
    <col min="12798" max="12798" width="58.85546875" style="44" customWidth="1"/>
    <col min="12799" max="12799" width="32.85546875" style="44" customWidth="1"/>
    <col min="12800" max="13052" width="9.140625" style="44"/>
    <col min="13053" max="13053" width="4.140625" style="44" customWidth="1"/>
    <col min="13054" max="13054" width="58.85546875" style="44" customWidth="1"/>
    <col min="13055" max="13055" width="32.85546875" style="44" customWidth="1"/>
    <col min="13056" max="13308" width="9.140625" style="44"/>
    <col min="13309" max="13309" width="4.140625" style="44" customWidth="1"/>
    <col min="13310" max="13310" width="58.85546875" style="44" customWidth="1"/>
    <col min="13311" max="13311" width="32.85546875" style="44" customWidth="1"/>
    <col min="13312" max="13564" width="9.140625" style="44"/>
    <col min="13565" max="13565" width="4.140625" style="44" customWidth="1"/>
    <col min="13566" max="13566" width="58.85546875" style="44" customWidth="1"/>
    <col min="13567" max="13567" width="32.85546875" style="44" customWidth="1"/>
    <col min="13568" max="13820" width="9.140625" style="44"/>
    <col min="13821" max="13821" width="4.140625" style="44" customWidth="1"/>
    <col min="13822" max="13822" width="58.85546875" style="44" customWidth="1"/>
    <col min="13823" max="13823" width="32.85546875" style="44" customWidth="1"/>
    <col min="13824" max="14076" width="9.140625" style="44"/>
    <col min="14077" max="14077" width="4.140625" style="44" customWidth="1"/>
    <col min="14078" max="14078" width="58.85546875" style="44" customWidth="1"/>
    <col min="14079" max="14079" width="32.85546875" style="44" customWidth="1"/>
    <col min="14080" max="14332" width="9.140625" style="44"/>
    <col min="14333" max="14333" width="4.140625" style="44" customWidth="1"/>
    <col min="14334" max="14334" width="58.85546875" style="44" customWidth="1"/>
    <col min="14335" max="14335" width="32.85546875" style="44" customWidth="1"/>
    <col min="14336" max="14588" width="9.140625" style="44"/>
    <col min="14589" max="14589" width="4.140625" style="44" customWidth="1"/>
    <col min="14590" max="14590" width="58.85546875" style="44" customWidth="1"/>
    <col min="14591" max="14591" width="32.85546875" style="44" customWidth="1"/>
    <col min="14592" max="14844" width="9.140625" style="44"/>
    <col min="14845" max="14845" width="4.140625" style="44" customWidth="1"/>
    <col min="14846" max="14846" width="58.85546875" style="44" customWidth="1"/>
    <col min="14847" max="14847" width="32.85546875" style="44" customWidth="1"/>
    <col min="14848" max="15100" width="9.140625" style="44"/>
    <col min="15101" max="15101" width="4.140625" style="44" customWidth="1"/>
    <col min="15102" max="15102" width="58.85546875" style="44" customWidth="1"/>
    <col min="15103" max="15103" width="32.85546875" style="44" customWidth="1"/>
    <col min="15104" max="15356" width="9.140625" style="44"/>
    <col min="15357" max="15357" width="4.140625" style="44" customWidth="1"/>
    <col min="15358" max="15358" width="58.85546875" style="44" customWidth="1"/>
    <col min="15359" max="15359" width="32.85546875" style="44" customWidth="1"/>
    <col min="15360" max="15612" width="9.140625" style="44"/>
    <col min="15613" max="15613" width="4.140625" style="44" customWidth="1"/>
    <col min="15614" max="15614" width="58.85546875" style="44" customWidth="1"/>
    <col min="15615" max="15615" width="32.85546875" style="44" customWidth="1"/>
    <col min="15616" max="15868" width="9.140625" style="44"/>
    <col min="15869" max="15869" width="4.140625" style="44" customWidth="1"/>
    <col min="15870" max="15870" width="58.85546875" style="44" customWidth="1"/>
    <col min="15871" max="15871" width="32.85546875" style="44" customWidth="1"/>
    <col min="15872" max="16124" width="9.140625" style="44"/>
    <col min="16125" max="16125" width="4.140625" style="44" customWidth="1"/>
    <col min="16126" max="16126" width="58.85546875" style="44" customWidth="1"/>
    <col min="16127" max="16127" width="32.85546875" style="44" customWidth="1"/>
    <col min="16128" max="16384" width="9.140625" style="44"/>
  </cols>
  <sheetData>
    <row r="1" spans="1:5" x14ac:dyDescent="0.2">
      <c r="D1" s="243"/>
      <c r="E1" s="243" t="s">
        <v>398</v>
      </c>
    </row>
    <row r="2" spans="1:5" ht="69.75" customHeight="1" x14ac:dyDescent="0.2">
      <c r="D2" s="149"/>
      <c r="E2" s="149" t="s">
        <v>592</v>
      </c>
    </row>
    <row r="3" spans="1:5" x14ac:dyDescent="0.2">
      <c r="A3" s="42"/>
      <c r="B3" s="43"/>
      <c r="C3" s="364" t="s">
        <v>521</v>
      </c>
      <c r="D3" s="364"/>
      <c r="E3" s="364"/>
    </row>
    <row r="4" spans="1:5" ht="48.75" customHeight="1" x14ac:dyDescent="0.2">
      <c r="A4" s="42"/>
      <c r="B4" s="43"/>
      <c r="C4" s="327" t="s">
        <v>432</v>
      </c>
      <c r="D4" s="327"/>
      <c r="E4" s="327"/>
    </row>
    <row r="5" spans="1:5" x14ac:dyDescent="0.2">
      <c r="A5" s="42"/>
      <c r="B5" s="43"/>
      <c r="C5" s="327" t="s">
        <v>399</v>
      </c>
      <c r="D5" s="327"/>
      <c r="E5" s="327"/>
    </row>
    <row r="6" spans="1:5" x14ac:dyDescent="0.2">
      <c r="A6" s="42"/>
      <c r="B6" s="43"/>
      <c r="C6" s="45"/>
      <c r="D6" s="43"/>
      <c r="E6" s="43"/>
    </row>
    <row r="7" spans="1:5" s="59" customFormat="1" ht="66" customHeight="1" x14ac:dyDescent="0.25">
      <c r="A7" s="57"/>
      <c r="B7" s="363" t="s">
        <v>753</v>
      </c>
      <c r="C7" s="363"/>
      <c r="D7" s="363"/>
      <c r="E7" s="363"/>
    </row>
    <row r="8" spans="1:5" x14ac:dyDescent="0.2">
      <c r="A8" s="42"/>
      <c r="B8" s="214"/>
      <c r="C8" s="214"/>
      <c r="D8" s="43"/>
      <c r="E8" s="43"/>
    </row>
    <row r="9" spans="1:5" s="48" customFormat="1" ht="12.75" customHeight="1" x14ac:dyDescent="0.25">
      <c r="A9" s="365" t="s">
        <v>169</v>
      </c>
      <c r="B9" s="365" t="s">
        <v>170</v>
      </c>
      <c r="C9" s="365" t="s">
        <v>171</v>
      </c>
      <c r="D9" s="365" t="s">
        <v>754</v>
      </c>
      <c r="E9" s="365" t="s">
        <v>171</v>
      </c>
    </row>
    <row r="10" spans="1:5" s="48" customFormat="1" x14ac:dyDescent="0.25">
      <c r="A10" s="365"/>
      <c r="B10" s="365"/>
      <c r="C10" s="365"/>
      <c r="D10" s="365"/>
      <c r="E10" s="365"/>
    </row>
    <row r="11" spans="1:5" s="86" customFormat="1" ht="29.25" customHeight="1" x14ac:dyDescent="0.25">
      <c r="A11" s="217">
        <v>1</v>
      </c>
      <c r="B11" s="215" t="s">
        <v>172</v>
      </c>
      <c r="C11" s="216">
        <f>(7+14)*3180</f>
        <v>66780</v>
      </c>
      <c r="D11" s="216">
        <v>-8745</v>
      </c>
      <c r="E11" s="216">
        <f>46110+795</f>
        <v>46905</v>
      </c>
    </row>
    <row r="12" spans="1:5" s="86" customFormat="1" ht="29.25" customHeight="1" x14ac:dyDescent="0.25">
      <c r="A12" s="217">
        <v>2</v>
      </c>
      <c r="B12" s="215" t="s">
        <v>173</v>
      </c>
      <c r="C12" s="216">
        <f>2*3180</f>
        <v>6360</v>
      </c>
      <c r="D12" s="216"/>
      <c r="E12" s="216">
        <v>6360</v>
      </c>
    </row>
    <row r="13" spans="1:5" s="86" customFormat="1" ht="29.25" customHeight="1" x14ac:dyDescent="0.25">
      <c r="A13" s="217">
        <v>3</v>
      </c>
      <c r="B13" s="215" t="s">
        <v>174</v>
      </c>
      <c r="C13" s="216">
        <f>1*3180</f>
        <v>3180</v>
      </c>
      <c r="D13" s="216"/>
      <c r="E13" s="216">
        <v>3180</v>
      </c>
    </row>
    <row r="14" spans="1:5" s="86" customFormat="1" ht="29.25" customHeight="1" x14ac:dyDescent="0.25">
      <c r="A14" s="217">
        <v>4</v>
      </c>
      <c r="B14" s="215" t="s">
        <v>175</v>
      </c>
      <c r="C14" s="216">
        <f>3*3180</f>
        <v>9540</v>
      </c>
      <c r="D14" s="216">
        <v>795</v>
      </c>
      <c r="E14" s="216">
        <v>10335</v>
      </c>
    </row>
    <row r="15" spans="1:5" s="86" customFormat="1" ht="29.25" customHeight="1" x14ac:dyDescent="0.25">
      <c r="A15" s="217">
        <v>5</v>
      </c>
      <c r="B15" s="215" t="s">
        <v>176</v>
      </c>
      <c r="C15" s="216">
        <f>1*3180</f>
        <v>3180</v>
      </c>
      <c r="D15" s="216"/>
      <c r="E15" s="216">
        <f>1590-795</f>
        <v>795</v>
      </c>
    </row>
    <row r="16" spans="1:5" s="86" customFormat="1" ht="29.25" customHeight="1" x14ac:dyDescent="0.25">
      <c r="A16" s="217">
        <v>6</v>
      </c>
      <c r="B16" s="215" t="s">
        <v>177</v>
      </c>
      <c r="C16" s="216">
        <f>2*3180</f>
        <v>6360</v>
      </c>
      <c r="D16" s="216"/>
      <c r="E16" s="216">
        <v>3975</v>
      </c>
    </row>
    <row r="17" spans="1:5" s="91" customFormat="1" ht="29.25" customHeight="1" x14ac:dyDescent="0.25">
      <c r="A17" s="218"/>
      <c r="B17" s="219" t="s">
        <v>9</v>
      </c>
      <c r="C17" s="220">
        <f>SUM(C11:C16)</f>
        <v>95400</v>
      </c>
      <c r="D17" s="220">
        <f>SUM(D11:D16)</f>
        <v>-7950</v>
      </c>
      <c r="E17" s="220">
        <f>SUM(E11:E16)</f>
        <v>71550</v>
      </c>
    </row>
  </sheetData>
  <mergeCells count="9">
    <mergeCell ref="B7:E7"/>
    <mergeCell ref="C3:E3"/>
    <mergeCell ref="C4:E4"/>
    <mergeCell ref="C5:E5"/>
    <mergeCell ref="A9:A10"/>
    <mergeCell ref="B9:B10"/>
    <mergeCell ref="C9:C10"/>
    <mergeCell ref="D9:D10"/>
    <mergeCell ref="E9:E10"/>
  </mergeCells>
  <pageMargins left="0.70866141732283472" right="0.31496062992125984" top="0.74803149606299213" bottom="0.74803149606299213" header="0.31496062992125984" footer="0.31496062992125984"/>
  <pageSetup paperSize="9" scale="9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selection activeCell="E1" sqref="E1:E2"/>
    </sheetView>
  </sheetViews>
  <sheetFormatPr defaultRowHeight="12.75" x14ac:dyDescent="0.2"/>
  <cols>
    <col min="1" max="1" width="4.140625" style="44" customWidth="1"/>
    <col min="2" max="2" width="39.28515625" style="44" customWidth="1"/>
    <col min="3" max="3" width="39.85546875" style="44" customWidth="1"/>
    <col min="4" max="250" width="9.140625" style="44"/>
    <col min="251" max="251" width="4.140625" style="44" customWidth="1"/>
    <col min="252" max="252" width="58.85546875" style="44" customWidth="1"/>
    <col min="253" max="253" width="32.85546875" style="44" customWidth="1"/>
    <col min="254" max="506" width="9.140625" style="44"/>
    <col min="507" max="507" width="4.140625" style="44" customWidth="1"/>
    <col min="508" max="508" width="58.85546875" style="44" customWidth="1"/>
    <col min="509" max="509" width="32.85546875" style="44" customWidth="1"/>
    <col min="510" max="762" width="9.140625" style="44"/>
    <col min="763" max="763" width="4.140625" style="44" customWidth="1"/>
    <col min="764" max="764" width="58.85546875" style="44" customWidth="1"/>
    <col min="765" max="765" width="32.85546875" style="44" customWidth="1"/>
    <col min="766" max="1018" width="9.140625" style="44"/>
    <col min="1019" max="1019" width="4.140625" style="44" customWidth="1"/>
    <col min="1020" max="1020" width="58.85546875" style="44" customWidth="1"/>
    <col min="1021" max="1021" width="32.85546875" style="44" customWidth="1"/>
    <col min="1022" max="1274" width="9.140625" style="44"/>
    <col min="1275" max="1275" width="4.140625" style="44" customWidth="1"/>
    <col min="1276" max="1276" width="58.85546875" style="44" customWidth="1"/>
    <col min="1277" max="1277" width="32.85546875" style="44" customWidth="1"/>
    <col min="1278" max="1530" width="9.140625" style="44"/>
    <col min="1531" max="1531" width="4.140625" style="44" customWidth="1"/>
    <col min="1532" max="1532" width="58.85546875" style="44" customWidth="1"/>
    <col min="1533" max="1533" width="32.85546875" style="44" customWidth="1"/>
    <col min="1534" max="1786" width="9.140625" style="44"/>
    <col min="1787" max="1787" width="4.140625" style="44" customWidth="1"/>
    <col min="1788" max="1788" width="58.85546875" style="44" customWidth="1"/>
    <col min="1789" max="1789" width="32.85546875" style="44" customWidth="1"/>
    <col min="1790" max="2042" width="9.140625" style="44"/>
    <col min="2043" max="2043" width="4.140625" style="44" customWidth="1"/>
    <col min="2044" max="2044" width="58.85546875" style="44" customWidth="1"/>
    <col min="2045" max="2045" width="32.85546875" style="44" customWidth="1"/>
    <col min="2046" max="2298" width="9.140625" style="44"/>
    <col min="2299" max="2299" width="4.140625" style="44" customWidth="1"/>
    <col min="2300" max="2300" width="58.85546875" style="44" customWidth="1"/>
    <col min="2301" max="2301" width="32.85546875" style="44" customWidth="1"/>
    <col min="2302" max="2554" width="9.140625" style="44"/>
    <col min="2555" max="2555" width="4.140625" style="44" customWidth="1"/>
    <col min="2556" max="2556" width="58.85546875" style="44" customWidth="1"/>
    <col min="2557" max="2557" width="32.85546875" style="44" customWidth="1"/>
    <col min="2558" max="2810" width="9.140625" style="44"/>
    <col min="2811" max="2811" width="4.140625" style="44" customWidth="1"/>
    <col min="2812" max="2812" width="58.85546875" style="44" customWidth="1"/>
    <col min="2813" max="2813" width="32.85546875" style="44" customWidth="1"/>
    <col min="2814" max="3066" width="9.140625" style="44"/>
    <col min="3067" max="3067" width="4.140625" style="44" customWidth="1"/>
    <col min="3068" max="3068" width="58.85546875" style="44" customWidth="1"/>
    <col min="3069" max="3069" width="32.85546875" style="44" customWidth="1"/>
    <col min="3070" max="3322" width="9.140625" style="44"/>
    <col min="3323" max="3323" width="4.140625" style="44" customWidth="1"/>
    <col min="3324" max="3324" width="58.85546875" style="44" customWidth="1"/>
    <col min="3325" max="3325" width="32.85546875" style="44" customWidth="1"/>
    <col min="3326" max="3578" width="9.140625" style="44"/>
    <col min="3579" max="3579" width="4.140625" style="44" customWidth="1"/>
    <col min="3580" max="3580" width="58.85546875" style="44" customWidth="1"/>
    <col min="3581" max="3581" width="32.85546875" style="44" customWidth="1"/>
    <col min="3582" max="3834" width="9.140625" style="44"/>
    <col min="3835" max="3835" width="4.140625" style="44" customWidth="1"/>
    <col min="3836" max="3836" width="58.85546875" style="44" customWidth="1"/>
    <col min="3837" max="3837" width="32.85546875" style="44" customWidth="1"/>
    <col min="3838" max="4090" width="9.140625" style="44"/>
    <col min="4091" max="4091" width="4.140625" style="44" customWidth="1"/>
    <col min="4092" max="4092" width="58.85546875" style="44" customWidth="1"/>
    <col min="4093" max="4093" width="32.85546875" style="44" customWidth="1"/>
    <col min="4094" max="4346" width="9.140625" style="44"/>
    <col min="4347" max="4347" width="4.140625" style="44" customWidth="1"/>
    <col min="4348" max="4348" width="58.85546875" style="44" customWidth="1"/>
    <col min="4349" max="4349" width="32.85546875" style="44" customWidth="1"/>
    <col min="4350" max="4602" width="9.140625" style="44"/>
    <col min="4603" max="4603" width="4.140625" style="44" customWidth="1"/>
    <col min="4604" max="4604" width="58.85546875" style="44" customWidth="1"/>
    <col min="4605" max="4605" width="32.85546875" style="44" customWidth="1"/>
    <col min="4606" max="4858" width="9.140625" style="44"/>
    <col min="4859" max="4859" width="4.140625" style="44" customWidth="1"/>
    <col min="4860" max="4860" width="58.85546875" style="44" customWidth="1"/>
    <col min="4861" max="4861" width="32.85546875" style="44" customWidth="1"/>
    <col min="4862" max="5114" width="9.140625" style="44"/>
    <col min="5115" max="5115" width="4.140625" style="44" customWidth="1"/>
    <col min="5116" max="5116" width="58.85546875" style="44" customWidth="1"/>
    <col min="5117" max="5117" width="32.85546875" style="44" customWidth="1"/>
    <col min="5118" max="5370" width="9.140625" style="44"/>
    <col min="5371" max="5371" width="4.140625" style="44" customWidth="1"/>
    <col min="5372" max="5372" width="58.85546875" style="44" customWidth="1"/>
    <col min="5373" max="5373" width="32.85546875" style="44" customWidth="1"/>
    <col min="5374" max="5626" width="9.140625" style="44"/>
    <col min="5627" max="5627" width="4.140625" style="44" customWidth="1"/>
    <col min="5628" max="5628" width="58.85546875" style="44" customWidth="1"/>
    <col min="5629" max="5629" width="32.85546875" style="44" customWidth="1"/>
    <col min="5630" max="5882" width="9.140625" style="44"/>
    <col min="5883" max="5883" width="4.140625" style="44" customWidth="1"/>
    <col min="5884" max="5884" width="58.85546875" style="44" customWidth="1"/>
    <col min="5885" max="5885" width="32.85546875" style="44" customWidth="1"/>
    <col min="5886" max="6138" width="9.140625" style="44"/>
    <col min="6139" max="6139" width="4.140625" style="44" customWidth="1"/>
    <col min="6140" max="6140" width="58.85546875" style="44" customWidth="1"/>
    <col min="6141" max="6141" width="32.85546875" style="44" customWidth="1"/>
    <col min="6142" max="6394" width="9.140625" style="44"/>
    <col min="6395" max="6395" width="4.140625" style="44" customWidth="1"/>
    <col min="6396" max="6396" width="58.85546875" style="44" customWidth="1"/>
    <col min="6397" max="6397" width="32.85546875" style="44" customWidth="1"/>
    <col min="6398" max="6650" width="9.140625" style="44"/>
    <col min="6651" max="6651" width="4.140625" style="44" customWidth="1"/>
    <col min="6652" max="6652" width="58.85546875" style="44" customWidth="1"/>
    <col min="6653" max="6653" width="32.85546875" style="44" customWidth="1"/>
    <col min="6654" max="6906" width="9.140625" style="44"/>
    <col min="6907" max="6907" width="4.140625" style="44" customWidth="1"/>
    <col min="6908" max="6908" width="58.85546875" style="44" customWidth="1"/>
    <col min="6909" max="6909" width="32.85546875" style="44" customWidth="1"/>
    <col min="6910" max="7162" width="9.140625" style="44"/>
    <col min="7163" max="7163" width="4.140625" style="44" customWidth="1"/>
    <col min="7164" max="7164" width="58.85546875" style="44" customWidth="1"/>
    <col min="7165" max="7165" width="32.85546875" style="44" customWidth="1"/>
    <col min="7166" max="7418" width="9.140625" style="44"/>
    <col min="7419" max="7419" width="4.140625" style="44" customWidth="1"/>
    <col min="7420" max="7420" width="58.85546875" style="44" customWidth="1"/>
    <col min="7421" max="7421" width="32.85546875" style="44" customWidth="1"/>
    <col min="7422" max="7674" width="9.140625" style="44"/>
    <col min="7675" max="7675" width="4.140625" style="44" customWidth="1"/>
    <col min="7676" max="7676" width="58.85546875" style="44" customWidth="1"/>
    <col min="7677" max="7677" width="32.85546875" style="44" customWidth="1"/>
    <col min="7678" max="7930" width="9.140625" style="44"/>
    <col min="7931" max="7931" width="4.140625" style="44" customWidth="1"/>
    <col min="7932" max="7932" width="58.85546875" style="44" customWidth="1"/>
    <col min="7933" max="7933" width="32.85546875" style="44" customWidth="1"/>
    <col min="7934" max="8186" width="9.140625" style="44"/>
    <col min="8187" max="8187" width="4.140625" style="44" customWidth="1"/>
    <col min="8188" max="8188" width="58.85546875" style="44" customWidth="1"/>
    <col min="8189" max="8189" width="32.85546875" style="44" customWidth="1"/>
    <col min="8190" max="8442" width="9.140625" style="44"/>
    <col min="8443" max="8443" width="4.140625" style="44" customWidth="1"/>
    <col min="8444" max="8444" width="58.85546875" style="44" customWidth="1"/>
    <col min="8445" max="8445" width="32.85546875" style="44" customWidth="1"/>
    <col min="8446" max="8698" width="9.140625" style="44"/>
    <col min="8699" max="8699" width="4.140625" style="44" customWidth="1"/>
    <col min="8700" max="8700" width="58.85546875" style="44" customWidth="1"/>
    <col min="8701" max="8701" width="32.85546875" style="44" customWidth="1"/>
    <col min="8702" max="8954" width="9.140625" style="44"/>
    <col min="8955" max="8955" width="4.140625" style="44" customWidth="1"/>
    <col min="8956" max="8956" width="58.85546875" style="44" customWidth="1"/>
    <col min="8957" max="8957" width="32.85546875" style="44" customWidth="1"/>
    <col min="8958" max="9210" width="9.140625" style="44"/>
    <col min="9211" max="9211" width="4.140625" style="44" customWidth="1"/>
    <col min="9212" max="9212" width="58.85546875" style="44" customWidth="1"/>
    <col min="9213" max="9213" width="32.85546875" style="44" customWidth="1"/>
    <col min="9214" max="9466" width="9.140625" style="44"/>
    <col min="9467" max="9467" width="4.140625" style="44" customWidth="1"/>
    <col min="9468" max="9468" width="58.85546875" style="44" customWidth="1"/>
    <col min="9469" max="9469" width="32.85546875" style="44" customWidth="1"/>
    <col min="9470" max="9722" width="9.140625" style="44"/>
    <col min="9723" max="9723" width="4.140625" style="44" customWidth="1"/>
    <col min="9724" max="9724" width="58.85546875" style="44" customWidth="1"/>
    <col min="9725" max="9725" width="32.85546875" style="44" customWidth="1"/>
    <col min="9726" max="9978" width="9.140625" style="44"/>
    <col min="9979" max="9979" width="4.140625" style="44" customWidth="1"/>
    <col min="9980" max="9980" width="58.85546875" style="44" customWidth="1"/>
    <col min="9981" max="9981" width="32.85546875" style="44" customWidth="1"/>
    <col min="9982" max="10234" width="9.140625" style="44"/>
    <col min="10235" max="10235" width="4.140625" style="44" customWidth="1"/>
    <col min="10236" max="10236" width="58.85546875" style="44" customWidth="1"/>
    <col min="10237" max="10237" width="32.85546875" style="44" customWidth="1"/>
    <col min="10238" max="10490" width="9.140625" style="44"/>
    <col min="10491" max="10491" width="4.140625" style="44" customWidth="1"/>
    <col min="10492" max="10492" width="58.85546875" style="44" customWidth="1"/>
    <col min="10493" max="10493" width="32.85546875" style="44" customWidth="1"/>
    <col min="10494" max="10746" width="9.140625" style="44"/>
    <col min="10747" max="10747" width="4.140625" style="44" customWidth="1"/>
    <col min="10748" max="10748" width="58.85546875" style="44" customWidth="1"/>
    <col min="10749" max="10749" width="32.85546875" style="44" customWidth="1"/>
    <col min="10750" max="11002" width="9.140625" style="44"/>
    <col min="11003" max="11003" width="4.140625" style="44" customWidth="1"/>
    <col min="11004" max="11004" width="58.85546875" style="44" customWidth="1"/>
    <col min="11005" max="11005" width="32.85546875" style="44" customWidth="1"/>
    <col min="11006" max="11258" width="9.140625" style="44"/>
    <col min="11259" max="11259" width="4.140625" style="44" customWidth="1"/>
    <col min="11260" max="11260" width="58.85546875" style="44" customWidth="1"/>
    <col min="11261" max="11261" width="32.85546875" style="44" customWidth="1"/>
    <col min="11262" max="11514" width="9.140625" style="44"/>
    <col min="11515" max="11515" width="4.140625" style="44" customWidth="1"/>
    <col min="11516" max="11516" width="58.85546875" style="44" customWidth="1"/>
    <col min="11517" max="11517" width="32.85546875" style="44" customWidth="1"/>
    <col min="11518" max="11770" width="9.140625" style="44"/>
    <col min="11771" max="11771" width="4.140625" style="44" customWidth="1"/>
    <col min="11772" max="11772" width="58.85546875" style="44" customWidth="1"/>
    <col min="11773" max="11773" width="32.85546875" style="44" customWidth="1"/>
    <col min="11774" max="12026" width="9.140625" style="44"/>
    <col min="12027" max="12027" width="4.140625" style="44" customWidth="1"/>
    <col min="12028" max="12028" width="58.85546875" style="44" customWidth="1"/>
    <col min="12029" max="12029" width="32.85546875" style="44" customWidth="1"/>
    <col min="12030" max="12282" width="9.140625" style="44"/>
    <col min="12283" max="12283" width="4.140625" style="44" customWidth="1"/>
    <col min="12284" max="12284" width="58.85546875" style="44" customWidth="1"/>
    <col min="12285" max="12285" width="32.85546875" style="44" customWidth="1"/>
    <col min="12286" max="12538" width="9.140625" style="44"/>
    <col min="12539" max="12539" width="4.140625" style="44" customWidth="1"/>
    <col min="12540" max="12540" width="58.85546875" style="44" customWidth="1"/>
    <col min="12541" max="12541" width="32.85546875" style="44" customWidth="1"/>
    <col min="12542" max="12794" width="9.140625" style="44"/>
    <col min="12795" max="12795" width="4.140625" style="44" customWidth="1"/>
    <col min="12796" max="12796" width="58.85546875" style="44" customWidth="1"/>
    <col min="12797" max="12797" width="32.85546875" style="44" customWidth="1"/>
    <col min="12798" max="13050" width="9.140625" style="44"/>
    <col min="13051" max="13051" width="4.140625" style="44" customWidth="1"/>
    <col min="13052" max="13052" width="58.85546875" style="44" customWidth="1"/>
    <col min="13053" max="13053" width="32.85546875" style="44" customWidth="1"/>
    <col min="13054" max="13306" width="9.140625" style="44"/>
    <col min="13307" max="13307" width="4.140625" style="44" customWidth="1"/>
    <col min="13308" max="13308" width="58.85546875" style="44" customWidth="1"/>
    <col min="13309" max="13309" width="32.85546875" style="44" customWidth="1"/>
    <col min="13310" max="13562" width="9.140625" style="44"/>
    <col min="13563" max="13563" width="4.140625" style="44" customWidth="1"/>
    <col min="13564" max="13564" width="58.85546875" style="44" customWidth="1"/>
    <col min="13565" max="13565" width="32.85546875" style="44" customWidth="1"/>
    <col min="13566" max="13818" width="9.140625" style="44"/>
    <col min="13819" max="13819" width="4.140625" style="44" customWidth="1"/>
    <col min="13820" max="13820" width="58.85546875" style="44" customWidth="1"/>
    <col min="13821" max="13821" width="32.85546875" style="44" customWidth="1"/>
    <col min="13822" max="14074" width="9.140625" style="44"/>
    <col min="14075" max="14075" width="4.140625" style="44" customWidth="1"/>
    <col min="14076" max="14076" width="58.85546875" style="44" customWidth="1"/>
    <col min="14077" max="14077" width="32.85546875" style="44" customWidth="1"/>
    <col min="14078" max="14330" width="9.140625" style="44"/>
    <col min="14331" max="14331" width="4.140625" style="44" customWidth="1"/>
    <col min="14332" max="14332" width="58.85546875" style="44" customWidth="1"/>
    <col min="14333" max="14333" width="32.85546875" style="44" customWidth="1"/>
    <col min="14334" max="14586" width="9.140625" style="44"/>
    <col min="14587" max="14587" width="4.140625" style="44" customWidth="1"/>
    <col min="14588" max="14588" width="58.85546875" style="44" customWidth="1"/>
    <col min="14589" max="14589" width="32.85546875" style="44" customWidth="1"/>
    <col min="14590" max="14842" width="9.140625" style="44"/>
    <col min="14843" max="14843" width="4.140625" style="44" customWidth="1"/>
    <col min="14844" max="14844" width="58.85546875" style="44" customWidth="1"/>
    <col min="14845" max="14845" width="32.85546875" style="44" customWidth="1"/>
    <col min="14846" max="15098" width="9.140625" style="44"/>
    <col min="15099" max="15099" width="4.140625" style="44" customWidth="1"/>
    <col min="15100" max="15100" width="58.85546875" style="44" customWidth="1"/>
    <col min="15101" max="15101" width="32.85546875" style="44" customWidth="1"/>
    <col min="15102" max="15354" width="9.140625" style="44"/>
    <col min="15355" max="15355" width="4.140625" style="44" customWidth="1"/>
    <col min="15356" max="15356" width="58.85546875" style="44" customWidth="1"/>
    <col min="15357" max="15357" width="32.85546875" style="44" customWidth="1"/>
    <col min="15358" max="15610" width="9.140625" style="44"/>
    <col min="15611" max="15611" width="4.140625" style="44" customWidth="1"/>
    <col min="15612" max="15612" width="58.85546875" style="44" customWidth="1"/>
    <col min="15613" max="15613" width="32.85546875" style="44" customWidth="1"/>
    <col min="15614" max="15866" width="9.140625" style="44"/>
    <col min="15867" max="15867" width="4.140625" style="44" customWidth="1"/>
    <col min="15868" max="15868" width="58.85546875" style="44" customWidth="1"/>
    <col min="15869" max="15869" width="32.85546875" style="44" customWidth="1"/>
    <col min="15870" max="16122" width="9.140625" style="44"/>
    <col min="16123" max="16123" width="4.140625" style="44" customWidth="1"/>
    <col min="16124" max="16124" width="58.85546875" style="44" customWidth="1"/>
    <col min="16125" max="16125" width="32.85546875" style="44" customWidth="1"/>
    <col min="16126" max="16384" width="9.140625" style="44"/>
  </cols>
  <sheetData>
    <row r="1" spans="1:3" x14ac:dyDescent="0.2">
      <c r="C1" s="243" t="s">
        <v>371</v>
      </c>
    </row>
    <row r="2" spans="1:3" ht="72.75" customHeight="1" x14ac:dyDescent="0.2">
      <c r="C2" s="149" t="s">
        <v>592</v>
      </c>
    </row>
    <row r="3" spans="1:3" x14ac:dyDescent="0.2">
      <c r="A3" s="42"/>
      <c r="B3" s="43"/>
      <c r="C3" s="250" t="s">
        <v>521</v>
      </c>
    </row>
    <row r="4" spans="1:3" ht="54.75" customHeight="1" x14ac:dyDescent="0.2">
      <c r="A4" s="42"/>
      <c r="B4" s="43"/>
      <c r="C4" s="149" t="s">
        <v>432</v>
      </c>
    </row>
    <row r="5" spans="1:3" x14ac:dyDescent="0.2">
      <c r="A5" s="42"/>
      <c r="B5" s="43"/>
      <c r="C5" s="244" t="s">
        <v>755</v>
      </c>
    </row>
    <row r="6" spans="1:3" x14ac:dyDescent="0.2">
      <c r="A6" s="42"/>
      <c r="B6" s="43"/>
      <c r="C6" s="43"/>
    </row>
    <row r="7" spans="1:3" s="59" customFormat="1" ht="49.5" customHeight="1" x14ac:dyDescent="0.25">
      <c r="A7" s="57"/>
      <c r="B7" s="363" t="s">
        <v>756</v>
      </c>
      <c r="C7" s="363"/>
    </row>
    <row r="8" spans="1:3" ht="15" x14ac:dyDescent="0.2">
      <c r="A8" s="42"/>
      <c r="B8" s="46"/>
      <c r="C8" s="43"/>
    </row>
    <row r="9" spans="1:3" s="48" customFormat="1" ht="37.5" customHeight="1" x14ac:dyDescent="0.25">
      <c r="A9" s="229" t="s">
        <v>169</v>
      </c>
      <c r="B9" s="229" t="s">
        <v>170</v>
      </c>
      <c r="C9" s="222" t="s">
        <v>171</v>
      </c>
    </row>
    <row r="10" spans="1:3" s="86" customFormat="1" ht="41.25" customHeight="1" x14ac:dyDescent="0.25">
      <c r="A10" s="217">
        <v>1</v>
      </c>
      <c r="B10" s="215" t="s">
        <v>172</v>
      </c>
      <c r="C10" s="240">
        <v>432445</v>
      </c>
    </row>
    <row r="11" spans="1:3" s="86" customFormat="1" ht="41.25" customHeight="1" x14ac:dyDescent="0.25">
      <c r="A11" s="217">
        <v>2</v>
      </c>
      <c r="B11" s="215" t="s">
        <v>173</v>
      </c>
      <c r="C11" s="240">
        <v>57659</v>
      </c>
    </row>
    <row r="12" spans="1:3" s="86" customFormat="1" ht="41.25" customHeight="1" x14ac:dyDescent="0.25">
      <c r="A12" s="217">
        <v>3</v>
      </c>
      <c r="B12" s="215" t="s">
        <v>174</v>
      </c>
      <c r="C12" s="240">
        <v>57660</v>
      </c>
    </row>
    <row r="13" spans="1:3" s="86" customFormat="1" ht="41.25" customHeight="1" x14ac:dyDescent="0.25">
      <c r="A13" s="217">
        <v>4</v>
      </c>
      <c r="B13" s="215" t="s">
        <v>175</v>
      </c>
      <c r="C13" s="240">
        <v>144148</v>
      </c>
    </row>
    <row r="14" spans="1:3" s="86" customFormat="1" ht="41.25" customHeight="1" x14ac:dyDescent="0.25">
      <c r="A14" s="217">
        <v>5</v>
      </c>
      <c r="B14" s="215" t="s">
        <v>176</v>
      </c>
      <c r="C14" s="240">
        <v>57660</v>
      </c>
    </row>
    <row r="15" spans="1:3" s="86" customFormat="1" ht="41.25" customHeight="1" x14ac:dyDescent="0.25">
      <c r="A15" s="217">
        <v>6</v>
      </c>
      <c r="B15" s="215" t="s">
        <v>177</v>
      </c>
      <c r="C15" s="240">
        <v>57659</v>
      </c>
    </row>
    <row r="16" spans="1:3" s="221" customFormat="1" ht="41.25" customHeight="1" x14ac:dyDescent="0.25">
      <c r="A16" s="218"/>
      <c r="B16" s="219" t="s">
        <v>9</v>
      </c>
      <c r="C16" s="220">
        <f t="shared" ref="C16" si="0">SUM(C10:C15)</f>
        <v>807231</v>
      </c>
    </row>
  </sheetData>
  <mergeCells count="1">
    <mergeCell ref="B7:C7"/>
  </mergeCells>
  <pageMargins left="0.70866141732283472" right="0.31496062992125984" top="0.74803149606299213" bottom="0.74803149606299213" header="0.31496062992125984" footer="0.31496062992125984"/>
  <pageSetup paperSize="9" scale="9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topLeftCell="A4" workbookViewId="0">
      <selection activeCell="I8" sqref="I8"/>
    </sheetView>
  </sheetViews>
  <sheetFormatPr defaultRowHeight="12.75" x14ac:dyDescent="0.2"/>
  <cols>
    <col min="1" max="1" width="4.140625" style="44" customWidth="1"/>
    <col min="2" max="2" width="58.85546875" style="44" customWidth="1"/>
    <col min="3" max="4" width="20.42578125" style="44" customWidth="1"/>
    <col min="5" max="256" width="9.140625" style="44"/>
    <col min="257" max="257" width="4.140625" style="44" customWidth="1"/>
    <col min="258" max="258" width="58.85546875" style="44" customWidth="1"/>
    <col min="259" max="259" width="32.85546875" style="44" customWidth="1"/>
    <col min="260" max="512" width="9.140625" style="44"/>
    <col min="513" max="513" width="4.140625" style="44" customWidth="1"/>
    <col min="514" max="514" width="58.85546875" style="44" customWidth="1"/>
    <col min="515" max="515" width="32.85546875" style="44" customWidth="1"/>
    <col min="516" max="768" width="9.140625" style="44"/>
    <col min="769" max="769" width="4.140625" style="44" customWidth="1"/>
    <col min="770" max="770" width="58.85546875" style="44" customWidth="1"/>
    <col min="771" max="771" width="32.85546875" style="44" customWidth="1"/>
    <col min="772" max="1024" width="9.140625" style="44"/>
    <col min="1025" max="1025" width="4.140625" style="44" customWidth="1"/>
    <col min="1026" max="1026" width="58.85546875" style="44" customWidth="1"/>
    <col min="1027" max="1027" width="32.85546875" style="44" customWidth="1"/>
    <col min="1028" max="1280" width="9.140625" style="44"/>
    <col min="1281" max="1281" width="4.140625" style="44" customWidth="1"/>
    <col min="1282" max="1282" width="58.85546875" style="44" customWidth="1"/>
    <col min="1283" max="1283" width="32.85546875" style="44" customWidth="1"/>
    <col min="1284" max="1536" width="9.140625" style="44"/>
    <col min="1537" max="1537" width="4.140625" style="44" customWidth="1"/>
    <col min="1538" max="1538" width="58.85546875" style="44" customWidth="1"/>
    <col min="1539" max="1539" width="32.85546875" style="44" customWidth="1"/>
    <col min="1540" max="1792" width="9.140625" style="44"/>
    <col min="1793" max="1793" width="4.140625" style="44" customWidth="1"/>
    <col min="1794" max="1794" width="58.85546875" style="44" customWidth="1"/>
    <col min="1795" max="1795" width="32.85546875" style="44" customWidth="1"/>
    <col min="1796" max="2048" width="9.140625" style="44"/>
    <col min="2049" max="2049" width="4.140625" style="44" customWidth="1"/>
    <col min="2050" max="2050" width="58.85546875" style="44" customWidth="1"/>
    <col min="2051" max="2051" width="32.85546875" style="44" customWidth="1"/>
    <col min="2052" max="2304" width="9.140625" style="44"/>
    <col min="2305" max="2305" width="4.140625" style="44" customWidth="1"/>
    <col min="2306" max="2306" width="58.85546875" style="44" customWidth="1"/>
    <col min="2307" max="2307" width="32.85546875" style="44" customWidth="1"/>
    <col min="2308" max="2560" width="9.140625" style="44"/>
    <col min="2561" max="2561" width="4.140625" style="44" customWidth="1"/>
    <col min="2562" max="2562" width="58.85546875" style="44" customWidth="1"/>
    <col min="2563" max="2563" width="32.85546875" style="44" customWidth="1"/>
    <col min="2564" max="2816" width="9.140625" style="44"/>
    <col min="2817" max="2817" width="4.140625" style="44" customWidth="1"/>
    <col min="2818" max="2818" width="58.85546875" style="44" customWidth="1"/>
    <col min="2819" max="2819" width="32.85546875" style="44" customWidth="1"/>
    <col min="2820" max="3072" width="9.140625" style="44"/>
    <col min="3073" max="3073" width="4.140625" style="44" customWidth="1"/>
    <col min="3074" max="3074" width="58.85546875" style="44" customWidth="1"/>
    <col min="3075" max="3075" width="32.85546875" style="44" customWidth="1"/>
    <col min="3076" max="3328" width="9.140625" style="44"/>
    <col min="3329" max="3329" width="4.140625" style="44" customWidth="1"/>
    <col min="3330" max="3330" width="58.85546875" style="44" customWidth="1"/>
    <col min="3331" max="3331" width="32.85546875" style="44" customWidth="1"/>
    <col min="3332" max="3584" width="9.140625" style="44"/>
    <col min="3585" max="3585" width="4.140625" style="44" customWidth="1"/>
    <col min="3586" max="3586" width="58.85546875" style="44" customWidth="1"/>
    <col min="3587" max="3587" width="32.85546875" style="44" customWidth="1"/>
    <col min="3588" max="3840" width="9.140625" style="44"/>
    <col min="3841" max="3841" width="4.140625" style="44" customWidth="1"/>
    <col min="3842" max="3842" width="58.85546875" style="44" customWidth="1"/>
    <col min="3843" max="3843" width="32.85546875" style="44" customWidth="1"/>
    <col min="3844" max="4096" width="9.140625" style="44"/>
    <col min="4097" max="4097" width="4.140625" style="44" customWidth="1"/>
    <col min="4098" max="4098" width="58.85546875" style="44" customWidth="1"/>
    <col min="4099" max="4099" width="32.85546875" style="44" customWidth="1"/>
    <col min="4100" max="4352" width="9.140625" style="44"/>
    <col min="4353" max="4353" width="4.140625" style="44" customWidth="1"/>
    <col min="4354" max="4354" width="58.85546875" style="44" customWidth="1"/>
    <col min="4355" max="4355" width="32.85546875" style="44" customWidth="1"/>
    <col min="4356" max="4608" width="9.140625" style="44"/>
    <col min="4609" max="4609" width="4.140625" style="44" customWidth="1"/>
    <col min="4610" max="4610" width="58.85546875" style="44" customWidth="1"/>
    <col min="4611" max="4611" width="32.85546875" style="44" customWidth="1"/>
    <col min="4612" max="4864" width="9.140625" style="44"/>
    <col min="4865" max="4865" width="4.140625" style="44" customWidth="1"/>
    <col min="4866" max="4866" width="58.85546875" style="44" customWidth="1"/>
    <col min="4867" max="4867" width="32.85546875" style="44" customWidth="1"/>
    <col min="4868" max="5120" width="9.140625" style="44"/>
    <col min="5121" max="5121" width="4.140625" style="44" customWidth="1"/>
    <col min="5122" max="5122" width="58.85546875" style="44" customWidth="1"/>
    <col min="5123" max="5123" width="32.85546875" style="44" customWidth="1"/>
    <col min="5124" max="5376" width="9.140625" style="44"/>
    <col min="5377" max="5377" width="4.140625" style="44" customWidth="1"/>
    <col min="5378" max="5378" width="58.85546875" style="44" customWidth="1"/>
    <col min="5379" max="5379" width="32.85546875" style="44" customWidth="1"/>
    <col min="5380" max="5632" width="9.140625" style="44"/>
    <col min="5633" max="5633" width="4.140625" style="44" customWidth="1"/>
    <col min="5634" max="5634" width="58.85546875" style="44" customWidth="1"/>
    <col min="5635" max="5635" width="32.85546875" style="44" customWidth="1"/>
    <col min="5636" max="5888" width="9.140625" style="44"/>
    <col min="5889" max="5889" width="4.140625" style="44" customWidth="1"/>
    <col min="5890" max="5890" width="58.85546875" style="44" customWidth="1"/>
    <col min="5891" max="5891" width="32.85546875" style="44" customWidth="1"/>
    <col min="5892" max="6144" width="9.140625" style="44"/>
    <col min="6145" max="6145" width="4.140625" style="44" customWidth="1"/>
    <col min="6146" max="6146" width="58.85546875" style="44" customWidth="1"/>
    <col min="6147" max="6147" width="32.85546875" style="44" customWidth="1"/>
    <col min="6148" max="6400" width="9.140625" style="44"/>
    <col min="6401" max="6401" width="4.140625" style="44" customWidth="1"/>
    <col min="6402" max="6402" width="58.85546875" style="44" customWidth="1"/>
    <col min="6403" max="6403" width="32.85546875" style="44" customWidth="1"/>
    <col min="6404" max="6656" width="9.140625" style="44"/>
    <col min="6657" max="6657" width="4.140625" style="44" customWidth="1"/>
    <col min="6658" max="6658" width="58.85546875" style="44" customWidth="1"/>
    <col min="6659" max="6659" width="32.85546875" style="44" customWidth="1"/>
    <col min="6660" max="6912" width="9.140625" style="44"/>
    <col min="6913" max="6913" width="4.140625" style="44" customWidth="1"/>
    <col min="6914" max="6914" width="58.85546875" style="44" customWidth="1"/>
    <col min="6915" max="6915" width="32.85546875" style="44" customWidth="1"/>
    <col min="6916" max="7168" width="9.140625" style="44"/>
    <col min="7169" max="7169" width="4.140625" style="44" customWidth="1"/>
    <col min="7170" max="7170" width="58.85546875" style="44" customWidth="1"/>
    <col min="7171" max="7171" width="32.85546875" style="44" customWidth="1"/>
    <col min="7172" max="7424" width="9.140625" style="44"/>
    <col min="7425" max="7425" width="4.140625" style="44" customWidth="1"/>
    <col min="7426" max="7426" width="58.85546875" style="44" customWidth="1"/>
    <col min="7427" max="7427" width="32.85546875" style="44" customWidth="1"/>
    <col min="7428" max="7680" width="9.140625" style="44"/>
    <col min="7681" max="7681" width="4.140625" style="44" customWidth="1"/>
    <col min="7682" max="7682" width="58.85546875" style="44" customWidth="1"/>
    <col min="7683" max="7683" width="32.85546875" style="44" customWidth="1"/>
    <col min="7684" max="7936" width="9.140625" style="44"/>
    <col min="7937" max="7937" width="4.140625" style="44" customWidth="1"/>
    <col min="7938" max="7938" width="58.85546875" style="44" customWidth="1"/>
    <col min="7939" max="7939" width="32.85546875" style="44" customWidth="1"/>
    <col min="7940" max="8192" width="9.140625" style="44"/>
    <col min="8193" max="8193" width="4.140625" style="44" customWidth="1"/>
    <col min="8194" max="8194" width="58.85546875" style="44" customWidth="1"/>
    <col min="8195" max="8195" width="32.85546875" style="44" customWidth="1"/>
    <col min="8196" max="8448" width="9.140625" style="44"/>
    <col min="8449" max="8449" width="4.140625" style="44" customWidth="1"/>
    <col min="8450" max="8450" width="58.85546875" style="44" customWidth="1"/>
    <col min="8451" max="8451" width="32.85546875" style="44" customWidth="1"/>
    <col min="8452" max="8704" width="9.140625" style="44"/>
    <col min="8705" max="8705" width="4.140625" style="44" customWidth="1"/>
    <col min="8706" max="8706" width="58.85546875" style="44" customWidth="1"/>
    <col min="8707" max="8707" width="32.85546875" style="44" customWidth="1"/>
    <col min="8708" max="8960" width="9.140625" style="44"/>
    <col min="8961" max="8961" width="4.140625" style="44" customWidth="1"/>
    <col min="8962" max="8962" width="58.85546875" style="44" customWidth="1"/>
    <col min="8963" max="8963" width="32.85546875" style="44" customWidth="1"/>
    <col min="8964" max="9216" width="9.140625" style="44"/>
    <col min="9217" max="9217" width="4.140625" style="44" customWidth="1"/>
    <col min="9218" max="9218" width="58.85546875" style="44" customWidth="1"/>
    <col min="9219" max="9219" width="32.85546875" style="44" customWidth="1"/>
    <col min="9220" max="9472" width="9.140625" style="44"/>
    <col min="9473" max="9473" width="4.140625" style="44" customWidth="1"/>
    <col min="9474" max="9474" width="58.85546875" style="44" customWidth="1"/>
    <col min="9475" max="9475" width="32.85546875" style="44" customWidth="1"/>
    <col min="9476" max="9728" width="9.140625" style="44"/>
    <col min="9729" max="9729" width="4.140625" style="44" customWidth="1"/>
    <col min="9730" max="9730" width="58.85546875" style="44" customWidth="1"/>
    <col min="9731" max="9731" width="32.85546875" style="44" customWidth="1"/>
    <col min="9732" max="9984" width="9.140625" style="44"/>
    <col min="9985" max="9985" width="4.140625" style="44" customWidth="1"/>
    <col min="9986" max="9986" width="58.85546875" style="44" customWidth="1"/>
    <col min="9987" max="9987" width="32.85546875" style="44" customWidth="1"/>
    <col min="9988" max="10240" width="9.140625" style="44"/>
    <col min="10241" max="10241" width="4.140625" style="44" customWidth="1"/>
    <col min="10242" max="10242" width="58.85546875" style="44" customWidth="1"/>
    <col min="10243" max="10243" width="32.85546875" style="44" customWidth="1"/>
    <col min="10244" max="10496" width="9.140625" style="44"/>
    <col min="10497" max="10497" width="4.140625" style="44" customWidth="1"/>
    <col min="10498" max="10498" width="58.85546875" style="44" customWidth="1"/>
    <col min="10499" max="10499" width="32.85546875" style="44" customWidth="1"/>
    <col min="10500" max="10752" width="9.140625" style="44"/>
    <col min="10753" max="10753" width="4.140625" style="44" customWidth="1"/>
    <col min="10754" max="10754" width="58.85546875" style="44" customWidth="1"/>
    <col min="10755" max="10755" width="32.85546875" style="44" customWidth="1"/>
    <col min="10756" max="11008" width="9.140625" style="44"/>
    <col min="11009" max="11009" width="4.140625" style="44" customWidth="1"/>
    <col min="11010" max="11010" width="58.85546875" style="44" customWidth="1"/>
    <col min="11011" max="11011" width="32.85546875" style="44" customWidth="1"/>
    <col min="11012" max="11264" width="9.140625" style="44"/>
    <col min="11265" max="11265" width="4.140625" style="44" customWidth="1"/>
    <col min="11266" max="11266" width="58.85546875" style="44" customWidth="1"/>
    <col min="11267" max="11267" width="32.85546875" style="44" customWidth="1"/>
    <col min="11268" max="11520" width="9.140625" style="44"/>
    <col min="11521" max="11521" width="4.140625" style="44" customWidth="1"/>
    <col min="11522" max="11522" width="58.85546875" style="44" customWidth="1"/>
    <col min="11523" max="11523" width="32.85546875" style="44" customWidth="1"/>
    <col min="11524" max="11776" width="9.140625" style="44"/>
    <col min="11777" max="11777" width="4.140625" style="44" customWidth="1"/>
    <col min="11778" max="11778" width="58.85546875" style="44" customWidth="1"/>
    <col min="11779" max="11779" width="32.85546875" style="44" customWidth="1"/>
    <col min="11780" max="12032" width="9.140625" style="44"/>
    <col min="12033" max="12033" width="4.140625" style="44" customWidth="1"/>
    <col min="12034" max="12034" width="58.85546875" style="44" customWidth="1"/>
    <col min="12035" max="12035" width="32.85546875" style="44" customWidth="1"/>
    <col min="12036" max="12288" width="9.140625" style="44"/>
    <col min="12289" max="12289" width="4.140625" style="44" customWidth="1"/>
    <col min="12290" max="12290" width="58.85546875" style="44" customWidth="1"/>
    <col min="12291" max="12291" width="32.85546875" style="44" customWidth="1"/>
    <col min="12292" max="12544" width="9.140625" style="44"/>
    <col min="12545" max="12545" width="4.140625" style="44" customWidth="1"/>
    <col min="12546" max="12546" width="58.85546875" style="44" customWidth="1"/>
    <col min="12547" max="12547" width="32.85546875" style="44" customWidth="1"/>
    <col min="12548" max="12800" width="9.140625" style="44"/>
    <col min="12801" max="12801" width="4.140625" style="44" customWidth="1"/>
    <col min="12802" max="12802" width="58.85546875" style="44" customWidth="1"/>
    <col min="12803" max="12803" width="32.85546875" style="44" customWidth="1"/>
    <col min="12804" max="13056" width="9.140625" style="44"/>
    <col min="13057" max="13057" width="4.140625" style="44" customWidth="1"/>
    <col min="13058" max="13058" width="58.85546875" style="44" customWidth="1"/>
    <col min="13059" max="13059" width="32.85546875" style="44" customWidth="1"/>
    <col min="13060" max="13312" width="9.140625" style="44"/>
    <col min="13313" max="13313" width="4.140625" style="44" customWidth="1"/>
    <col min="13314" max="13314" width="58.85546875" style="44" customWidth="1"/>
    <col min="13315" max="13315" width="32.85546875" style="44" customWidth="1"/>
    <col min="13316" max="13568" width="9.140625" style="44"/>
    <col min="13569" max="13569" width="4.140625" style="44" customWidth="1"/>
    <col min="13570" max="13570" width="58.85546875" style="44" customWidth="1"/>
    <col min="13571" max="13571" width="32.85546875" style="44" customWidth="1"/>
    <col min="13572" max="13824" width="9.140625" style="44"/>
    <col min="13825" max="13825" width="4.140625" style="44" customWidth="1"/>
    <col min="13826" max="13826" width="58.85546875" style="44" customWidth="1"/>
    <col min="13827" max="13827" width="32.85546875" style="44" customWidth="1"/>
    <col min="13828" max="14080" width="9.140625" style="44"/>
    <col min="14081" max="14081" width="4.140625" style="44" customWidth="1"/>
    <col min="14082" max="14082" width="58.85546875" style="44" customWidth="1"/>
    <col min="14083" max="14083" width="32.85546875" style="44" customWidth="1"/>
    <col min="14084" max="14336" width="9.140625" style="44"/>
    <col min="14337" max="14337" width="4.140625" style="44" customWidth="1"/>
    <col min="14338" max="14338" width="58.85546875" style="44" customWidth="1"/>
    <col min="14339" max="14339" width="32.85546875" style="44" customWidth="1"/>
    <col min="14340" max="14592" width="9.140625" style="44"/>
    <col min="14593" max="14593" width="4.140625" style="44" customWidth="1"/>
    <col min="14594" max="14594" width="58.85546875" style="44" customWidth="1"/>
    <col min="14595" max="14595" width="32.85546875" style="44" customWidth="1"/>
    <col min="14596" max="14848" width="9.140625" style="44"/>
    <col min="14849" max="14849" width="4.140625" style="44" customWidth="1"/>
    <col min="14850" max="14850" width="58.85546875" style="44" customWidth="1"/>
    <col min="14851" max="14851" width="32.85546875" style="44" customWidth="1"/>
    <col min="14852" max="15104" width="9.140625" style="44"/>
    <col min="15105" max="15105" width="4.140625" style="44" customWidth="1"/>
    <col min="15106" max="15106" width="58.85546875" style="44" customWidth="1"/>
    <col min="15107" max="15107" width="32.85546875" style="44" customWidth="1"/>
    <col min="15108" max="15360" width="9.140625" style="44"/>
    <col min="15361" max="15361" width="4.140625" style="44" customWidth="1"/>
    <col min="15362" max="15362" width="58.85546875" style="44" customWidth="1"/>
    <col min="15363" max="15363" width="32.85546875" style="44" customWidth="1"/>
    <col min="15364" max="15616" width="9.140625" style="44"/>
    <col min="15617" max="15617" width="4.140625" style="44" customWidth="1"/>
    <col min="15618" max="15618" width="58.85546875" style="44" customWidth="1"/>
    <col min="15619" max="15619" width="32.85546875" style="44" customWidth="1"/>
    <col min="15620" max="15872" width="9.140625" style="44"/>
    <col min="15873" max="15873" width="4.140625" style="44" customWidth="1"/>
    <col min="15874" max="15874" width="58.85546875" style="44" customWidth="1"/>
    <col min="15875" max="15875" width="32.85546875" style="44" customWidth="1"/>
    <col min="15876" max="16128" width="9.140625" style="44"/>
    <col min="16129" max="16129" width="4.140625" style="44" customWidth="1"/>
    <col min="16130" max="16130" width="58.85546875" style="44" customWidth="1"/>
    <col min="16131" max="16131" width="32.85546875" style="44" customWidth="1"/>
    <col min="16132" max="16384" width="9.140625" style="44"/>
  </cols>
  <sheetData>
    <row r="1" spans="1:5" x14ac:dyDescent="0.2">
      <c r="A1" s="42"/>
      <c r="B1" s="43"/>
      <c r="C1" s="364" t="s">
        <v>522</v>
      </c>
      <c r="D1" s="364"/>
      <c r="E1" s="43"/>
    </row>
    <row r="2" spans="1:5" ht="51.75" customHeight="1" x14ac:dyDescent="0.2">
      <c r="A2" s="42"/>
      <c r="B2" s="43"/>
      <c r="C2" s="366" t="s">
        <v>432</v>
      </c>
      <c r="D2" s="366"/>
      <c r="E2" s="43"/>
    </row>
    <row r="3" spans="1:5" x14ac:dyDescent="0.2">
      <c r="A3" s="42"/>
      <c r="B3" s="43"/>
      <c r="C3" s="327" t="s">
        <v>399</v>
      </c>
      <c r="D3" s="327"/>
      <c r="E3" s="43"/>
    </row>
    <row r="4" spans="1:5" x14ac:dyDescent="0.2">
      <c r="A4" s="42"/>
      <c r="B4" s="43"/>
      <c r="C4" s="45"/>
      <c r="D4" s="43"/>
      <c r="E4" s="43"/>
    </row>
    <row r="5" spans="1:5" s="59" customFormat="1" ht="102.75" customHeight="1" x14ac:dyDescent="0.25">
      <c r="A5" s="57"/>
      <c r="B5" s="367" t="s">
        <v>509</v>
      </c>
      <c r="C5" s="367"/>
      <c r="D5" s="367"/>
      <c r="E5" s="58"/>
    </row>
    <row r="6" spans="1:5" ht="15" x14ac:dyDescent="0.2">
      <c r="A6" s="42"/>
      <c r="B6" s="46"/>
      <c r="C6" s="46"/>
      <c r="D6" s="43" t="s">
        <v>311</v>
      </c>
      <c r="E6" s="43"/>
    </row>
    <row r="7" spans="1:5" s="48" customFormat="1" ht="27.75" customHeight="1" x14ac:dyDescent="0.25">
      <c r="A7" s="81" t="s">
        <v>169</v>
      </c>
      <c r="B7" s="81" t="s">
        <v>170</v>
      </c>
      <c r="C7" s="163" t="s">
        <v>310</v>
      </c>
      <c r="D7" s="163" t="s">
        <v>510</v>
      </c>
      <c r="E7" s="47"/>
    </row>
    <row r="8" spans="1:5" s="86" customFormat="1" ht="41.25" customHeight="1" x14ac:dyDescent="0.25">
      <c r="A8" s="82">
        <v>1</v>
      </c>
      <c r="B8" s="83" t="s">
        <v>172</v>
      </c>
      <c r="C8" s="84" t="e">
        <f>#REF!</f>
        <v>#REF!</v>
      </c>
      <c r="D8" s="84" t="e">
        <f>C8</f>
        <v>#REF!</v>
      </c>
      <c r="E8" s="85"/>
    </row>
    <row r="9" spans="1:5" s="86" customFormat="1" ht="41.25" customHeight="1" x14ac:dyDescent="0.25">
      <c r="A9" s="82">
        <v>2</v>
      </c>
      <c r="B9" s="83" t="s">
        <v>173</v>
      </c>
      <c r="C9" s="84" t="e">
        <f>#REF!</f>
        <v>#REF!</v>
      </c>
      <c r="D9" s="84" t="e">
        <f t="shared" ref="D9:D13" si="0">C9</f>
        <v>#REF!</v>
      </c>
      <c r="E9" s="85"/>
    </row>
    <row r="10" spans="1:5" s="86" customFormat="1" ht="41.25" customHeight="1" x14ac:dyDescent="0.25">
      <c r="A10" s="82">
        <v>3</v>
      </c>
      <c r="B10" s="83" t="s">
        <v>174</v>
      </c>
      <c r="C10" s="84" t="e">
        <f>#REF!</f>
        <v>#REF!</v>
      </c>
      <c r="D10" s="84" t="e">
        <f t="shared" si="0"/>
        <v>#REF!</v>
      </c>
      <c r="E10" s="85"/>
    </row>
    <row r="11" spans="1:5" s="86" customFormat="1" ht="41.25" customHeight="1" x14ac:dyDescent="0.25">
      <c r="A11" s="82">
        <v>4</v>
      </c>
      <c r="B11" s="83" t="s">
        <v>175</v>
      </c>
      <c r="C11" s="84" t="e">
        <f>#REF!</f>
        <v>#REF!</v>
      </c>
      <c r="D11" s="84" t="e">
        <f t="shared" si="0"/>
        <v>#REF!</v>
      </c>
      <c r="E11" s="85"/>
    </row>
    <row r="12" spans="1:5" s="86" customFormat="1" ht="41.25" customHeight="1" x14ac:dyDescent="0.25">
      <c r="A12" s="82">
        <v>5</v>
      </c>
      <c r="B12" s="83" t="s">
        <v>176</v>
      </c>
      <c r="C12" s="84" t="e">
        <f>#REF!</f>
        <v>#REF!</v>
      </c>
      <c r="D12" s="84" t="e">
        <f t="shared" si="0"/>
        <v>#REF!</v>
      </c>
      <c r="E12" s="85"/>
    </row>
    <row r="13" spans="1:5" s="86" customFormat="1" ht="41.25" customHeight="1" x14ac:dyDescent="0.25">
      <c r="A13" s="82">
        <v>6</v>
      </c>
      <c r="B13" s="83" t="s">
        <v>177</v>
      </c>
      <c r="C13" s="84" t="e">
        <f>#REF!</f>
        <v>#REF!</v>
      </c>
      <c r="D13" s="84" t="e">
        <f t="shared" si="0"/>
        <v>#REF!</v>
      </c>
      <c r="E13" s="85"/>
    </row>
    <row r="14" spans="1:5" s="91" customFormat="1" ht="41.25" customHeight="1" x14ac:dyDescent="0.25">
      <c r="A14" s="87"/>
      <c r="B14" s="88" t="s">
        <v>9</v>
      </c>
      <c r="C14" s="89" t="e">
        <f>SUM(C8:C13)</f>
        <v>#REF!</v>
      </c>
      <c r="D14" s="89" t="e">
        <f>SUM(D8:D13)</f>
        <v>#REF!</v>
      </c>
      <c r="E14" s="90"/>
    </row>
  </sheetData>
  <mergeCells count="4">
    <mergeCell ref="C2:D2"/>
    <mergeCell ref="C1:D1"/>
    <mergeCell ref="B5:D5"/>
    <mergeCell ref="C3:D3"/>
  </mergeCells>
  <pageMargins left="0.70866141732283472" right="0.51181102362204722" top="0.74803149606299213" bottom="0.74803149606299213" header="0.31496062992125984" footer="0.31496062992125984"/>
  <pageSetup paperSize="9" scale="8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workbookViewId="0">
      <selection activeCell="B15" sqref="B15"/>
    </sheetView>
  </sheetViews>
  <sheetFormatPr defaultRowHeight="15" x14ac:dyDescent="0.25"/>
  <cols>
    <col min="1" max="1" width="6.5703125" customWidth="1"/>
    <col min="2" max="2" width="57.7109375" customWidth="1"/>
    <col min="3" max="4" width="16.85546875" customWidth="1"/>
  </cols>
  <sheetData>
    <row r="1" spans="1:13" s="115" customFormat="1" ht="22.5" customHeight="1" x14ac:dyDescent="0.2">
      <c r="C1" s="342" t="s">
        <v>545</v>
      </c>
      <c r="D1" s="342"/>
    </row>
    <row r="2" spans="1:13" s="115" customFormat="1" ht="59.25" customHeight="1" x14ac:dyDescent="0.2">
      <c r="C2" s="366" t="s">
        <v>432</v>
      </c>
      <c r="D2" s="366"/>
    </row>
    <row r="3" spans="1:13" s="115" customFormat="1" ht="11.25" x14ac:dyDescent="0.2">
      <c r="C3" s="327" t="s">
        <v>400</v>
      </c>
      <c r="D3" s="327"/>
    </row>
    <row r="4" spans="1:13" s="116" customFormat="1" ht="135" customHeight="1" x14ac:dyDescent="0.25">
      <c r="A4" s="117"/>
      <c r="B4" s="368" t="s">
        <v>508</v>
      </c>
      <c r="C4" s="368"/>
      <c r="D4" s="368"/>
      <c r="E4" s="118"/>
      <c r="F4" s="118"/>
      <c r="G4" s="118"/>
      <c r="H4" s="118"/>
      <c r="I4" s="118"/>
      <c r="J4" s="118"/>
      <c r="K4" s="119"/>
      <c r="L4" s="119"/>
      <c r="M4" s="119"/>
    </row>
    <row r="5" spans="1:13" s="116" customFormat="1" ht="36" customHeight="1" x14ac:dyDescent="0.25">
      <c r="A5" s="117"/>
      <c r="B5" s="120"/>
      <c r="C5" s="120"/>
      <c r="D5" s="120"/>
      <c r="E5" s="120"/>
      <c r="F5" s="120"/>
      <c r="G5" s="120"/>
      <c r="H5" s="120"/>
      <c r="I5" s="120"/>
      <c r="J5" s="121"/>
      <c r="K5" s="119"/>
      <c r="L5" s="119"/>
      <c r="M5" s="119"/>
    </row>
    <row r="6" spans="1:13" s="48" customFormat="1" ht="41.25" customHeight="1" x14ac:dyDescent="0.25">
      <c r="A6" s="163" t="s">
        <v>169</v>
      </c>
      <c r="B6" s="168" t="s">
        <v>170</v>
      </c>
      <c r="C6" s="163" t="s">
        <v>310</v>
      </c>
      <c r="D6" s="163" t="s">
        <v>510</v>
      </c>
      <c r="E6" s="47"/>
    </row>
    <row r="7" spans="1:13" s="116" customFormat="1" ht="30.75" customHeight="1" x14ac:dyDescent="0.2">
      <c r="A7" s="49">
        <v>1</v>
      </c>
      <c r="B7" s="50" t="s">
        <v>172</v>
      </c>
      <c r="C7" s="51">
        <v>200</v>
      </c>
      <c r="D7" s="51">
        <v>200</v>
      </c>
      <c r="E7" s="119"/>
    </row>
    <row r="8" spans="1:13" s="56" customFormat="1" ht="30.75" customHeight="1" x14ac:dyDescent="0.25">
      <c r="A8" s="52"/>
      <c r="B8" s="53" t="s">
        <v>9</v>
      </c>
      <c r="C8" s="54">
        <f>SUM(C7:C7)</f>
        <v>200</v>
      </c>
      <c r="D8" s="54">
        <f>SUM(D7:D7)</f>
        <v>200</v>
      </c>
      <c r="E8" s="55"/>
    </row>
    <row r="9" spans="1:13" s="116" customFormat="1" ht="15.75" x14ac:dyDescent="0.25">
      <c r="A9" s="122"/>
      <c r="B9" s="122"/>
      <c r="C9" s="123"/>
      <c r="D9" s="123"/>
      <c r="E9" s="123"/>
      <c r="F9" s="123"/>
      <c r="G9" s="123"/>
      <c r="H9" s="123"/>
      <c r="I9" s="123"/>
      <c r="J9" s="119"/>
      <c r="K9" s="119"/>
      <c r="L9" s="119"/>
      <c r="M9" s="119"/>
    </row>
  </sheetData>
  <mergeCells count="4">
    <mergeCell ref="C3:D3"/>
    <mergeCell ref="C2:D2"/>
    <mergeCell ref="C1:D1"/>
    <mergeCell ref="B4:D4"/>
  </mergeCells>
  <pageMargins left="0.9055118110236221" right="0.70866141732283472" top="0.74803149606299213" bottom="0.74803149606299213" header="0.31496062992125984" footer="0.31496062992125984"/>
  <pageSetup paperSize="9" scale="85"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topLeftCell="A4" workbookViewId="0">
      <selection activeCell="G15" sqref="G15"/>
    </sheetView>
  </sheetViews>
  <sheetFormatPr defaultRowHeight="12.75" x14ac:dyDescent="0.2"/>
  <cols>
    <col min="1" max="1" width="4.140625" style="44" customWidth="1"/>
    <col min="2" max="2" width="49" style="44" customWidth="1"/>
    <col min="3" max="3" width="18.7109375" style="44" hidden="1" customWidth="1"/>
    <col min="4" max="4" width="13" style="44" hidden="1" customWidth="1"/>
    <col min="5" max="5" width="38.140625" style="44" customWidth="1"/>
    <col min="6" max="254" width="9.140625" style="44"/>
    <col min="255" max="255" width="4.140625" style="44" customWidth="1"/>
    <col min="256" max="256" width="58.85546875" style="44" customWidth="1"/>
    <col min="257" max="257" width="32.85546875" style="44" customWidth="1"/>
    <col min="258" max="510" width="9.140625" style="44"/>
    <col min="511" max="511" width="4.140625" style="44" customWidth="1"/>
    <col min="512" max="512" width="58.85546875" style="44" customWidth="1"/>
    <col min="513" max="513" width="32.85546875" style="44" customWidth="1"/>
    <col min="514" max="766" width="9.140625" style="44"/>
    <col min="767" max="767" width="4.140625" style="44" customWidth="1"/>
    <col min="768" max="768" width="58.85546875" style="44" customWidth="1"/>
    <col min="769" max="769" width="32.85546875" style="44" customWidth="1"/>
    <col min="770" max="1022" width="9.140625" style="44"/>
    <col min="1023" max="1023" width="4.140625" style="44" customWidth="1"/>
    <col min="1024" max="1024" width="58.85546875" style="44" customWidth="1"/>
    <col min="1025" max="1025" width="32.85546875" style="44" customWidth="1"/>
    <col min="1026" max="1278" width="9.140625" style="44"/>
    <col min="1279" max="1279" width="4.140625" style="44" customWidth="1"/>
    <col min="1280" max="1280" width="58.85546875" style="44" customWidth="1"/>
    <col min="1281" max="1281" width="32.85546875" style="44" customWidth="1"/>
    <col min="1282" max="1534" width="9.140625" style="44"/>
    <col min="1535" max="1535" width="4.140625" style="44" customWidth="1"/>
    <col min="1536" max="1536" width="58.85546875" style="44" customWidth="1"/>
    <col min="1537" max="1537" width="32.85546875" style="44" customWidth="1"/>
    <col min="1538" max="1790" width="9.140625" style="44"/>
    <col min="1791" max="1791" width="4.140625" style="44" customWidth="1"/>
    <col min="1792" max="1792" width="58.85546875" style="44" customWidth="1"/>
    <col min="1793" max="1793" width="32.85546875" style="44" customWidth="1"/>
    <col min="1794" max="2046" width="9.140625" style="44"/>
    <col min="2047" max="2047" width="4.140625" style="44" customWidth="1"/>
    <col min="2048" max="2048" width="58.85546875" style="44" customWidth="1"/>
    <col min="2049" max="2049" width="32.85546875" style="44" customWidth="1"/>
    <col min="2050" max="2302" width="9.140625" style="44"/>
    <col min="2303" max="2303" width="4.140625" style="44" customWidth="1"/>
    <col min="2304" max="2304" width="58.85546875" style="44" customWidth="1"/>
    <col min="2305" max="2305" width="32.85546875" style="44" customWidth="1"/>
    <col min="2306" max="2558" width="9.140625" style="44"/>
    <col min="2559" max="2559" width="4.140625" style="44" customWidth="1"/>
    <col min="2560" max="2560" width="58.85546875" style="44" customWidth="1"/>
    <col min="2561" max="2561" width="32.85546875" style="44" customWidth="1"/>
    <col min="2562" max="2814" width="9.140625" style="44"/>
    <col min="2815" max="2815" width="4.140625" style="44" customWidth="1"/>
    <col min="2816" max="2816" width="58.85546875" style="44" customWidth="1"/>
    <col min="2817" max="2817" width="32.85546875" style="44" customWidth="1"/>
    <col min="2818" max="3070" width="9.140625" style="44"/>
    <col min="3071" max="3071" width="4.140625" style="44" customWidth="1"/>
    <col min="3072" max="3072" width="58.85546875" style="44" customWidth="1"/>
    <col min="3073" max="3073" width="32.85546875" style="44" customWidth="1"/>
    <col min="3074" max="3326" width="9.140625" style="44"/>
    <col min="3327" max="3327" width="4.140625" style="44" customWidth="1"/>
    <col min="3328" max="3328" width="58.85546875" style="44" customWidth="1"/>
    <col min="3329" max="3329" width="32.85546875" style="44" customWidth="1"/>
    <col min="3330" max="3582" width="9.140625" style="44"/>
    <col min="3583" max="3583" width="4.140625" style="44" customWidth="1"/>
    <col min="3584" max="3584" width="58.85546875" style="44" customWidth="1"/>
    <col min="3585" max="3585" width="32.85546875" style="44" customWidth="1"/>
    <col min="3586" max="3838" width="9.140625" style="44"/>
    <col min="3839" max="3839" width="4.140625" style="44" customWidth="1"/>
    <col min="3840" max="3840" width="58.85546875" style="44" customWidth="1"/>
    <col min="3841" max="3841" width="32.85546875" style="44" customWidth="1"/>
    <col min="3842" max="4094" width="9.140625" style="44"/>
    <col min="4095" max="4095" width="4.140625" style="44" customWidth="1"/>
    <col min="4096" max="4096" width="58.85546875" style="44" customWidth="1"/>
    <col min="4097" max="4097" width="32.85546875" style="44" customWidth="1"/>
    <col min="4098" max="4350" width="9.140625" style="44"/>
    <col min="4351" max="4351" width="4.140625" style="44" customWidth="1"/>
    <col min="4352" max="4352" width="58.85546875" style="44" customWidth="1"/>
    <col min="4353" max="4353" width="32.85546875" style="44" customWidth="1"/>
    <col min="4354" max="4606" width="9.140625" style="44"/>
    <col min="4607" max="4607" width="4.140625" style="44" customWidth="1"/>
    <col min="4608" max="4608" width="58.85546875" style="44" customWidth="1"/>
    <col min="4609" max="4609" width="32.85546875" style="44" customWidth="1"/>
    <col min="4610" max="4862" width="9.140625" style="44"/>
    <col min="4863" max="4863" width="4.140625" style="44" customWidth="1"/>
    <col min="4864" max="4864" width="58.85546875" style="44" customWidth="1"/>
    <col min="4865" max="4865" width="32.85546875" style="44" customWidth="1"/>
    <col min="4866" max="5118" width="9.140625" style="44"/>
    <col min="5119" max="5119" width="4.140625" style="44" customWidth="1"/>
    <col min="5120" max="5120" width="58.85546875" style="44" customWidth="1"/>
    <col min="5121" max="5121" width="32.85546875" style="44" customWidth="1"/>
    <col min="5122" max="5374" width="9.140625" style="44"/>
    <col min="5375" max="5375" width="4.140625" style="44" customWidth="1"/>
    <col min="5376" max="5376" width="58.85546875" style="44" customWidth="1"/>
    <col min="5377" max="5377" width="32.85546875" style="44" customWidth="1"/>
    <col min="5378" max="5630" width="9.140625" style="44"/>
    <col min="5631" max="5631" width="4.140625" style="44" customWidth="1"/>
    <col min="5632" max="5632" width="58.85546875" style="44" customWidth="1"/>
    <col min="5633" max="5633" width="32.85546875" style="44" customWidth="1"/>
    <col min="5634" max="5886" width="9.140625" style="44"/>
    <col min="5887" max="5887" width="4.140625" style="44" customWidth="1"/>
    <col min="5888" max="5888" width="58.85546875" style="44" customWidth="1"/>
    <col min="5889" max="5889" width="32.85546875" style="44" customWidth="1"/>
    <col min="5890" max="6142" width="9.140625" style="44"/>
    <col min="6143" max="6143" width="4.140625" style="44" customWidth="1"/>
    <col min="6144" max="6144" width="58.85546875" style="44" customWidth="1"/>
    <col min="6145" max="6145" width="32.85546875" style="44" customWidth="1"/>
    <col min="6146" max="6398" width="9.140625" style="44"/>
    <col min="6399" max="6399" width="4.140625" style="44" customWidth="1"/>
    <col min="6400" max="6400" width="58.85546875" style="44" customWidth="1"/>
    <col min="6401" max="6401" width="32.85546875" style="44" customWidth="1"/>
    <col min="6402" max="6654" width="9.140625" style="44"/>
    <col min="6655" max="6655" width="4.140625" style="44" customWidth="1"/>
    <col min="6656" max="6656" width="58.85546875" style="44" customWidth="1"/>
    <col min="6657" max="6657" width="32.85546875" style="44" customWidth="1"/>
    <col min="6658" max="6910" width="9.140625" style="44"/>
    <col min="6911" max="6911" width="4.140625" style="44" customWidth="1"/>
    <col min="6912" max="6912" width="58.85546875" style="44" customWidth="1"/>
    <col min="6913" max="6913" width="32.85546875" style="44" customWidth="1"/>
    <col min="6914" max="7166" width="9.140625" style="44"/>
    <col min="7167" max="7167" width="4.140625" style="44" customWidth="1"/>
    <col min="7168" max="7168" width="58.85546875" style="44" customWidth="1"/>
    <col min="7169" max="7169" width="32.85546875" style="44" customWidth="1"/>
    <col min="7170" max="7422" width="9.140625" style="44"/>
    <col min="7423" max="7423" width="4.140625" style="44" customWidth="1"/>
    <col min="7424" max="7424" width="58.85546875" style="44" customWidth="1"/>
    <col min="7425" max="7425" width="32.85546875" style="44" customWidth="1"/>
    <col min="7426" max="7678" width="9.140625" style="44"/>
    <col min="7679" max="7679" width="4.140625" style="44" customWidth="1"/>
    <col min="7680" max="7680" width="58.85546875" style="44" customWidth="1"/>
    <col min="7681" max="7681" width="32.85546875" style="44" customWidth="1"/>
    <col min="7682" max="7934" width="9.140625" style="44"/>
    <col min="7935" max="7935" width="4.140625" style="44" customWidth="1"/>
    <col min="7936" max="7936" width="58.85546875" style="44" customWidth="1"/>
    <col min="7937" max="7937" width="32.85546875" style="44" customWidth="1"/>
    <col min="7938" max="8190" width="9.140625" style="44"/>
    <col min="8191" max="8191" width="4.140625" style="44" customWidth="1"/>
    <col min="8192" max="8192" width="58.85546875" style="44" customWidth="1"/>
    <col min="8193" max="8193" width="32.85546875" style="44" customWidth="1"/>
    <col min="8194" max="8446" width="9.140625" style="44"/>
    <col min="8447" max="8447" width="4.140625" style="44" customWidth="1"/>
    <col min="8448" max="8448" width="58.85546875" style="44" customWidth="1"/>
    <col min="8449" max="8449" width="32.85546875" style="44" customWidth="1"/>
    <col min="8450" max="8702" width="9.140625" style="44"/>
    <col min="8703" max="8703" width="4.140625" style="44" customWidth="1"/>
    <col min="8704" max="8704" width="58.85546875" style="44" customWidth="1"/>
    <col min="8705" max="8705" width="32.85546875" style="44" customWidth="1"/>
    <col min="8706" max="8958" width="9.140625" style="44"/>
    <col min="8959" max="8959" width="4.140625" style="44" customWidth="1"/>
    <col min="8960" max="8960" width="58.85546875" style="44" customWidth="1"/>
    <col min="8961" max="8961" width="32.85546875" style="44" customWidth="1"/>
    <col min="8962" max="9214" width="9.140625" style="44"/>
    <col min="9215" max="9215" width="4.140625" style="44" customWidth="1"/>
    <col min="9216" max="9216" width="58.85546875" style="44" customWidth="1"/>
    <col min="9217" max="9217" width="32.85546875" style="44" customWidth="1"/>
    <col min="9218" max="9470" width="9.140625" style="44"/>
    <col min="9471" max="9471" width="4.140625" style="44" customWidth="1"/>
    <col min="9472" max="9472" width="58.85546875" style="44" customWidth="1"/>
    <col min="9473" max="9473" width="32.85546875" style="44" customWidth="1"/>
    <col min="9474" max="9726" width="9.140625" style="44"/>
    <col min="9727" max="9727" width="4.140625" style="44" customWidth="1"/>
    <col min="9728" max="9728" width="58.85546875" style="44" customWidth="1"/>
    <col min="9729" max="9729" width="32.85546875" style="44" customWidth="1"/>
    <col min="9730" max="9982" width="9.140625" style="44"/>
    <col min="9983" max="9983" width="4.140625" style="44" customWidth="1"/>
    <col min="9984" max="9984" width="58.85546875" style="44" customWidth="1"/>
    <col min="9985" max="9985" width="32.85546875" style="44" customWidth="1"/>
    <col min="9986" max="10238" width="9.140625" style="44"/>
    <col min="10239" max="10239" width="4.140625" style="44" customWidth="1"/>
    <col min="10240" max="10240" width="58.85546875" style="44" customWidth="1"/>
    <col min="10241" max="10241" width="32.85546875" style="44" customWidth="1"/>
    <col min="10242" max="10494" width="9.140625" style="44"/>
    <col min="10495" max="10495" width="4.140625" style="44" customWidth="1"/>
    <col min="10496" max="10496" width="58.85546875" style="44" customWidth="1"/>
    <col min="10497" max="10497" width="32.85546875" style="44" customWidth="1"/>
    <col min="10498" max="10750" width="9.140625" style="44"/>
    <col min="10751" max="10751" width="4.140625" style="44" customWidth="1"/>
    <col min="10752" max="10752" width="58.85546875" style="44" customWidth="1"/>
    <col min="10753" max="10753" width="32.85546875" style="44" customWidth="1"/>
    <col min="10754" max="11006" width="9.140625" style="44"/>
    <col min="11007" max="11007" width="4.140625" style="44" customWidth="1"/>
    <col min="11008" max="11008" width="58.85546875" style="44" customWidth="1"/>
    <col min="11009" max="11009" width="32.85546875" style="44" customWidth="1"/>
    <col min="11010" max="11262" width="9.140625" style="44"/>
    <col min="11263" max="11263" width="4.140625" style="44" customWidth="1"/>
    <col min="11264" max="11264" width="58.85546875" style="44" customWidth="1"/>
    <col min="11265" max="11265" width="32.85546875" style="44" customWidth="1"/>
    <col min="11266" max="11518" width="9.140625" style="44"/>
    <col min="11519" max="11519" width="4.140625" style="44" customWidth="1"/>
    <col min="11520" max="11520" width="58.85546875" style="44" customWidth="1"/>
    <col min="11521" max="11521" width="32.85546875" style="44" customWidth="1"/>
    <col min="11522" max="11774" width="9.140625" style="44"/>
    <col min="11775" max="11775" width="4.140625" style="44" customWidth="1"/>
    <col min="11776" max="11776" width="58.85546875" style="44" customWidth="1"/>
    <col min="11777" max="11777" width="32.85546875" style="44" customWidth="1"/>
    <col min="11778" max="12030" width="9.140625" style="44"/>
    <col min="12031" max="12031" width="4.140625" style="44" customWidth="1"/>
    <col min="12032" max="12032" width="58.85546875" style="44" customWidth="1"/>
    <col min="12033" max="12033" width="32.85546875" style="44" customWidth="1"/>
    <col min="12034" max="12286" width="9.140625" style="44"/>
    <col min="12287" max="12287" width="4.140625" style="44" customWidth="1"/>
    <col min="12288" max="12288" width="58.85546875" style="44" customWidth="1"/>
    <col min="12289" max="12289" width="32.85546875" style="44" customWidth="1"/>
    <col min="12290" max="12542" width="9.140625" style="44"/>
    <col min="12543" max="12543" width="4.140625" style="44" customWidth="1"/>
    <col min="12544" max="12544" width="58.85546875" style="44" customWidth="1"/>
    <col min="12545" max="12545" width="32.85546875" style="44" customWidth="1"/>
    <col min="12546" max="12798" width="9.140625" style="44"/>
    <col min="12799" max="12799" width="4.140625" style="44" customWidth="1"/>
    <col min="12800" max="12800" width="58.85546875" style="44" customWidth="1"/>
    <col min="12801" max="12801" width="32.85546875" style="44" customWidth="1"/>
    <col min="12802" max="13054" width="9.140625" style="44"/>
    <col min="13055" max="13055" width="4.140625" style="44" customWidth="1"/>
    <col min="13056" max="13056" width="58.85546875" style="44" customWidth="1"/>
    <col min="13057" max="13057" width="32.85546875" style="44" customWidth="1"/>
    <col min="13058" max="13310" width="9.140625" style="44"/>
    <col min="13311" max="13311" width="4.140625" style="44" customWidth="1"/>
    <col min="13312" max="13312" width="58.85546875" style="44" customWidth="1"/>
    <col min="13313" max="13313" width="32.85546875" style="44" customWidth="1"/>
    <col min="13314" max="13566" width="9.140625" style="44"/>
    <col min="13567" max="13567" width="4.140625" style="44" customWidth="1"/>
    <col min="13568" max="13568" width="58.85546875" style="44" customWidth="1"/>
    <col min="13569" max="13569" width="32.85546875" style="44" customWidth="1"/>
    <col min="13570" max="13822" width="9.140625" style="44"/>
    <col min="13823" max="13823" width="4.140625" style="44" customWidth="1"/>
    <col min="13824" max="13824" width="58.85546875" style="44" customWidth="1"/>
    <col min="13825" max="13825" width="32.85546875" style="44" customWidth="1"/>
    <col min="13826" max="14078" width="9.140625" style="44"/>
    <col min="14079" max="14079" width="4.140625" style="44" customWidth="1"/>
    <col min="14080" max="14080" width="58.85546875" style="44" customWidth="1"/>
    <col min="14081" max="14081" width="32.85546875" style="44" customWidth="1"/>
    <col min="14082" max="14334" width="9.140625" style="44"/>
    <col min="14335" max="14335" width="4.140625" style="44" customWidth="1"/>
    <col min="14336" max="14336" width="58.85546875" style="44" customWidth="1"/>
    <col min="14337" max="14337" width="32.85546875" style="44" customWidth="1"/>
    <col min="14338" max="14590" width="9.140625" style="44"/>
    <col min="14591" max="14591" width="4.140625" style="44" customWidth="1"/>
    <col min="14592" max="14592" width="58.85546875" style="44" customWidth="1"/>
    <col min="14593" max="14593" width="32.85546875" style="44" customWidth="1"/>
    <col min="14594" max="14846" width="9.140625" style="44"/>
    <col min="14847" max="14847" width="4.140625" style="44" customWidth="1"/>
    <col min="14848" max="14848" width="58.85546875" style="44" customWidth="1"/>
    <col min="14849" max="14849" width="32.85546875" style="44" customWidth="1"/>
    <col min="14850" max="15102" width="9.140625" style="44"/>
    <col min="15103" max="15103" width="4.140625" style="44" customWidth="1"/>
    <col min="15104" max="15104" width="58.85546875" style="44" customWidth="1"/>
    <col min="15105" max="15105" width="32.85546875" style="44" customWidth="1"/>
    <col min="15106" max="15358" width="9.140625" style="44"/>
    <col min="15359" max="15359" width="4.140625" style="44" customWidth="1"/>
    <col min="15360" max="15360" width="58.85546875" style="44" customWidth="1"/>
    <col min="15361" max="15361" width="32.85546875" style="44" customWidth="1"/>
    <col min="15362" max="15614" width="9.140625" style="44"/>
    <col min="15615" max="15615" width="4.140625" style="44" customWidth="1"/>
    <col min="15616" max="15616" width="58.85546875" style="44" customWidth="1"/>
    <col min="15617" max="15617" width="32.85546875" style="44" customWidth="1"/>
    <col min="15618" max="15870" width="9.140625" style="44"/>
    <col min="15871" max="15871" width="4.140625" style="44" customWidth="1"/>
    <col min="15872" max="15872" width="58.85546875" style="44" customWidth="1"/>
    <col min="15873" max="15873" width="32.85546875" style="44" customWidth="1"/>
    <col min="15874" max="16126" width="9.140625" style="44"/>
    <col min="16127" max="16127" width="4.140625" style="44" customWidth="1"/>
    <col min="16128" max="16128" width="58.85546875" style="44" customWidth="1"/>
    <col min="16129" max="16129" width="32.85546875" style="44" customWidth="1"/>
    <col min="16130" max="16384" width="9.140625" style="44"/>
  </cols>
  <sheetData>
    <row r="1" spans="1:5" x14ac:dyDescent="0.2">
      <c r="D1" s="249"/>
      <c r="E1" s="249" t="s">
        <v>699</v>
      </c>
    </row>
    <row r="2" spans="1:5" ht="69.75" customHeight="1" x14ac:dyDescent="0.2">
      <c r="D2" s="149"/>
      <c r="E2" s="149" t="s">
        <v>592</v>
      </c>
    </row>
    <row r="3" spans="1:5" x14ac:dyDescent="0.2">
      <c r="A3" s="42"/>
      <c r="B3" s="43"/>
      <c r="E3" s="250" t="s">
        <v>521</v>
      </c>
    </row>
    <row r="4" spans="1:5" ht="51" customHeight="1" x14ac:dyDescent="0.2">
      <c r="A4" s="42"/>
      <c r="B4" s="43"/>
      <c r="D4" s="149"/>
      <c r="E4" s="149" t="s">
        <v>432</v>
      </c>
    </row>
    <row r="5" spans="1:5" x14ac:dyDescent="0.2">
      <c r="A5" s="42"/>
      <c r="B5" s="43"/>
      <c r="E5" s="244" t="s">
        <v>637</v>
      </c>
    </row>
    <row r="6" spans="1:5" x14ac:dyDescent="0.2">
      <c r="A6" s="42"/>
      <c r="B6" s="43"/>
      <c r="C6" s="45"/>
    </row>
    <row r="7" spans="1:5" s="59" customFormat="1" ht="119.25" customHeight="1" x14ac:dyDescent="0.25">
      <c r="A7" s="57"/>
      <c r="B7" s="363" t="s">
        <v>638</v>
      </c>
      <c r="C7" s="363"/>
      <c r="D7" s="363"/>
      <c r="E7" s="363"/>
    </row>
    <row r="8" spans="1:5" x14ac:dyDescent="0.2">
      <c r="A8" s="42"/>
      <c r="B8" s="214"/>
      <c r="C8" s="214"/>
    </row>
    <row r="9" spans="1:5" s="48" customFormat="1" ht="25.5" x14ac:dyDescent="0.25">
      <c r="A9" s="229" t="s">
        <v>169</v>
      </c>
      <c r="B9" s="229" t="s">
        <v>170</v>
      </c>
      <c r="C9" s="229" t="s">
        <v>697</v>
      </c>
      <c r="D9" s="228" t="s">
        <v>698</v>
      </c>
      <c r="E9" s="228" t="s">
        <v>171</v>
      </c>
    </row>
    <row r="10" spans="1:5" s="86" customFormat="1" hidden="1" x14ac:dyDescent="0.25">
      <c r="B10" s="215" t="s">
        <v>172</v>
      </c>
      <c r="C10" s="216"/>
      <c r="D10" s="125"/>
      <c r="E10" s="125"/>
    </row>
    <row r="11" spans="1:5" s="86" customFormat="1" ht="24.75" customHeight="1" x14ac:dyDescent="0.25">
      <c r="A11" s="217">
        <v>1</v>
      </c>
      <c r="B11" s="215" t="s">
        <v>173</v>
      </c>
      <c r="C11" s="216">
        <v>300</v>
      </c>
      <c r="D11" s="239">
        <v>300</v>
      </c>
      <c r="E11" s="239">
        <f>C11+D11</f>
        <v>600</v>
      </c>
    </row>
    <row r="12" spans="1:5" s="86" customFormat="1" ht="24.75" customHeight="1" x14ac:dyDescent="0.25">
      <c r="A12" s="217">
        <v>2</v>
      </c>
      <c r="B12" s="215" t="s">
        <v>174</v>
      </c>
      <c r="C12" s="216">
        <v>62908</v>
      </c>
      <c r="D12" s="239">
        <v>62907.6</v>
      </c>
      <c r="E12" s="239">
        <v>113424.65</v>
      </c>
    </row>
    <row r="13" spans="1:5" s="86" customFormat="1" ht="24.75" customHeight="1" x14ac:dyDescent="0.25">
      <c r="A13" s="217">
        <v>3</v>
      </c>
      <c r="B13" s="215" t="s">
        <v>175</v>
      </c>
      <c r="C13" s="216">
        <v>4296</v>
      </c>
      <c r="D13" s="239">
        <v>4293</v>
      </c>
      <c r="E13" s="239">
        <f t="shared" ref="E13:E15" si="0">C13+D13</f>
        <v>8589</v>
      </c>
    </row>
    <row r="14" spans="1:5" s="86" customFormat="1" ht="24.75" customHeight="1" x14ac:dyDescent="0.25">
      <c r="A14" s="217">
        <v>4</v>
      </c>
      <c r="B14" s="215" t="s">
        <v>176</v>
      </c>
      <c r="C14" s="216">
        <v>300</v>
      </c>
      <c r="D14" s="239">
        <v>300</v>
      </c>
      <c r="E14" s="239">
        <f t="shared" si="0"/>
        <v>600</v>
      </c>
    </row>
    <row r="15" spans="1:5" s="86" customFormat="1" ht="24.75" customHeight="1" x14ac:dyDescent="0.25">
      <c r="A15" s="217">
        <v>5</v>
      </c>
      <c r="B15" s="215" t="s">
        <v>177</v>
      </c>
      <c r="C15" s="216">
        <v>300</v>
      </c>
      <c r="D15" s="239">
        <v>300</v>
      </c>
      <c r="E15" s="239">
        <f t="shared" si="0"/>
        <v>600</v>
      </c>
    </row>
    <row r="16" spans="1:5" s="221" customFormat="1" ht="24.75" customHeight="1" x14ac:dyDescent="0.25">
      <c r="A16" s="218"/>
      <c r="B16" s="219" t="s">
        <v>9</v>
      </c>
      <c r="C16" s="220">
        <f>SUM(C10:C15)</f>
        <v>68104</v>
      </c>
      <c r="D16" s="220">
        <f t="shared" ref="D16:E16" si="1">SUM(D10:D15)</f>
        <v>68100.600000000006</v>
      </c>
      <c r="E16" s="220">
        <f t="shared" si="1"/>
        <v>123813.65</v>
      </c>
    </row>
    <row r="17" spans="3:5" x14ac:dyDescent="0.2">
      <c r="C17" s="238"/>
      <c r="D17" s="238"/>
      <c r="E17" s="238"/>
    </row>
  </sheetData>
  <mergeCells count="1">
    <mergeCell ref="B7:E7"/>
  </mergeCells>
  <pageMargins left="0.70866141732283472" right="0.70866141732283472" top="0.74803149606299213" bottom="0.74803149606299213" header="0.31496062992125984" footer="0.31496062992125984"/>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10</vt:i4>
      </vt:variant>
      <vt:variant>
        <vt:lpstr>Именованные диапазоны</vt:lpstr>
      </vt:variant>
      <vt:variant>
        <vt:i4>3</vt:i4>
      </vt:variant>
    </vt:vector>
  </HeadingPairs>
  <TitlesOfParts>
    <vt:vector size="13" baseType="lpstr">
      <vt:lpstr> Дох.15</vt:lpstr>
      <vt:lpstr>1 Вед15</vt:lpstr>
      <vt:lpstr>2 МП15</vt:lpstr>
      <vt:lpstr>3.10.2 Сбал</vt:lpstr>
      <vt:lpstr>4.10.3 Коммун</vt:lpstr>
      <vt:lpstr>5.10.4 В.уч</vt:lpstr>
      <vt:lpstr>11.3 Ком.16-17</vt:lpstr>
      <vt:lpstr>11.5 Прот.16-17</vt:lpstr>
      <vt:lpstr>6.10.8.Жил</vt:lpstr>
      <vt:lpstr>7.12 Ист.15</vt:lpstr>
      <vt:lpstr>' Дох.15'!Заголовки_для_печати</vt:lpstr>
      <vt:lpstr>'1 Вед15'!Заголовки_для_печати</vt:lpstr>
      <vt:lpstr>'2 МП15'!Заголовки_для_печати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2016-02-18T06:03:46Z</dcterms:modified>
</cp:coreProperties>
</file>